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F:\2024-1-0526首开铂郡\"/>
    </mc:Choice>
  </mc:AlternateContent>
  <xr:revisionPtr revIDLastSave="0" documentId="13_ncr:1_{C9C45A2B-D025-4CE6-A7D0-48B210CBE723}"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state="hidden" r:id="rId14"/>
    <sheet name="数据-取费表" sheetId="1" r:id="rId15"/>
    <sheet name="估价对象房地状况" sheetId="20" r:id="rId16"/>
    <sheet name="系统读取表" sheetId="74" r:id="rId17"/>
    <sheet name="铂郡面积表" sheetId="80" r:id="rId18"/>
    <sheet name="结果一览表-铂郡" sheetId="81" r:id="rId19"/>
    <sheet name="典型户型修正" sheetId="31" state="hidden"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商业租金" sheetId="82" r:id="rId30"/>
    <sheet name="Sheet1" sheetId="84"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9" hidden="1">'比较法-商业租金'!$A$1:$L$49</definedName>
    <definedName name="_xlnm._FilterDatabase" localSheetId="27" hidden="1">'比较法-住宅'!$A$1:$L$49</definedName>
    <definedName name="_xlnm._FilterDatabase" localSheetId="17" hidden="1">铂郡面积表!$E$3:$L$13</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9">'比较法-商业租金'!$A$1:$K$54,'比较法-商业租金'!$A$57:$M$131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'比较法-商业租金'!$B$116:$M$116</definedName>
    <definedName name="商业层高">'比较法-商业'!$B$116:$M$116</definedName>
    <definedName name="商业成新度" localSheetId="29">'比较法-商业租金'!$B$109:$M$109</definedName>
    <definedName name="商业成新度">'比较法-商业'!$B$109:$M$109</definedName>
    <definedName name="商业繁华度">定义!$L$1:$L$6</definedName>
    <definedName name="商业公共部分装修" localSheetId="29">'比较法-商业租金'!$B$107:$M$107</definedName>
    <definedName name="商业公共部分装修">'比较法-商业'!$B$107:$M$107</definedName>
    <definedName name="商业基础设施水平" localSheetId="29">'比较法-商业租金'!$B$112:$M$112</definedName>
    <definedName name="商业基础设施水平">'比较法-商业'!$B$112:$M$112</definedName>
    <definedName name="商业建筑结构" localSheetId="29">'比较法-商业租金'!$B$105:$M$105</definedName>
    <definedName name="商业建筑结构">'比较法-商业'!$B$105:$M$105</definedName>
    <definedName name="商业交易情况" localSheetId="29">'比较法-商业租金'!$A$61:$M$61</definedName>
    <definedName name="商业交易情况">'比较法-商业'!$A$61:$M$61</definedName>
    <definedName name="商业街名称">修正!$C$71:$C$138</definedName>
    <definedName name="商业进深比" localSheetId="29">'比较法-商业租金'!$B$120:$M$120</definedName>
    <definedName name="商业进深比">'比较法-商业'!$B$120:$M$120</definedName>
    <definedName name="商业类型" localSheetId="29">'比较法-商业租金'!$B$100:$M$100</definedName>
    <definedName name="商业类型">'比较法-商业'!$B$100:$M$100</definedName>
    <definedName name="商业临街状况" localSheetId="29">'比较法-商业租金'!$B$86:$M$86</definedName>
    <definedName name="商业临街状况">'比较法-商业'!$B$86:$M$86</definedName>
    <definedName name="商业楼层" localSheetId="29">'比较法-商业租金'!$B$92:$M$92</definedName>
    <definedName name="商业楼层">'比较法-商业'!$B$92:$M$92</definedName>
    <definedName name="商业内部装修" localSheetId="29">'比较法-商业租金'!$B$122:$M$122</definedName>
    <definedName name="商业内部装修">'比较法-商业'!$B$122:$M$122</definedName>
    <definedName name="商业人流量" localSheetId="29">'比较法-商业租金'!$B$90:$M$90</definedName>
    <definedName name="商业人流量">'比较法-商业'!$B$90:$M$90</definedName>
    <definedName name="商业业态" localSheetId="29">'比较法-商业租金'!$B$114:$M$114</definedName>
    <definedName name="商业业态">'比较法-商业'!$B$114:$M$114</definedName>
    <definedName name="商业用途" localSheetId="2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E14" i="74"/>
  <c r="E10" i="74"/>
  <c r="N20" i="1"/>
  <c r="N6" i="1" s="1"/>
  <c r="I33" i="33" l="1"/>
  <c r="G33" i="33"/>
  <c r="E33" i="33"/>
  <c r="I47" i="33"/>
  <c r="G47" i="33"/>
  <c r="E47" i="33"/>
  <c r="E33" i="82"/>
  <c r="E47" i="82"/>
  <c r="E5" i="82"/>
  <c r="I47" i="82"/>
  <c r="G47" i="82"/>
  <c r="I33" i="82"/>
  <c r="G33" i="82"/>
  <c r="I5" i="82"/>
  <c r="G5" i="82"/>
  <c r="C33" i="82"/>
  <c r="I3" i="81"/>
  <c r="C33" i="33"/>
  <c r="F53" i="31"/>
  <c r="F55" i="31"/>
  <c r="F57" i="31"/>
  <c r="F60" i="31"/>
  <c r="F62" i="31"/>
  <c r="F67" i="31"/>
  <c r="F69" i="31"/>
  <c r="F72" i="31"/>
  <c r="F73" i="31"/>
  <c r="B55" i="1" l="1"/>
  <c r="B56" i="1"/>
  <c r="B57" i="1"/>
  <c r="B58" i="1"/>
  <c r="B59" i="1"/>
  <c r="B54" i="1"/>
  <c r="D79" i="82" l="1"/>
  <c r="H17" i="82" s="1"/>
  <c r="AB17" i="82" s="1"/>
  <c r="F17" i="82"/>
  <c r="AA17" i="82" s="1"/>
  <c r="D77" i="82"/>
  <c r="F15" i="82"/>
  <c r="AA15" i="82" s="1"/>
  <c r="D101" i="82"/>
  <c r="H32" i="82" s="1"/>
  <c r="AB32" i="82" s="1"/>
  <c r="D115" i="82"/>
  <c r="F38" i="82" s="1"/>
  <c r="D91" i="82"/>
  <c r="F27" i="82" s="1"/>
  <c r="H15" i="82"/>
  <c r="AB15" i="82" s="1"/>
  <c r="H38" i="82"/>
  <c r="AB38" i="82" s="1"/>
  <c r="T47" i="82"/>
  <c r="J15" i="82"/>
  <c r="AC15" i="82" s="1"/>
  <c r="J32" i="82"/>
  <c r="W32" i="82" s="1"/>
  <c r="F76" i="31"/>
  <c r="G76" i="31" s="1"/>
  <c r="F77" i="31"/>
  <c r="F78" i="31"/>
  <c r="F79" i="31"/>
  <c r="F80" i="31"/>
  <c r="F81" i="31"/>
  <c r="F82" i="31"/>
  <c r="F83" i="31"/>
  <c r="F84" i="31"/>
  <c r="F85" i="31"/>
  <c r="F86" i="31"/>
  <c r="F26" i="82"/>
  <c r="AA26" i="82" s="1"/>
  <c r="H26" i="82"/>
  <c r="AB26" i="82" s="1"/>
  <c r="J26" i="82"/>
  <c r="AC26" i="82" s="1"/>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4" i="31"/>
  <c r="F56" i="31"/>
  <c r="F58" i="31"/>
  <c r="F59" i="31"/>
  <c r="F61" i="31"/>
  <c r="F63" i="31"/>
  <c r="F64" i="31"/>
  <c r="F65" i="31"/>
  <c r="F66" i="31"/>
  <c r="G67" i="31"/>
  <c r="F68" i="31"/>
  <c r="G69" i="31"/>
  <c r="F70" i="31"/>
  <c r="F71" i="31"/>
  <c r="G71" i="31" s="1"/>
  <c r="G73" i="31"/>
  <c r="F74" i="31"/>
  <c r="F75" i="31"/>
  <c r="G75" i="31" s="1"/>
  <c r="D101" i="33"/>
  <c r="F32" i="33" s="1"/>
  <c r="D91" i="33"/>
  <c r="F27" i="33"/>
  <c r="AA27" i="33" s="1"/>
  <c r="H32" i="33"/>
  <c r="AB32" i="33" s="1"/>
  <c r="H27" i="33"/>
  <c r="AB27" i="33" s="1"/>
  <c r="J27" i="33"/>
  <c r="AC27" i="33" s="1"/>
  <c r="E15" i="80"/>
  <c r="R47" i="82"/>
  <c r="F36" i="82"/>
  <c r="AA36" i="82"/>
  <c r="F19" i="82"/>
  <c r="AA19" i="82"/>
  <c r="F21" i="82"/>
  <c r="AA21" i="82"/>
  <c r="F23" i="82"/>
  <c r="AA23" i="82"/>
  <c r="F28" i="82"/>
  <c r="AA28" i="82"/>
  <c r="H36" i="82"/>
  <c r="AB36" i="82"/>
  <c r="H19" i="82"/>
  <c r="AB19" i="82"/>
  <c r="H21" i="82"/>
  <c r="AB21" i="82"/>
  <c r="H23" i="82"/>
  <c r="AB23" i="82"/>
  <c r="H28" i="82"/>
  <c r="AB28" i="82"/>
  <c r="J36" i="82"/>
  <c r="AC36" i="82"/>
  <c r="J19" i="82"/>
  <c r="AC19" i="82"/>
  <c r="J21" i="82"/>
  <c r="AC21" i="82"/>
  <c r="J23" i="82"/>
  <c r="AC23" i="82"/>
  <c r="J28" i="82"/>
  <c r="AC28" i="82"/>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U10" i="79"/>
  <c r="V10" i="79"/>
  <c r="W10" i="79"/>
  <c r="S11" i="79"/>
  <c r="T11" i="79"/>
  <c r="U11" i="79"/>
  <c r="V11" i="79"/>
  <c r="W11" i="79"/>
  <c r="S12" i="79"/>
  <c r="T12" i="79"/>
  <c r="W12" i="79" s="1"/>
  <c r="U12" i="79"/>
  <c r="V12" i="79"/>
  <c r="S13" i="79"/>
  <c r="T13" i="79"/>
  <c r="U13" i="79"/>
  <c r="V13" i="79"/>
  <c r="W13" i="79"/>
  <c r="S14" i="79"/>
  <c r="T14" i="79"/>
  <c r="W14" i="79" s="1"/>
  <c r="U14" i="79"/>
  <c r="V14" i="79"/>
  <c r="S15" i="79"/>
  <c r="T15" i="79"/>
  <c r="U15" i="79"/>
  <c r="V15" i="79"/>
  <c r="W15" i="79"/>
  <c r="C36" i="8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B25" i="31"/>
  <c r="B26" i="31"/>
  <c r="B27" i="31"/>
  <c r="B28" i="31"/>
  <c r="B29" i="31"/>
  <c r="B30" i="31"/>
  <c r="B31" i="31"/>
  <c r="B32" i="31"/>
  <c r="B33" i="31"/>
  <c r="B34" i="31"/>
  <c r="C34" i="31" s="1"/>
  <c r="B35" i="31"/>
  <c r="B36" i="31"/>
  <c r="B37" i="31"/>
  <c r="B38" i="31"/>
  <c r="B39" i="31"/>
  <c r="B40" i="31"/>
  <c r="B41" i="31"/>
  <c r="B42" i="31"/>
  <c r="C42" i="31" s="1"/>
  <c r="B43" i="31"/>
  <c r="B44" i="31"/>
  <c r="B45" i="31"/>
  <c r="B46" i="31"/>
  <c r="B47" i="31"/>
  <c r="B48" i="31"/>
  <c r="B49" i="31"/>
  <c r="B50" i="31"/>
  <c r="C50" i="31" s="1"/>
  <c r="B51" i="31"/>
  <c r="B52" i="31"/>
  <c r="B53" i="31"/>
  <c r="B54" i="31"/>
  <c r="B55" i="31"/>
  <c r="B56" i="31"/>
  <c r="B57" i="31"/>
  <c r="B58" i="31"/>
  <c r="C58" i="31" s="1"/>
  <c r="B59" i="31"/>
  <c r="B60" i="31"/>
  <c r="B61" i="31"/>
  <c r="B62" i="31"/>
  <c r="B63" i="31"/>
  <c r="B64" i="31"/>
  <c r="B65" i="31"/>
  <c r="B66" i="31"/>
  <c r="C66" i="31" s="1"/>
  <c r="B67" i="31"/>
  <c r="B68" i="31"/>
  <c r="B69" i="31"/>
  <c r="B70" i="31"/>
  <c r="B71" i="31"/>
  <c r="B72" i="31"/>
  <c r="B73" i="31"/>
  <c r="B74" i="31"/>
  <c r="C74" i="31" s="1"/>
  <c r="B75" i="3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s="1"/>
  <c r="G101" i="82" s="1"/>
  <c r="H101" i="82" s="1"/>
  <c r="I101" i="82" s="1"/>
  <c r="J101" i="82" s="1"/>
  <c r="K101" i="82" s="1"/>
  <c r="L101" i="82" s="1"/>
  <c r="M101" i="82" s="1"/>
  <c r="B98" i="82"/>
  <c r="B96" i="82"/>
  <c r="J30" i="82" s="1"/>
  <c r="B94" i="82"/>
  <c r="B92" i="82"/>
  <c r="E91" i="82"/>
  <c r="F91" i="82" s="1"/>
  <c r="G91" i="82" s="1"/>
  <c r="H91" i="82" s="1"/>
  <c r="I91" i="82" s="1"/>
  <c r="J91" i="82" s="1"/>
  <c r="K91" i="82" s="1"/>
  <c r="L91" i="82" s="1"/>
  <c r="M91" i="82" s="1"/>
  <c r="B90" i="82"/>
  <c r="B88" i="82"/>
  <c r="D87" i="82"/>
  <c r="F25" i="82" s="1"/>
  <c r="D85" i="82"/>
  <c r="E85" i="82"/>
  <c r="F85" i="82"/>
  <c r="G85" i="82"/>
  <c r="D83" i="82"/>
  <c r="E83" i="82"/>
  <c r="F83" i="82"/>
  <c r="G83" i="82"/>
  <c r="D81" i="82"/>
  <c r="E81" i="82"/>
  <c r="F81" i="82"/>
  <c r="G81" i="82"/>
  <c r="E79" i="82"/>
  <c r="F79" i="82" s="1"/>
  <c r="G79" i="82" s="1"/>
  <c r="E77" i="82"/>
  <c r="F77" i="82" s="1"/>
  <c r="G77" i="82" s="1"/>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s="1"/>
  <c r="G54" i="82"/>
  <c r="H54" i="82" s="1"/>
  <c r="E54" i="82"/>
  <c r="F54" i="82" s="1"/>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Q26" i="82"/>
  <c r="Z26" i="82"/>
  <c r="Q25" i="82"/>
  <c r="Z25" i="82"/>
  <c r="Q23" i="82"/>
  <c r="Z23" i="82"/>
  <c r="W23" i="82"/>
  <c r="U23" i="82"/>
  <c r="S23" i="82"/>
  <c r="C23" i="82"/>
  <c r="Q21" i="82"/>
  <c r="Z21" i="82"/>
  <c r="W21" i="82"/>
  <c r="U21" i="82"/>
  <c r="S21" i="82"/>
  <c r="C21" i="82"/>
  <c r="Q19" i="82"/>
  <c r="Z19" i="82"/>
  <c r="W19" i="82"/>
  <c r="U19" i="82"/>
  <c r="S19" i="82"/>
  <c r="C19" i="82"/>
  <c r="Q17" i="82"/>
  <c r="Z17" i="82"/>
  <c r="C17" i="82"/>
  <c r="Q15" i="82"/>
  <c r="Z15" i="82"/>
  <c r="W15" i="82"/>
  <c r="U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H15" i="81"/>
  <c r="H14" i="81"/>
  <c r="I11" i="81"/>
  <c r="I7" i="81"/>
  <c r="C20" i="43"/>
  <c r="C5" i="43"/>
  <c r="AP6" i="1"/>
  <c r="D33" i="43"/>
  <c r="D1" i="43" s="1"/>
  <c r="I23" i="3"/>
  <c r="I24" i="3"/>
  <c r="I25" i="3"/>
  <c r="I26" i="3"/>
  <c r="I27" i="3"/>
  <c r="I28" i="3"/>
  <c r="I29" i="3"/>
  <c r="I30" i="3"/>
  <c r="I31" i="3"/>
  <c r="I32" i="3"/>
  <c r="I33" i="3"/>
  <c r="I34" i="3"/>
  <c r="I35" i="3"/>
  <c r="I36" i="3"/>
  <c r="I37" i="3"/>
  <c r="I38" i="3"/>
  <c r="I39" i="3"/>
  <c r="I40" i="3"/>
  <c r="K41" i="3"/>
  <c r="K42" i="3"/>
  <c r="K43" i="3"/>
  <c r="K44" i="3"/>
  <c r="K45" i="3"/>
  <c r="K46" i="3"/>
  <c r="K47" i="3"/>
  <c r="K48" i="3"/>
  <c r="K49" i="3"/>
  <c r="K50" i="3"/>
  <c r="K51" i="3"/>
  <c r="K52" i="3"/>
  <c r="K53" i="3"/>
  <c r="K54" i="3"/>
  <c r="K55" i="3"/>
  <c r="K56" i="3"/>
  <c r="K57" i="3"/>
  <c r="K58" i="3"/>
  <c r="K59" i="3"/>
  <c r="K60" i="3"/>
  <c r="K61" i="3"/>
  <c r="K62" i="3"/>
  <c r="K63" i="3"/>
  <c r="K64"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H109" i="3" s="1"/>
  <c r="G109" i="3" s="1"/>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F19" i="6"/>
  <c r="C26" i="31"/>
  <c r="H9" i="81"/>
  <c r="H10" i="81"/>
  <c r="H12" i="81"/>
  <c r="I17" i="81"/>
  <c r="C18" i="81"/>
  <c r="E16" i="81" s="1"/>
  <c r="C21" i="81"/>
  <c r="C22" i="81"/>
  <c r="E24" i="81"/>
  <c r="E28" i="81"/>
  <c r="E25" i="81"/>
  <c r="O19" i="81"/>
  <c r="O20" i="81"/>
  <c r="F19" i="81"/>
  <c r="E19" i="81"/>
  <c r="F16" i="81"/>
  <c r="E15" i="81"/>
  <c r="C15" i="81"/>
  <c r="P9" i="81"/>
  <c r="O10" i="81"/>
  <c r="M10" i="81"/>
  <c r="M2" i="81"/>
  <c r="M4" i="81"/>
  <c r="O5" i="81"/>
  <c r="F15" i="80"/>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C7" i="82" s="1"/>
  <c r="C58" i="82" s="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AZ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A487" i="3" s="1"/>
  <c r="AZ487" i="3" s="1"/>
  <c r="BC487" i="3"/>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B481" i="3"/>
  <c r="BA481" i="3" s="1"/>
  <c r="AZ481" i="3" s="1"/>
  <c r="BC481" i="3"/>
  <c r="BD481" i="3"/>
  <c r="BE481" i="3"/>
  <c r="BF481" i="3"/>
  <c r="BG481" i="3"/>
  <c r="BH481" i="3"/>
  <c r="BI481" i="3"/>
  <c r="BJ481" i="3"/>
  <c r="BK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D477" i="3"/>
  <c r="BE477" i="3"/>
  <c r="BF477" i="3"/>
  <c r="BG477" i="3"/>
  <c r="BH477" i="3"/>
  <c r="BI477" i="3"/>
  <c r="BJ477" i="3"/>
  <c r="BK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A462" i="3" s="1"/>
  <c r="AZ462" i="3" s="1"/>
  <c r="BC462" i="3"/>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B459" i="3"/>
  <c r="BA459" i="3" s="1"/>
  <c r="AZ459" i="3" s="1"/>
  <c r="BC459" i="3"/>
  <c r="BD459" i="3"/>
  <c r="BE459" i="3"/>
  <c r="BF459" i="3"/>
  <c r="BG459" i="3"/>
  <c r="BH459" i="3"/>
  <c r="BI459" i="3"/>
  <c r="BJ459" i="3"/>
  <c r="BK459" i="3"/>
  <c r="AX459" i="3"/>
  <c r="AW459" i="3"/>
  <c r="AV459" i="3"/>
  <c r="AC459" i="3"/>
  <c r="H459" i="3"/>
  <c r="G459" i="3" s="1"/>
  <c r="BT458" i="3"/>
  <c r="BS458" i="3"/>
  <c r="BR458" i="3"/>
  <c r="BQ458" i="3"/>
  <c r="BP458" i="3"/>
  <c r="BO458" i="3"/>
  <c r="BN458" i="3"/>
  <c r="BM458" i="3"/>
  <c r="BL458" i="3"/>
  <c r="BB458" i="3"/>
  <c r="BA458" i="3" s="1"/>
  <c r="AZ458" i="3" s="1"/>
  <c r="BC458" i="3"/>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B454" i="3"/>
  <c r="BA454" i="3" s="1"/>
  <c r="AZ454" i="3" s="1"/>
  <c r="BC454" i="3"/>
  <c r="BD454" i="3"/>
  <c r="BE454" i="3"/>
  <c r="BF454" i="3"/>
  <c r="BG454" i="3"/>
  <c r="BH454" i="3"/>
  <c r="BI454" i="3"/>
  <c r="BJ454" i="3"/>
  <c r="BK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A451" i="3" s="1"/>
  <c r="AZ451" i="3" s="1"/>
  <c r="BC451" i="3"/>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A450" i="3" s="1"/>
  <c r="AZ450" i="3" s="1"/>
  <c r="BC450" i="3"/>
  <c r="BD450" i="3"/>
  <c r="BE450" i="3"/>
  <c r="BF450" i="3"/>
  <c r="BG450" i="3"/>
  <c r="BH450" i="3"/>
  <c r="BI450" i="3"/>
  <c r="BJ450" i="3"/>
  <c r="BK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A446" i="3" s="1"/>
  <c r="AZ446" i="3" s="1"/>
  <c r="BC446" i="3"/>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B443" i="3"/>
  <c r="BA443" i="3" s="1"/>
  <c r="AZ443" i="3" s="1"/>
  <c r="BC443" i="3"/>
  <c r="BD443" i="3"/>
  <c r="BE443" i="3"/>
  <c r="BF443" i="3"/>
  <c r="BG443" i="3"/>
  <c r="BH443" i="3"/>
  <c r="BI443" i="3"/>
  <c r="BJ443" i="3"/>
  <c r="BK443" i="3"/>
  <c r="AX443" i="3"/>
  <c r="AW443" i="3"/>
  <c r="AV443" i="3"/>
  <c r="AC443" i="3"/>
  <c r="H443" i="3"/>
  <c r="G443" i="3" s="1"/>
  <c r="BT442" i="3"/>
  <c r="BS442" i="3"/>
  <c r="BR442" i="3"/>
  <c r="BQ442" i="3"/>
  <c r="BP442" i="3"/>
  <c r="BO442" i="3"/>
  <c r="BN442" i="3"/>
  <c r="BM442" i="3"/>
  <c r="BL442" i="3"/>
  <c r="BB442" i="3"/>
  <c r="BA442" i="3" s="1"/>
  <c r="AZ442" i="3" s="1"/>
  <c r="BC442" i="3"/>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B438" i="3"/>
  <c r="BA438" i="3" s="1"/>
  <c r="AZ438" i="3" s="1"/>
  <c r="BC438" i="3"/>
  <c r="BD438" i="3"/>
  <c r="BE438" i="3"/>
  <c r="BF438" i="3"/>
  <c r="BG438" i="3"/>
  <c r="BH438" i="3"/>
  <c r="BI438" i="3"/>
  <c r="BJ438" i="3"/>
  <c r="BK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A435" i="3" s="1"/>
  <c r="AZ435" i="3" s="1"/>
  <c r="BC435" i="3"/>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A434" i="3" s="1"/>
  <c r="AZ434" i="3" s="1"/>
  <c r="BC434" i="3"/>
  <c r="BD434" i="3"/>
  <c r="BE434" i="3"/>
  <c r="BF434" i="3"/>
  <c r="BG434" i="3"/>
  <c r="BH434" i="3"/>
  <c r="BI434" i="3"/>
  <c r="BJ434" i="3"/>
  <c r="BK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A422" i="3" s="1"/>
  <c r="AZ422" i="3" s="1"/>
  <c r="BC422" i="3"/>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B419" i="3"/>
  <c r="BA419" i="3" s="1"/>
  <c r="AZ419" i="3" s="1"/>
  <c r="BC419" i="3"/>
  <c r="BD419" i="3"/>
  <c r="BE419" i="3"/>
  <c r="BF419" i="3"/>
  <c r="BG419" i="3"/>
  <c r="BH419" i="3"/>
  <c r="BI419" i="3"/>
  <c r="BJ419" i="3"/>
  <c r="BK419" i="3"/>
  <c r="AX419" i="3"/>
  <c r="AW419" i="3"/>
  <c r="AV419" i="3"/>
  <c r="AC419" i="3"/>
  <c r="H419" i="3"/>
  <c r="G419" i="3" s="1"/>
  <c r="BT418" i="3"/>
  <c r="BS418" i="3"/>
  <c r="BR418" i="3"/>
  <c r="BQ418" i="3"/>
  <c r="BP418" i="3"/>
  <c r="BO418" i="3"/>
  <c r="BN418" i="3"/>
  <c r="BM418" i="3"/>
  <c r="BL418" i="3"/>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A403" i="3" s="1"/>
  <c r="AZ403" i="3" s="1"/>
  <c r="BC403" i="3"/>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A402" i="3" s="1"/>
  <c r="AZ402" i="3" s="1"/>
  <c r="BC402" i="3"/>
  <c r="BD402" i="3"/>
  <c r="BE402" i="3"/>
  <c r="BF402" i="3"/>
  <c r="BG402" i="3"/>
  <c r="BH402" i="3"/>
  <c r="BI402" i="3"/>
  <c r="BJ402" i="3"/>
  <c r="BK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E76" i="31"/>
  <c r="Q76" i="31"/>
  <c r="E77" i="31"/>
  <c r="Q77" i="31"/>
  <c r="E78" i="31"/>
  <c r="Q78" i="31"/>
  <c r="E79" i="31"/>
  <c r="Q79" i="31"/>
  <c r="E80" i="31"/>
  <c r="Q80" i="31"/>
  <c r="E81" i="31"/>
  <c r="Q81" i="31"/>
  <c r="E82" i="31"/>
  <c r="Q82" i="31"/>
  <c r="E83" i="31"/>
  <c r="Q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E256" i="31"/>
  <c r="Q256" i="31"/>
  <c r="E257" i="31"/>
  <c r="Q257" i="31"/>
  <c r="E258" i="31"/>
  <c r="Q258" i="31"/>
  <c r="E259" i="31"/>
  <c r="Q259" i="31"/>
  <c r="E260" i="31"/>
  <c r="Q260" i="31"/>
  <c r="E261" i="31"/>
  <c r="Q261" i="31"/>
  <c r="E262" i="31"/>
  <c r="Q262" i="31"/>
  <c r="E263" i="31"/>
  <c r="Q263" i="31"/>
  <c r="E264" i="31"/>
  <c r="Q264" i="31"/>
  <c r="E265" i="31"/>
  <c r="Q265" i="31"/>
  <c r="E266" i="31"/>
  <c r="Q266" i="31"/>
  <c r="E267" i="31"/>
  <c r="Q267" i="31"/>
  <c r="E268" i="31"/>
  <c r="Q268" i="31"/>
  <c r="E269" i="31"/>
  <c r="Q269" i="31"/>
  <c r="E270" i="31"/>
  <c r="Q270" i="31"/>
  <c r="E271" i="31"/>
  <c r="Q271" i="31"/>
  <c r="E272" i="31"/>
  <c r="Q272" i="31"/>
  <c r="E273" i="31"/>
  <c r="Q273" i="31"/>
  <c r="E274" i="31"/>
  <c r="Q274" i="31"/>
  <c r="E275" i="31"/>
  <c r="Q275" i="31"/>
  <c r="E276" i="31"/>
  <c r="Q276" i="31"/>
  <c r="E277" i="31"/>
  <c r="Q277" i="31"/>
  <c r="E278" i="31"/>
  <c r="Q278" i="31"/>
  <c r="E279" i="31"/>
  <c r="Q279" i="31"/>
  <c r="E280" i="31"/>
  <c r="Q280" i="31"/>
  <c r="E281" i="31"/>
  <c r="Q281" i="31"/>
  <c r="E282" i="31"/>
  <c r="Q282" i="31"/>
  <c r="E283" i="31"/>
  <c r="Q283" i="31"/>
  <c r="E284" i="31"/>
  <c r="Q284" i="31"/>
  <c r="E285" i="31"/>
  <c r="Q285" i="31"/>
  <c r="E286" i="31"/>
  <c r="Q286" i="31"/>
  <c r="E287" i="31"/>
  <c r="Q287" i="31"/>
  <c r="E288" i="31"/>
  <c r="Q288" i="31"/>
  <c r="E289" i="31"/>
  <c r="Q289" i="31"/>
  <c r="E290" i="31"/>
  <c r="Q290" i="31"/>
  <c r="E291" i="31"/>
  <c r="Q291" i="31"/>
  <c r="E292" i="31"/>
  <c r="Q292" i="31"/>
  <c r="E293" i="31"/>
  <c r="Q293" i="31"/>
  <c r="E294" i="31"/>
  <c r="Q294" i="31"/>
  <c r="E295" i="31"/>
  <c r="Q295" i="31"/>
  <c r="E296" i="31"/>
  <c r="Q296" i="31"/>
  <c r="E297" i="31"/>
  <c r="Q297" i="31"/>
  <c r="E298" i="31"/>
  <c r="Q298" i="31"/>
  <c r="E299" i="31"/>
  <c r="Q299" i="31"/>
  <c r="E300" i="31"/>
  <c r="Q300" i="31"/>
  <c r="E301" i="31"/>
  <c r="Q301" i="31"/>
  <c r="E302" i="31"/>
  <c r="Q302" i="31"/>
  <c r="E303" i="31"/>
  <c r="Q303" i="31"/>
  <c r="E304" i="31"/>
  <c r="Q304" i="31"/>
  <c r="E305" i="31"/>
  <c r="Q305" i="31"/>
  <c r="E306" i="31"/>
  <c r="Q306" i="31"/>
  <c r="E307" i="31"/>
  <c r="Q307" i="31"/>
  <c r="E308" i="31"/>
  <c r="Q308" i="31"/>
  <c r="E309" i="31"/>
  <c r="Q309" i="31"/>
  <c r="E310" i="31"/>
  <c r="Q310" i="31"/>
  <c r="E311" i="31"/>
  <c r="Q311" i="31"/>
  <c r="E312" i="31"/>
  <c r="Q312" i="31"/>
  <c r="E313" i="31"/>
  <c r="Q313" i="31"/>
  <c r="E314" i="31"/>
  <c r="Q314" i="31"/>
  <c r="E315" i="31"/>
  <c r="Q315" i="31"/>
  <c r="E316" i="31"/>
  <c r="Q316" i="31"/>
  <c r="E317" i="31"/>
  <c r="Q317" i="31"/>
  <c r="E318" i="31"/>
  <c r="Q318" i="31"/>
  <c r="E319" i="31"/>
  <c r="Q319" i="31"/>
  <c r="E320" i="31"/>
  <c r="Q320" i="31"/>
  <c r="E321" i="31"/>
  <c r="Q321" i="31"/>
  <c r="E322" i="31"/>
  <c r="Q322" i="31"/>
  <c r="E323" i="31"/>
  <c r="Q323" i="31"/>
  <c r="E324" i="31"/>
  <c r="Q324" i="31"/>
  <c r="E325" i="31"/>
  <c r="Q325" i="31"/>
  <c r="E326" i="31"/>
  <c r="Q326" i="31"/>
  <c r="E327" i="31"/>
  <c r="Q327" i="31"/>
  <c r="E328" i="31"/>
  <c r="Q328" i="31"/>
  <c r="E329" i="31"/>
  <c r="Q329" i="31"/>
  <c r="E330" i="31"/>
  <c r="Q330" i="31"/>
  <c r="E331" i="31"/>
  <c r="Q331" i="31"/>
  <c r="E332" i="31"/>
  <c r="Q332" i="31"/>
  <c r="E333" i="31"/>
  <c r="Q333" i="31"/>
  <c r="E334" i="31"/>
  <c r="Q334" i="31"/>
  <c r="E335" i="31"/>
  <c r="Q335" i="31"/>
  <c r="E336" i="31"/>
  <c r="Q336" i="31"/>
  <c r="E337" i="31"/>
  <c r="Q337" i="31"/>
  <c r="E338" i="31"/>
  <c r="Q338" i="31"/>
  <c r="E339" i="31"/>
  <c r="Q339" i="31"/>
  <c r="E340" i="31"/>
  <c r="Q340" i="31"/>
  <c r="E341" i="31"/>
  <c r="Q341" i="31"/>
  <c r="E342" i="31"/>
  <c r="Q342" i="31"/>
  <c r="E343" i="31"/>
  <c r="Q343" i="31"/>
  <c r="E344" i="31"/>
  <c r="Q344" i="31"/>
  <c r="E345" i="31"/>
  <c r="Q345" i="31"/>
  <c r="E346" i="31"/>
  <c r="Q346" i="31"/>
  <c r="E347" i="31"/>
  <c r="Q347" i="31"/>
  <c r="E348" i="31"/>
  <c r="Q348" i="31"/>
  <c r="E349" i="31"/>
  <c r="Q349" i="31"/>
  <c r="E350" i="31"/>
  <c r="Q350" i="31"/>
  <c r="E351" i="31"/>
  <c r="Q351" i="31"/>
  <c r="E352" i="31"/>
  <c r="Q352" i="31"/>
  <c r="E353" i="31"/>
  <c r="Q353" i="31"/>
  <c r="E354" i="31"/>
  <c r="Q354" i="31"/>
  <c r="E355" i="31"/>
  <c r="Q355" i="31"/>
  <c r="E356" i="31"/>
  <c r="Q356" i="31"/>
  <c r="E357" i="31"/>
  <c r="Q357" i="31"/>
  <c r="E358" i="31"/>
  <c r="Q358" i="31"/>
  <c r="E359" i="31"/>
  <c r="Q359" i="31"/>
  <c r="E360" i="31"/>
  <c r="Q360" i="31"/>
  <c r="E361" i="31"/>
  <c r="Q361" i="31"/>
  <c r="E362" i="31"/>
  <c r="Q362" i="31"/>
  <c r="E363" i="31"/>
  <c r="Q363" i="31"/>
  <c r="E364" i="31"/>
  <c r="Q364" i="31"/>
  <c r="E365" i="31"/>
  <c r="Q365" i="31"/>
  <c r="E366" i="31"/>
  <c r="Q366" i="31"/>
  <c r="E367" i="31"/>
  <c r="Q367" i="31"/>
  <c r="E368" i="31"/>
  <c r="Q368" i="31"/>
  <c r="E369" i="31"/>
  <c r="Q369" i="31"/>
  <c r="E370" i="31"/>
  <c r="Q370" i="31"/>
  <c r="E371" i="31"/>
  <c r="Q371" i="31"/>
  <c r="E372" i="31"/>
  <c r="Q372" i="31"/>
  <c r="E373" i="31"/>
  <c r="Q373" i="31"/>
  <c r="E374" i="31"/>
  <c r="Q374" i="31"/>
  <c r="E375" i="31"/>
  <c r="Q375" i="31"/>
  <c r="E376" i="31"/>
  <c r="Q376" i="31"/>
  <c r="E377" i="31"/>
  <c r="Q377" i="31"/>
  <c r="E378" i="31"/>
  <c r="Q378" i="31"/>
  <c r="E379" i="31"/>
  <c r="Q379" i="31"/>
  <c r="E380" i="31"/>
  <c r="Q380" i="31"/>
  <c r="E381" i="31"/>
  <c r="Q381" i="31"/>
  <c r="E382" i="31"/>
  <c r="Q382" i="31"/>
  <c r="E383" i="31"/>
  <c r="Q383" i="31"/>
  <c r="E384" i="31"/>
  <c r="Q384" i="31"/>
  <c r="E385" i="31"/>
  <c r="Q385" i="31"/>
  <c r="E386" i="31"/>
  <c r="Q386" i="31"/>
  <c r="E387" i="31"/>
  <c r="Q387" i="31"/>
  <c r="E388" i="31"/>
  <c r="Q388" i="31"/>
  <c r="E389" i="31"/>
  <c r="Q389" i="31"/>
  <c r="E390" i="31"/>
  <c r="Q390" i="31"/>
  <c r="E391" i="31"/>
  <c r="Q391" i="31"/>
  <c r="E392" i="31"/>
  <c r="Q392" i="31"/>
  <c r="E393" i="31"/>
  <c r="Q393" i="31"/>
  <c r="E394" i="31"/>
  <c r="Q394" i="31"/>
  <c r="E395" i="31"/>
  <c r="Q395" i="31"/>
  <c r="E396" i="31"/>
  <c r="Q396" i="31"/>
  <c r="E397" i="31"/>
  <c r="Q397" i="31"/>
  <c r="E398" i="31"/>
  <c r="Q398" i="31"/>
  <c r="E399" i="31"/>
  <c r="Q399" i="31"/>
  <c r="E400" i="31"/>
  <c r="Q400" i="31"/>
  <c r="E401" i="31"/>
  <c r="Q401" i="31"/>
  <c r="E402" i="31"/>
  <c r="Q402" i="31"/>
  <c r="E403" i="31"/>
  <c r="Q403" i="31"/>
  <c r="E404" i="31"/>
  <c r="Q404" i="31"/>
  <c r="E405" i="31"/>
  <c r="Q405" i="31"/>
  <c r="E406" i="31"/>
  <c r="Q406" i="31"/>
  <c r="E407" i="31"/>
  <c r="Q407" i="31"/>
  <c r="E408" i="31"/>
  <c r="Q408" i="31"/>
  <c r="E409" i="31"/>
  <c r="Q409" i="31"/>
  <c r="E410" i="31"/>
  <c r="Q410" i="31"/>
  <c r="E411" i="31"/>
  <c r="Q411" i="31"/>
  <c r="E412" i="31"/>
  <c r="Q412" i="31"/>
  <c r="E413" i="31"/>
  <c r="Q413" i="31"/>
  <c r="E414" i="31"/>
  <c r="Q414" i="31"/>
  <c r="E415" i="31"/>
  <c r="Q415" i="31"/>
  <c r="E416" i="31"/>
  <c r="Q416" i="31"/>
  <c r="E417" i="31"/>
  <c r="Q417" i="31"/>
  <c r="E418" i="31"/>
  <c r="Q418" i="31"/>
  <c r="E419" i="31"/>
  <c r="Q419" i="31"/>
  <c r="E420" i="31"/>
  <c r="Q420" i="31"/>
  <c r="E421" i="31"/>
  <c r="Q421" i="31"/>
  <c r="E422" i="31"/>
  <c r="Q422" i="31"/>
  <c r="E423" i="31"/>
  <c r="Q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s="1"/>
  <c r="D15" i="4"/>
  <c r="I5" i="81" s="1"/>
  <c r="F7" i="1"/>
  <c r="G7" i="1"/>
  <c r="C15" i="4"/>
  <c r="F6" i="1"/>
  <c r="I24" i="43" s="1"/>
  <c r="C24" i="43" s="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L17" i="3" s="1"/>
  <c r="BS13" i="3"/>
  <c r="BS14" i="3"/>
  <c r="BS15" i="3"/>
  <c r="BS16" i="3"/>
  <c r="BS5" i="3" s="1"/>
  <c r="BS17" i="3"/>
  <c r="BR14" i="3"/>
  <c r="BR15" i="3"/>
  <c r="BR16" i="3"/>
  <c r="BL16" i="3" s="1"/>
  <c r="BR17" i="3"/>
  <c r="BT13" i="3"/>
  <c r="BT14" i="3"/>
  <c r="BT15" i="3"/>
  <c r="BT5" i="3" s="1"/>
  <c r="BT16" i="3"/>
  <c r="BT17" i="3"/>
  <c r="BM14" i="3"/>
  <c r="BM15" i="3"/>
  <c r="BM5" i="3" s="1"/>
  <c r="BN15" i="3"/>
  <c r="BO15" i="3"/>
  <c r="BP15" i="3"/>
  <c r="BL15" i="3"/>
  <c r="BM16" i="3"/>
  <c r="BM17" i="3"/>
  <c r="BO13" i="3"/>
  <c r="BO14" i="3"/>
  <c r="BO5" i="3" s="1"/>
  <c r="BO16" i="3"/>
  <c r="BO17" i="3"/>
  <c r="BN13" i="3"/>
  <c r="BN14" i="3"/>
  <c r="BL14" i="3" s="1"/>
  <c r="BN16" i="3"/>
  <c r="BN17" i="3"/>
  <c r="BP13" i="3"/>
  <c r="BP14" i="3"/>
  <c r="BP5" i="3" s="1"/>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C5" i="3" s="1"/>
  <c r="BD14" i="3"/>
  <c r="BE14" i="3"/>
  <c r="BF14" i="3"/>
  <c r="BG14" i="3"/>
  <c r="BG5" i="3" s="1"/>
  <c r="BH14" i="3"/>
  <c r="BI14" i="3"/>
  <c r="BJ14" i="3"/>
  <c r="BK14" i="3"/>
  <c r="BK5" i="3" s="1"/>
  <c r="BB15" i="3"/>
  <c r="BC15" i="3"/>
  <c r="BD15" i="3"/>
  <c r="BE15" i="3"/>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G493" i="3" s="1"/>
  <c r="AC493" i="3"/>
  <c r="BB493" i="3"/>
  <c r="BA493" i="3" s="1"/>
  <c r="AZ493" i="3" s="1"/>
  <c r="BC493" i="3"/>
  <c r="BD493" i="3"/>
  <c r="BE493" i="3"/>
  <c r="BF493" i="3"/>
  <c r="BG493" i="3"/>
  <c r="BH493" i="3"/>
  <c r="BI493" i="3"/>
  <c r="BJ493" i="3"/>
  <c r="BK493" i="3"/>
  <c r="BM493" i="3"/>
  <c r="BN493" i="3"/>
  <c r="BO493" i="3"/>
  <c r="BP493" i="3"/>
  <c r="BR493" i="3"/>
  <c r="BS493" i="3"/>
  <c r="BT493" i="3"/>
  <c r="H494" i="3"/>
  <c r="G494" i="3" s="1"/>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AZ505" i="3" s="1"/>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AZ507" i="3" s="1"/>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R513" i="3"/>
  <c r="BS513" i="3"/>
  <c r="BT513" i="3"/>
  <c r="H514" i="3"/>
  <c r="G514" i="3" s="1"/>
  <c r="AC514" i="3"/>
  <c r="BB514" i="3"/>
  <c r="BA514" i="3" s="1"/>
  <c r="AZ514" i="3" s="1"/>
  <c r="BC514" i="3"/>
  <c r="BD514" i="3"/>
  <c r="BE514" i="3"/>
  <c r="BF514" i="3"/>
  <c r="BG514" i="3"/>
  <c r="BH514" i="3"/>
  <c r="BI514" i="3"/>
  <c r="BJ514" i="3"/>
  <c r="BK514" i="3"/>
  <c r="BM514" i="3"/>
  <c r="BN514" i="3"/>
  <c r="BO514" i="3"/>
  <c r="BP514" i="3"/>
  <c r="BQ514" i="3"/>
  <c r="BR514" i="3"/>
  <c r="BS514" i="3"/>
  <c r="BT514" i="3"/>
  <c r="H515" i="3"/>
  <c r="G515" i="3" s="1"/>
  <c r="AC515" i="3"/>
  <c r="BB515" i="3"/>
  <c r="BA515" i="3" s="1"/>
  <c r="AZ515" i="3" s="1"/>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A517" i="3" s="1"/>
  <c r="AZ517" i="3" s="1"/>
  <c r="BC517" i="3"/>
  <c r="BD517" i="3"/>
  <c r="BE517" i="3"/>
  <c r="BF517" i="3"/>
  <c r="BG517" i="3"/>
  <c r="BH517" i="3"/>
  <c r="BI517" i="3"/>
  <c r="BJ517" i="3"/>
  <c r="BK517" i="3"/>
  <c r="BM517" i="3"/>
  <c r="BN517" i="3"/>
  <c r="BO517" i="3"/>
  <c r="BP517" i="3"/>
  <c r="BR517" i="3"/>
  <c r="BS517" i="3"/>
  <c r="BT517" i="3"/>
  <c r="H518" i="3"/>
  <c r="G518" i="3" s="1"/>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P519" i="3"/>
  <c r="BR519" i="3"/>
  <c r="BS519" i="3"/>
  <c r="BT519" i="3"/>
  <c r="H520" i="3"/>
  <c r="G520" i="3" s="1"/>
  <c r="AC520" i="3"/>
  <c r="BB520" i="3"/>
  <c r="BA520" i="3" s="1"/>
  <c r="AZ520" i="3" s="1"/>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Q522" i="3"/>
  <c r="BR522" i="3"/>
  <c r="BS522" i="3"/>
  <c r="BT522" i="3"/>
  <c r="H523" i="3"/>
  <c r="G523" i="3" s="1"/>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AZ525" i="3" s="1"/>
  <c r="BC525" i="3"/>
  <c r="BD525" i="3"/>
  <c r="BE525" i="3"/>
  <c r="BF525" i="3"/>
  <c r="BG525" i="3"/>
  <c r="BH525" i="3"/>
  <c r="BI525" i="3"/>
  <c r="BJ525" i="3"/>
  <c r="BK525" i="3"/>
  <c r="BM525" i="3"/>
  <c r="BN525" i="3"/>
  <c r="BO525" i="3"/>
  <c r="BP525" i="3"/>
  <c r="BR525" i="3"/>
  <c r="BS525" i="3"/>
  <c r="BT525" i="3"/>
  <c r="H526" i="3"/>
  <c r="G526" i="3" s="1"/>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G534" i="3" s="1"/>
  <c r="AC534" i="3"/>
  <c r="BB534" i="3"/>
  <c r="BA534" i="3" s="1"/>
  <c r="AZ534" i="3" s="1"/>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R550" i="3"/>
  <c r="BS550" i="3"/>
  <c r="BT550" i="3"/>
  <c r="BL550" i="3"/>
  <c r="H551" i="3"/>
  <c r="G551" i="3" s="1"/>
  <c r="AC551" i="3"/>
  <c r="BB551" i="3"/>
  <c r="BA551" i="3" s="1"/>
  <c r="AZ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G557" i="3" s="1"/>
  <c r="BB557" i="3"/>
  <c r="BA557" i="3" s="1"/>
  <c r="AZ557" i="3" s="1"/>
  <c r="BC557" i="3"/>
  <c r="BD557" i="3"/>
  <c r="BE557" i="3"/>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AZ567" i="3" s="1"/>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AZ570" i="3" s="1"/>
  <c r="BC570" i="3"/>
  <c r="BD570" i="3"/>
  <c r="BE570" i="3"/>
  <c r="BF570" i="3"/>
  <c r="BG570" i="3"/>
  <c r="BH570" i="3"/>
  <c r="BI570" i="3"/>
  <c r="BJ570" i="3"/>
  <c r="BK570" i="3"/>
  <c r="BM570" i="3"/>
  <c r="BN570" i="3"/>
  <c r="BO570" i="3"/>
  <c r="BP570" i="3"/>
  <c r="BQ570" i="3"/>
  <c r="BR570" i="3"/>
  <c r="BS570" i="3"/>
  <c r="BT570" i="3"/>
  <c r="H571" i="3"/>
  <c r="G571" i="3" s="1"/>
  <c r="AC571" i="3"/>
  <c r="BB571" i="3"/>
  <c r="BA571" i="3" s="1"/>
  <c r="AZ571" i="3" s="1"/>
  <c r="BC571" i="3"/>
  <c r="BD571" i="3"/>
  <c r="BE571" i="3"/>
  <c r="BF571" i="3"/>
  <c r="BG571" i="3"/>
  <c r="BH571" i="3"/>
  <c r="BI571" i="3"/>
  <c r="BJ571" i="3"/>
  <c r="BK571" i="3"/>
  <c r="BM571" i="3"/>
  <c r="BN571" i="3"/>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G578" i="3" s="1"/>
  <c r="AC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AZ581" i="3" s="1"/>
  <c r="BC581" i="3"/>
  <c r="BD581" i="3"/>
  <c r="BE581" i="3"/>
  <c r="BF581" i="3"/>
  <c r="BG581" i="3"/>
  <c r="BH581" i="3"/>
  <c r="BI581" i="3"/>
  <c r="BJ581" i="3"/>
  <c r="BK581" i="3"/>
  <c r="BM581" i="3"/>
  <c r="BN581" i="3"/>
  <c r="BO581" i="3"/>
  <c r="BP581" i="3"/>
  <c r="BR581" i="3"/>
  <c r="BS581" i="3"/>
  <c r="BT581" i="3"/>
  <c r="H582" i="3"/>
  <c r="AC582" i="3"/>
  <c r="G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F91" i="33" s="1"/>
  <c r="G91" i="33" s="1"/>
  <c r="H91" i="33" s="1"/>
  <c r="I91" i="33" s="1"/>
  <c r="J91" i="33" s="1"/>
  <c r="K91" i="33" s="1"/>
  <c r="L91" i="33" s="1"/>
  <c r="M91" i="33" s="1"/>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E85" i="33"/>
  <c r="D81" i="33"/>
  <c r="E81" i="33"/>
  <c r="D79" i="33"/>
  <c r="J17"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c r="J15" i="33"/>
  <c r="AC15" i="33" s="1"/>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G536" i="3"/>
  <c r="G528" i="3"/>
  <c r="G510" i="3"/>
  <c r="G504" i="3"/>
  <c r="G584" i="3"/>
  <c r="G580" i="3"/>
  <c r="G576" i="3"/>
  <c r="G564" i="3"/>
  <c r="G56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G525" i="3"/>
  <c r="BL524" i="3"/>
  <c r="BL518" i="3"/>
  <c r="BL514" i="3"/>
  <c r="BL510" i="3"/>
  <c r="BL504" i="3"/>
  <c r="BL500" i="3"/>
  <c r="BL496" i="3"/>
  <c r="BA580" i="3"/>
  <c r="AZ580" i="3" s="1"/>
  <c r="BL558" i="3"/>
  <c r="BA552" i="3"/>
  <c r="AZ552" i="3" s="1"/>
  <c r="BA542" i="3"/>
  <c r="AZ542" i="3" s="1"/>
  <c r="BA540" i="3"/>
  <c r="AZ540" i="3" s="1"/>
  <c r="BA536" i="3"/>
  <c r="AZ536" i="3" s="1"/>
  <c r="BA532" i="3"/>
  <c r="AZ532" i="3" s="1"/>
  <c r="BA524" i="3"/>
  <c r="AZ524" i="3" s="1"/>
  <c r="BA508" i="3"/>
  <c r="AZ508" i="3" s="1"/>
  <c r="BA504" i="3"/>
  <c r="AZ504" i="3" s="1"/>
  <c r="BA500" i="3"/>
  <c r="AZ500" i="3" s="1"/>
  <c r="BA498" i="3"/>
  <c r="AZ498" i="3" s="1"/>
  <c r="BA496" i="3"/>
  <c r="AZ496" i="3" s="1"/>
  <c r="BA583" i="3"/>
  <c r="BQ581" i="3"/>
  <c r="BL581" i="3"/>
  <c r="BA573" i="3"/>
  <c r="AZ573" i="3" s="1"/>
  <c r="BA569" i="3"/>
  <c r="AZ569" i="3" s="1"/>
  <c r="BA561" i="3"/>
  <c r="AZ561" i="3" s="1"/>
  <c r="BA553" i="3"/>
  <c r="AZ553" i="3" s="1"/>
  <c r="BA537" i="3"/>
  <c r="AZ537" i="3" s="1"/>
  <c r="BA501" i="3"/>
  <c r="AZ501" i="3" s="1"/>
  <c r="BA497" i="3"/>
  <c r="AZ497" i="3" s="1"/>
  <c r="G575" i="3"/>
  <c r="G573" i="3"/>
  <c r="G567" i="3"/>
  <c r="BQ557" i="3"/>
  <c r="BL557" i="3"/>
  <c r="AC557" i="3"/>
  <c r="BQ583" i="3"/>
  <c r="BL583" i="3"/>
  <c r="AZ583" i="3"/>
  <c r="BQ579" i="3"/>
  <c r="BL579" i="3"/>
  <c r="BQ577" i="3"/>
  <c r="BL577" i="3"/>
  <c r="BQ575" i="3"/>
  <c r="BL575" i="3"/>
  <c r="BQ573" i="3"/>
  <c r="BL573" i="3"/>
  <c r="BQ571" i="3"/>
  <c r="BL571" i="3"/>
  <c r="BQ569" i="3"/>
  <c r="BL569" i="3"/>
  <c r="BQ567" i="3"/>
  <c r="BL567" i="3"/>
  <c r="BQ565" i="3"/>
  <c r="BL565" i="3"/>
  <c r="BQ563" i="3"/>
  <c r="BL563" i="3"/>
  <c r="BQ561" i="3"/>
  <c r="BL561" i="3"/>
  <c r="BQ559" i="3"/>
  <c r="BL559" i="3"/>
  <c r="G559" i="3"/>
  <c r="G541"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7" i="3"/>
  <c r="BQ519" i="3"/>
  <c r="BL519" i="3"/>
  <c r="BQ517" i="3"/>
  <c r="BL517" i="3"/>
  <c r="BQ515" i="3"/>
  <c r="BL515" i="3"/>
  <c r="BQ513" i="3"/>
  <c r="BL513" i="3"/>
  <c r="BQ511" i="3"/>
  <c r="BL511" i="3"/>
  <c r="AC509" i="3"/>
  <c r="BQ509" i="3"/>
  <c r="BL509" i="3"/>
  <c r="BL508" i="3"/>
  <c r="BQ507" i="3"/>
  <c r="BL507" i="3"/>
  <c r="BQ505" i="3"/>
  <c r="BL505" i="3"/>
  <c r="BQ503" i="3"/>
  <c r="BL503" i="3"/>
  <c r="BQ501" i="3"/>
  <c r="BL501" i="3"/>
  <c r="BQ499" i="3"/>
  <c r="BL499" i="3"/>
  <c r="BQ497" i="3"/>
  <c r="BL497" i="3"/>
  <c r="BQ495" i="3"/>
  <c r="BL495" i="3"/>
  <c r="BQ493"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AZ327" i="3" s="1"/>
  <c r="G335" i="3"/>
  <c r="BL336" i="3"/>
  <c r="G337" i="3"/>
  <c r="BL338" i="3"/>
  <c r="BA340" i="3"/>
  <c r="AZ340" i="3" s="1"/>
  <c r="BA341" i="3"/>
  <c r="AZ341" i="3" s="1"/>
  <c r="BL341" i="3"/>
  <c r="BA343" i="3"/>
  <c r="AZ343" i="3" s="1"/>
  <c r="BA345" i="3"/>
  <c r="AZ345" i="3" s="1"/>
  <c r="BL355" i="3"/>
  <c r="G356" i="3"/>
  <c r="BL357" i="3"/>
  <c r="BA359" i="3"/>
  <c r="AZ359" i="3" s="1"/>
  <c r="BA360" i="3"/>
  <c r="AZ360" i="3" s="1"/>
  <c r="BL360" i="3"/>
  <c r="G361" i="3"/>
  <c r="BA362" i="3"/>
  <c r="BL362" i="3"/>
  <c r="AZ362" i="3"/>
  <c r="G370" i="3"/>
  <c r="BL371" i="3"/>
  <c r="G372" i="3"/>
  <c r="BL373" i="3"/>
  <c r="BA375" i="3"/>
  <c r="AZ375" i="3" s="1"/>
  <c r="BA376" i="3"/>
  <c r="AZ376" i="3" s="1"/>
  <c r="BL376" i="3"/>
  <c r="G377" i="3"/>
  <c r="BA378" i="3"/>
  <c r="AZ378" i="3" s="1"/>
  <c r="BL378" i="3"/>
  <c r="G379" i="3"/>
  <c r="BA380" i="3"/>
  <c r="G388" i="3"/>
  <c r="BL389" i="3"/>
  <c r="G390" i="3"/>
  <c r="BL391" i="3"/>
  <c r="BA393" i="3"/>
  <c r="AZ393" i="3" s="1"/>
  <c r="BA394" i="3"/>
  <c r="AZ394" i="3" s="1"/>
  <c r="BL394" i="3"/>
  <c r="G113" i="3"/>
  <c r="BA115" i="3"/>
  <c r="AZ115" i="3" s="1"/>
  <c r="BL116" i="3"/>
  <c r="AZ116" i="3"/>
  <c r="G117" i="3"/>
  <c r="BA119" i="3"/>
  <c r="AZ119" i="3" s="1"/>
  <c r="BL120" i="3"/>
  <c r="G121" i="3"/>
  <c r="BA123" i="3"/>
  <c r="AZ123" i="3" s="1"/>
  <c r="BL124" i="3"/>
  <c r="AZ124" i="3"/>
  <c r="G125" i="3"/>
  <c r="BA127" i="3"/>
  <c r="AZ127" i="3" s="1"/>
  <c r="BL128" i="3"/>
  <c r="G129" i="3"/>
  <c r="BA131" i="3"/>
  <c r="AZ131" i="3" s="1"/>
  <c r="BL132" i="3"/>
  <c r="AZ132" i="3"/>
  <c r="G133" i="3"/>
  <c r="BA135" i="3"/>
  <c r="AZ135" i="3" s="1"/>
  <c r="BL136" i="3"/>
  <c r="G137" i="3"/>
  <c r="BA139" i="3"/>
  <c r="AZ139" i="3" s="1"/>
  <c r="BL140" i="3"/>
  <c r="AZ140" i="3"/>
  <c r="G141" i="3"/>
  <c r="BA143" i="3"/>
  <c r="AZ143" i="3" s="1"/>
  <c r="BL144" i="3"/>
  <c r="G145" i="3"/>
  <c r="BA147" i="3"/>
  <c r="AZ147" i="3" s="1"/>
  <c r="BL148" i="3"/>
  <c r="AZ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39" i="3"/>
  <c r="AZ43" i="3"/>
  <c r="AZ51" i="3"/>
  <c r="AZ55" i="3"/>
  <c r="AZ63" i="3"/>
  <c r="AZ67" i="3"/>
  <c r="AZ71" i="3"/>
  <c r="AZ75" i="3"/>
  <c r="AZ83" i="3"/>
  <c r="AZ136" i="3"/>
  <c r="AZ144" i="3"/>
  <c r="AZ160" i="3"/>
  <c r="AZ168" i="3"/>
  <c r="AZ176" i="3"/>
  <c r="AZ192" i="3"/>
  <c r="AZ200" i="3"/>
  <c r="AZ85" i="3"/>
  <c r="AZ93" i="3"/>
  <c r="AZ97" i="3"/>
  <c r="AZ105" i="3"/>
  <c r="AZ109" i="3"/>
  <c r="AZ120" i="3"/>
  <c r="AZ128" i="3"/>
  <c r="G516" i="3"/>
  <c r="BA304" i="3"/>
  <c r="AZ304" i="3" s="1"/>
  <c r="BA305" i="3"/>
  <c r="AZ305" i="3" s="1"/>
  <c r="BL305" i="3"/>
  <c r="G306" i="3"/>
  <c r="G309" i="3"/>
  <c r="BL310" i="3"/>
  <c r="BA312" i="3"/>
  <c r="AZ312" i="3" s="1"/>
  <c r="BA313" i="3"/>
  <c r="AZ313" i="3" s="1"/>
  <c r="BL313" i="3"/>
  <c r="G314" i="3"/>
  <c r="G317" i="3"/>
  <c r="BL318" i="3"/>
  <c r="BA320" i="3"/>
  <c r="AZ320" i="3" s="1"/>
  <c r="BA321" i="3"/>
  <c r="BL321" i="3"/>
  <c r="AZ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AZ344" i="3"/>
  <c r="BA346" i="3"/>
  <c r="AZ346" i="3" s="1"/>
  <c r="BA347" i="3"/>
  <c r="AZ347" i="3" s="1"/>
  <c r="BL347" i="3"/>
  <c r="G350" i="3"/>
  <c r="BA351" i="3"/>
  <c r="AZ351" i="3" s="1"/>
  <c r="BL351" i="3"/>
  <c r="G352" i="3"/>
  <c r="G354" i="3"/>
  <c r="BA355" i="3"/>
  <c r="AZ355" i="3" s="1"/>
  <c r="BA356" i="3"/>
  <c r="AZ356" i="3" s="1"/>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AZ142" i="3"/>
  <c r="AZ150" i="3"/>
  <c r="AZ154" i="3"/>
  <c r="AZ158" i="3"/>
  <c r="AZ166" i="3"/>
  <c r="AZ170" i="3"/>
  <c r="AZ174" i="3"/>
  <c r="AZ178" i="3"/>
  <c r="AZ182" i="3"/>
  <c r="AZ186" i="3"/>
  <c r="AZ190" i="3"/>
  <c r="AZ198" i="3"/>
  <c r="AZ202" i="3"/>
  <c r="AZ206" i="3"/>
  <c r="BA16" i="3"/>
  <c r="BL303" i="3"/>
  <c r="G304" i="3"/>
  <c r="BA306" i="3"/>
  <c r="AZ306" i="3" s="1"/>
  <c r="BL307" i="3"/>
  <c r="AZ307" i="3"/>
  <c r="G308" i="3"/>
  <c r="BA310" i="3"/>
  <c r="AZ310" i="3" s="1"/>
  <c r="BL311" i="3"/>
  <c r="G312" i="3"/>
  <c r="BA314" i="3"/>
  <c r="AZ314" i="3" s="1"/>
  <c r="BL315" i="3"/>
  <c r="AZ315" i="3"/>
  <c r="G316" i="3"/>
  <c r="BA318" i="3"/>
  <c r="AZ318" i="3" s="1"/>
  <c r="BL319" i="3"/>
  <c r="G320" i="3"/>
  <c r="BA322" i="3"/>
  <c r="AZ322" i="3" s="1"/>
  <c r="BL323" i="3"/>
  <c r="AZ323" i="3"/>
  <c r="G324" i="3"/>
  <c r="BA326" i="3"/>
  <c r="AZ326" i="3" s="1"/>
  <c r="BL327" i="3"/>
  <c r="G328" i="3"/>
  <c r="BA330" i="3"/>
  <c r="AZ330" i="3" s="1"/>
  <c r="BL331" i="3"/>
  <c r="AZ331" i="3"/>
  <c r="G332" i="3"/>
  <c r="BA334" i="3"/>
  <c r="AZ334" i="3" s="1"/>
  <c r="BL335" i="3"/>
  <c r="G336" i="3"/>
  <c r="BA338" i="3"/>
  <c r="AZ338" i="3" s="1"/>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s="1"/>
  <c r="BL358" i="3"/>
  <c r="AZ358" i="3"/>
  <c r="G359" i="3"/>
  <c r="BA361" i="3"/>
  <c r="AZ361" i="3" s="1"/>
  <c r="G363" i="3"/>
  <c r="BA365" i="3"/>
  <c r="AZ365" i="3" s="1"/>
  <c r="BL366" i="3"/>
  <c r="AZ366" i="3"/>
  <c r="G367" i="3"/>
  <c r="BA369" i="3"/>
  <c r="AZ369" i="3" s="1"/>
  <c r="BL370" i="3"/>
  <c r="G371" i="3"/>
  <c r="BA373" i="3"/>
  <c r="AZ373" i="3" s="1"/>
  <c r="BL374" i="3"/>
  <c r="AZ374" i="3"/>
  <c r="G375" i="3"/>
  <c r="BA377" i="3"/>
  <c r="AZ377" i="3" s="1"/>
  <c r="AZ229" i="3"/>
  <c r="AZ233" i="3"/>
  <c r="AZ237" i="3"/>
  <c r="AZ241" i="3"/>
  <c r="AZ245" i="3"/>
  <c r="AZ249" i="3"/>
  <c r="AZ253" i="3"/>
  <c r="AZ257" i="3"/>
  <c r="AZ261" i="3"/>
  <c r="AZ265" i="3"/>
  <c r="AZ370" i="3"/>
  <c r="BA379" i="3"/>
  <c r="AZ379" i="3" s="1"/>
  <c r="BL380" i="3"/>
  <c r="G381" i="3"/>
  <c r="BA383" i="3"/>
  <c r="AZ383" i="3" s="1"/>
  <c r="BL384" i="3"/>
  <c r="G385" i="3"/>
  <c r="BA387" i="3"/>
  <c r="AZ387" i="3" s="1"/>
  <c r="BL388" i="3"/>
  <c r="G389" i="3"/>
  <c r="BA391" i="3"/>
  <c r="AZ391" i="3" s="1"/>
  <c r="BL392" i="3"/>
  <c r="G393" i="3"/>
  <c r="AZ275" i="3"/>
  <c r="AZ283" i="3"/>
  <c r="AZ287" i="3"/>
  <c r="AZ291" i="3"/>
  <c r="AZ299" i="3"/>
  <c r="BJ5" i="3"/>
  <c r="BH5" i="3"/>
  <c r="BD5" i="3"/>
  <c r="BQ5" i="3"/>
  <c r="F28" i="6" s="1"/>
  <c r="AC5" i="3"/>
  <c r="BN5" i="3"/>
  <c r="G29" i="6" s="1"/>
  <c r="BE5" i="3"/>
  <c r="BA17" i="3"/>
  <c r="BR5" i="3"/>
  <c r="G28" i="6" s="1"/>
  <c r="AZ350" i="3"/>
  <c r="AZ352" i="3"/>
  <c r="AZ368" i="3"/>
  <c r="BA15" i="3"/>
  <c r="AZ380" i="3"/>
  <c r="AZ388" i="3"/>
  <c r="AZ392" i="3"/>
  <c r="AZ396" i="3"/>
  <c r="G509" i="3"/>
  <c r="BL493" i="3"/>
  <c r="AZ491" i="3"/>
  <c r="AZ390" i="3"/>
  <c r="U36" i="40"/>
  <c r="F83" i="43"/>
  <c r="H85" i="43"/>
  <c r="F50" i="43"/>
  <c r="H54" i="43"/>
  <c r="F72" i="43"/>
  <c r="H75" i="43"/>
  <c r="U17" i="39"/>
  <c r="S14" i="35"/>
  <c r="U43" i="21"/>
  <c r="U35" i="21"/>
  <c r="AC35" i="21"/>
  <c r="G8" i="1"/>
  <c r="G10" i="1"/>
  <c r="AC11" i="39"/>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c r="H44" i="34"/>
  <c r="AB44" i="34"/>
  <c r="AC38" i="39"/>
  <c r="F39" i="39"/>
  <c r="S39" i="39"/>
  <c r="J39" i="39"/>
  <c r="AC39" i="39"/>
  <c r="E96" i="39"/>
  <c r="F96" i="39"/>
  <c r="G96" i="39"/>
  <c r="AZ353" i="3"/>
  <c r="AZ354" i="3"/>
  <c r="C40" i="11"/>
  <c r="AZ215" i="3"/>
  <c r="AZ223" i="3"/>
  <c r="AZ227" i="3"/>
  <c r="AZ232" i="3"/>
  <c r="AZ235" i="3"/>
  <c r="AZ240" i="3"/>
  <c r="AZ243" i="3"/>
  <c r="AZ248" i="3"/>
  <c r="AZ251" i="3"/>
  <c r="AZ256" i="3"/>
  <c r="AZ271" i="3"/>
  <c r="AZ288" i="3"/>
  <c r="AZ117" i="3"/>
  <c r="AZ133" i="3"/>
  <c r="AZ21" i="3"/>
  <c r="AZ29" i="3"/>
  <c r="AZ31" i="3"/>
  <c r="AZ33" i="3"/>
  <c r="AZ37" i="3"/>
  <c r="AZ42" i="3"/>
  <c r="AZ45" i="3"/>
  <c r="AZ50" i="3"/>
  <c r="AZ53" i="3"/>
  <c r="AZ58" i="3"/>
  <c r="AZ61" i="3"/>
  <c r="AZ66" i="3"/>
  <c r="AZ69" i="3"/>
  <c r="AZ72" i="3"/>
  <c r="AZ74" i="3"/>
  <c r="AZ77" i="3"/>
  <c r="AZ82" i="3"/>
  <c r="AZ86" i="3"/>
  <c r="AZ94"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AC26" i="33"/>
  <c r="W27" i="34"/>
  <c r="AC27" i="34"/>
  <c r="AB34" i="36"/>
  <c r="U34" i="36"/>
  <c r="AB33" i="36"/>
  <c r="U33" i="36"/>
  <c r="AC12" i="39"/>
  <c r="W12" i="39"/>
  <c r="AC39" i="40"/>
  <c r="W39" i="40"/>
  <c r="W12" i="33"/>
  <c r="AC12" i="33"/>
  <c r="AA32" i="36"/>
  <c r="S32" i="36"/>
  <c r="AZ490" i="3"/>
  <c r="AA39" i="34"/>
  <c r="AZ266" i="3"/>
  <c r="U30" i="33"/>
  <c r="AC13" i="34"/>
  <c r="AA47" i="34"/>
  <c r="W28" i="37"/>
  <c r="S19" i="39"/>
  <c r="F12" i="33"/>
  <c r="H12" i="39"/>
  <c r="AB12" i="39"/>
  <c r="F39" i="40"/>
  <c r="BA14" i="3"/>
  <c r="AZ367" i="3"/>
  <c r="AZ213" i="3"/>
  <c r="AZ224" i="3"/>
  <c r="AZ234" i="3"/>
  <c r="AZ238" i="3"/>
  <c r="AZ250" i="3"/>
  <c r="AZ254" i="3"/>
  <c r="AZ286" i="3"/>
  <c r="AZ297" i="3"/>
  <c r="AZ149" i="3"/>
  <c r="AZ157" i="3"/>
  <c r="AZ165" i="3"/>
  <c r="AZ173" i="3"/>
  <c r="AZ181" i="3"/>
  <c r="AZ189" i="3"/>
  <c r="AZ197" i="3"/>
  <c r="AZ26" i="3"/>
  <c r="AZ35" i="3"/>
  <c r="AZ41" i="3"/>
  <c r="AZ84" i="3"/>
  <c r="AZ107" i="3"/>
  <c r="AZ111" i="3"/>
  <c r="K12" i="1"/>
  <c r="M12" i="1" s="1"/>
  <c r="S13" i="1"/>
  <c r="AR13" i="1" s="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S46" i="33"/>
  <c r="W43" i="33"/>
  <c r="S43" i="33"/>
  <c r="F25" i="33"/>
  <c r="S25" i="33" s="1"/>
  <c r="J23" i="33"/>
  <c r="F85" i="33"/>
  <c r="H23" i="33"/>
  <c r="F81" i="33"/>
  <c r="F19" i="33"/>
  <c r="S19" i="33"/>
  <c r="W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15"/>
  <c r="F62" i="15" s="1"/>
  <c r="G13" i="3"/>
  <c r="BA13" i="3"/>
  <c r="BL13" i="3"/>
  <c r="J56" i="9"/>
  <c r="J57" i="9"/>
  <c r="J59" i="9"/>
  <c r="J61" i="9"/>
  <c r="A24" i="51"/>
  <c r="B18" i="72"/>
  <c r="U29" i="34"/>
  <c r="E5" i="6"/>
  <c r="D9" i="69" s="1"/>
  <c r="C9" i="69" s="1"/>
  <c r="E32" i="6"/>
  <c r="G1" i="68"/>
  <c r="K1" i="12"/>
  <c r="E19" i="69"/>
  <c r="E19" i="68"/>
  <c r="E19" i="11"/>
  <c r="E1" i="73"/>
  <c r="G22" i="69"/>
  <c r="G22" i="68"/>
  <c r="G26" i="12"/>
  <c r="G22" i="11"/>
  <c r="C6" i="43"/>
  <c r="B19" i="53"/>
  <c r="B37" i="72"/>
  <c r="C7" i="39"/>
  <c r="C67" i="39" s="1"/>
  <c r="D67" i="39" s="1"/>
  <c r="D69" i="39" s="1"/>
  <c r="C7" i="35"/>
  <c r="C7" i="33"/>
  <c r="C58" i="33" s="1"/>
  <c r="C7" i="21"/>
  <c r="C58" i="21" s="1"/>
  <c r="C7" i="40"/>
  <c r="C63" i="40" s="1"/>
  <c r="D63" i="40" s="1"/>
  <c r="M47" i="9"/>
  <c r="G23" i="43"/>
  <c r="C46" i="36"/>
  <c r="D46" i="36" s="1"/>
  <c r="E46" i="36" s="1"/>
  <c r="C52" i="37"/>
  <c r="A4" i="51"/>
  <c r="B6" i="72"/>
  <c r="C48" i="35"/>
  <c r="H67" i="43"/>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U27" i="33"/>
  <c r="J25" i="33"/>
  <c r="W25" i="33" s="1"/>
  <c r="AB23" i="33"/>
  <c r="U23" i="33"/>
  <c r="F23" i="33"/>
  <c r="G85" i="33"/>
  <c r="AC23" i="33"/>
  <c r="W23" i="33"/>
  <c r="AA19" i="33"/>
  <c r="H19" i="33"/>
  <c r="G81"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A23" i="33"/>
  <c r="S23" i="33"/>
  <c r="AB19" i="33"/>
  <c r="U19"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c r="F26" i="43" s="1"/>
  <c r="L19" i="6"/>
  <c r="O6" i="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c r="B81" i="43"/>
  <c r="D66" i="43"/>
  <c r="D64" i="43"/>
  <c r="D62" i="43"/>
  <c r="D67" i="43"/>
  <c r="D65" i="43"/>
  <c r="D63" i="43"/>
  <c r="D69" i="43"/>
  <c r="D73" i="43"/>
  <c r="D75" i="43"/>
  <c r="D79" i="43"/>
  <c r="D22" i="67"/>
  <c r="P6" i="1"/>
  <c r="C13" i="12"/>
  <c r="P11" i="1"/>
  <c r="AZ13" i="3"/>
  <c r="O9" i="1"/>
  <c r="P9" i="1"/>
  <c r="O12" i="1"/>
  <c r="P12" i="1"/>
  <c r="O8" i="1"/>
  <c r="P8" i="1"/>
  <c r="H73" i="43"/>
  <c r="H90" i="43"/>
  <c r="I18" i="43"/>
  <c r="E17" i="43"/>
  <c r="C17" i="43"/>
  <c r="H55" i="43"/>
  <c r="H86" i="43"/>
  <c r="H87" i="43"/>
  <c r="H89" i="43"/>
  <c r="H88" i="43"/>
  <c r="H84" i="43"/>
  <c r="C69" i="39"/>
  <c r="T35" i="4"/>
  <c r="A19" i="51"/>
  <c r="B14"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D58" i="33"/>
  <c r="E58" i="33" s="1"/>
  <c r="F58" i="33" s="1"/>
  <c r="G58" i="33" s="1"/>
  <c r="H58" i="33" s="1"/>
  <c r="I58" i="33" s="1"/>
  <c r="J58" i="33" s="1"/>
  <c r="K58" i="33" s="1"/>
  <c r="L58" i="33" s="1"/>
  <c r="M58" i="33" s="1"/>
  <c r="N58" i="33" s="1"/>
  <c r="O58" i="33" s="1"/>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E61" i="43"/>
  <c r="B59" i="43"/>
  <c r="C28" i="43"/>
  <c r="AA26" i="35"/>
  <c r="S26" i="35"/>
  <c r="AC26" i="35"/>
  <c r="W26" i="35"/>
  <c r="AB26" i="35"/>
  <c r="U26" i="35"/>
  <c r="E72" i="43"/>
  <c r="B70" i="43"/>
  <c r="D5" i="43"/>
  <c r="C25" i="43"/>
  <c r="C7" i="43"/>
  <c r="D10" i="52"/>
  <c r="D125" i="9"/>
  <c r="D11" i="52"/>
  <c r="F59" i="67"/>
  <c r="D65" i="40"/>
  <c r="E63" i="40"/>
  <c r="D14" i="71"/>
  <c r="M17" i="67"/>
  <c r="M17" i="15"/>
  <c r="F59" i="15"/>
  <c r="P28" i="43"/>
  <c r="B66" i="40" s="1"/>
  <c r="P29" i="43"/>
  <c r="P27" i="43"/>
  <c r="B70" i="39" s="1"/>
  <c r="AE11" i="1"/>
  <c r="AE6" i="1"/>
  <c r="AE9" i="1"/>
  <c r="AE7" i="1"/>
  <c r="AE8" i="1"/>
  <c r="AE12" i="1"/>
  <c r="AE10" i="1"/>
  <c r="AG11" i="1"/>
  <c r="AG9" i="1"/>
  <c r="AG10" i="1"/>
  <c r="AG8" i="1"/>
  <c r="AG12" i="1"/>
  <c r="AG7" i="1"/>
  <c r="AG6" i="1"/>
  <c r="S8" i="1"/>
  <c r="AQ8" i="1" s="1"/>
  <c r="E8" i="70"/>
  <c r="O14" i="1"/>
  <c r="B1" i="74"/>
  <c r="B10" i="74" s="1"/>
  <c r="D3" i="33"/>
  <c r="C11" i="71"/>
  <c r="E6" i="70"/>
  <c r="S11" i="1"/>
  <c r="AR11" i="1" s="1"/>
  <c r="E11" i="70"/>
  <c r="S9" i="1"/>
  <c r="AR9" i="1" s="1"/>
  <c r="S7" i="1"/>
  <c r="AR7" i="1" s="1"/>
  <c r="E7" i="70"/>
  <c r="S10" i="1"/>
  <c r="T10" i="1" s="1"/>
  <c r="E10" i="70"/>
  <c r="S12" i="1"/>
  <c r="AR12" i="1" s="1"/>
  <c r="B2" i="74"/>
  <c r="P14" i="1"/>
  <c r="D11" i="71"/>
  <c r="C10" i="71"/>
  <c r="R7" i="1"/>
  <c r="E12" i="70"/>
  <c r="F34" i="11"/>
  <c r="F11" i="12"/>
  <c r="C23" i="12" s="1"/>
  <c r="E9" i="70"/>
  <c r="R11" i="1"/>
  <c r="R9" i="1"/>
  <c r="R10" i="1"/>
  <c r="D8" i="74"/>
  <c r="D7" i="74"/>
  <c r="R8" i="1"/>
  <c r="R12" i="1"/>
  <c r="D10" i="71"/>
  <c r="C9" i="71"/>
  <c r="C8" i="71"/>
  <c r="D8" i="71"/>
  <c r="C7" i="71"/>
  <c r="C19" i="69"/>
  <c r="D9" i="71"/>
  <c r="D7" i="71"/>
  <c r="C6" i="71"/>
  <c r="D6" i="71"/>
  <c r="C5" i="71"/>
  <c r="D5" i="71"/>
  <c r="M24" i="43"/>
  <c r="B2" i="21"/>
  <c r="B2" i="33"/>
  <c r="B2" i="36"/>
  <c r="B3" i="36" s="1"/>
  <c r="B2" i="35"/>
  <c r="B2" i="37"/>
  <c r="B2" i="34"/>
  <c r="F14" i="74"/>
  <c r="B5" i="74"/>
  <c r="D5" i="74"/>
  <c r="B6" i="74"/>
  <c r="D6" i="74"/>
  <c r="F43" i="67"/>
  <c r="F40" i="67"/>
  <c r="D35" i="9"/>
  <c r="M29" i="15"/>
  <c r="AO10" i="1"/>
  <c r="M26" i="67"/>
  <c r="F13" i="67"/>
  <c r="M26" i="15"/>
  <c r="M9" i="67"/>
  <c r="E2" i="69"/>
  <c r="F13" i="15"/>
  <c r="F42" i="15"/>
  <c r="M29" i="67"/>
  <c r="M23" i="15"/>
  <c r="B10" i="76"/>
  <c r="E7" i="76"/>
  <c r="B12" i="76"/>
  <c r="E10" i="76"/>
  <c r="D2" i="37"/>
  <c r="M21" i="15"/>
  <c r="L48" i="67"/>
  <c r="D2" i="36"/>
  <c r="C76" i="67"/>
  <c r="AO7" i="1"/>
  <c r="AO9" i="1"/>
  <c r="F42" i="67"/>
  <c r="D2" i="21"/>
  <c r="D2" i="34"/>
  <c r="D19" i="9"/>
  <c r="E9" i="76"/>
  <c r="F35" i="15"/>
  <c r="F41" i="67"/>
  <c r="D34" i="9"/>
  <c r="F16" i="15"/>
  <c r="L47" i="67"/>
  <c r="AO11" i="1"/>
  <c r="F9" i="15"/>
  <c r="F26" i="15"/>
  <c r="M27" i="15"/>
  <c r="L48" i="15"/>
  <c r="E11" i="76"/>
  <c r="C19" i="9"/>
  <c r="B11" i="76"/>
  <c r="F43" i="15"/>
  <c r="F40" i="15"/>
  <c r="B7" i="76"/>
  <c r="F38" i="67"/>
  <c r="M8" i="15"/>
  <c r="M27" i="67"/>
  <c r="D20" i="9"/>
  <c r="F7" i="67"/>
  <c r="E13" i="76"/>
  <c r="F6" i="67"/>
  <c r="M8" i="67"/>
  <c r="B8" i="76"/>
  <c r="AO8" i="1"/>
  <c r="F37" i="15"/>
  <c r="AO12" i="1"/>
  <c r="F8" i="15"/>
  <c r="B9" i="76"/>
  <c r="M6" i="67"/>
  <c r="F38" i="15"/>
  <c r="E2" i="68"/>
  <c r="C20" i="9"/>
  <c r="B13" i="76"/>
  <c r="M24" i="15"/>
  <c r="M21" i="67"/>
  <c r="AO13" i="1"/>
  <c r="M28" i="15"/>
  <c r="M22" i="67"/>
  <c r="F37" i="67"/>
  <c r="F20" i="31"/>
  <c r="M23" i="67"/>
  <c r="M28" i="67"/>
  <c r="M22" i="15"/>
  <c r="F26" i="67"/>
  <c r="F16" i="67"/>
  <c r="L47" i="15"/>
  <c r="E8" i="76"/>
  <c r="F36" i="15"/>
  <c r="D2" i="82"/>
  <c r="F35" i="67"/>
  <c r="F9" i="67"/>
  <c r="F41" i="15"/>
  <c r="F36" i="67"/>
  <c r="M9" i="15"/>
  <c r="M6" i="15"/>
  <c r="AO6" i="1"/>
  <c r="F7" i="15"/>
  <c r="J15" i="15"/>
  <c r="E12" i="76"/>
  <c r="F6" i="15"/>
  <c r="J15" i="67"/>
  <c r="M24" i="67"/>
  <c r="D2" i="33"/>
  <c r="F8" i="67"/>
  <c r="D2" i="35"/>
  <c r="C76" i="15"/>
  <c r="J17" i="82" l="1"/>
  <c r="AC17" i="82" s="1"/>
  <c r="U17" i="82"/>
  <c r="W17" i="82"/>
  <c r="E79" i="33"/>
  <c r="F79" i="33" s="1"/>
  <c r="G79" i="33" s="1"/>
  <c r="S15" i="82"/>
  <c r="S15" i="33"/>
  <c r="F32" i="82"/>
  <c r="H27" i="82"/>
  <c r="J25" i="82"/>
  <c r="AC25" i="82" s="1"/>
  <c r="AA32" i="33"/>
  <c r="S32" i="33"/>
  <c r="E101" i="33"/>
  <c r="F101" i="33" s="1"/>
  <c r="G101" i="33" s="1"/>
  <c r="H101" i="33" s="1"/>
  <c r="I101" i="33" s="1"/>
  <c r="J101" i="33" s="1"/>
  <c r="K101" i="33" s="1"/>
  <c r="L101" i="33" s="1"/>
  <c r="M101" i="33" s="1"/>
  <c r="J32" i="33"/>
  <c r="U32" i="33"/>
  <c r="U32" i="82"/>
  <c r="U26" i="82"/>
  <c r="W33" i="33"/>
  <c r="H25" i="33"/>
  <c r="U25" i="33" s="1"/>
  <c r="AA25" i="33"/>
  <c r="AB26" i="33"/>
  <c r="AC25" i="33"/>
  <c r="AB25" i="33"/>
  <c r="AC17" i="33"/>
  <c r="W17" i="33"/>
  <c r="AB17" i="33"/>
  <c r="AA17" i="33"/>
  <c r="E87" i="82"/>
  <c r="F87" i="82" s="1"/>
  <c r="G87" i="82" s="1"/>
  <c r="H87" i="82" s="1"/>
  <c r="I87" i="82" s="1"/>
  <c r="J87" i="82" s="1"/>
  <c r="K87" i="82" s="1"/>
  <c r="L87" i="82" s="1"/>
  <c r="M87" i="82" s="1"/>
  <c r="H25" i="82"/>
  <c r="AB25" i="82" s="1"/>
  <c r="W26" i="82"/>
  <c r="S26" i="82"/>
  <c r="AC32" i="82"/>
  <c r="AA25" i="82"/>
  <c r="S25" i="82"/>
  <c r="BL5" i="3"/>
  <c r="BF5" i="3"/>
  <c r="F29" i="6"/>
  <c r="E29" i="6" s="1"/>
  <c r="K15" i="1" s="1"/>
  <c r="G30" i="6"/>
  <c r="G31" i="6" s="1"/>
  <c r="F30" i="6"/>
  <c r="E28" i="6"/>
  <c r="D18" i="53"/>
  <c r="B35" i="72" s="1"/>
  <c r="AZ18" i="3"/>
  <c r="AZ17" i="3"/>
  <c r="AZ14" i="3"/>
  <c r="AZ5" i="3" s="1"/>
  <c r="E3" i="6" s="1"/>
  <c r="AZ15" i="3"/>
  <c r="AZ16" i="3"/>
  <c r="AR10" i="1"/>
  <c r="K5" i="3"/>
  <c r="AQ7" i="1"/>
  <c r="D19" i="12"/>
  <c r="C19" i="12" s="1"/>
  <c r="D9" i="11"/>
  <c r="C9" i="11" s="1"/>
  <c r="AQ11" i="1"/>
  <c r="T11" i="1"/>
  <c r="D9" i="68"/>
  <c r="C9" i="68" s="1"/>
  <c r="L27" i="6"/>
  <c r="S33" i="33"/>
  <c r="AQ10" i="1"/>
  <c r="E26" i="43"/>
  <c r="E2" i="70"/>
  <c r="H26" i="43"/>
  <c r="T8" i="1"/>
  <c r="B3" i="35"/>
  <c r="O16" i="1"/>
  <c r="E59" i="34"/>
  <c r="F59" i="34" s="1"/>
  <c r="G59" i="34" s="1"/>
  <c r="H59" i="34" s="1"/>
  <c r="I59" i="34" s="1"/>
  <c r="J59" i="34" s="1"/>
  <c r="K59" i="34" s="1"/>
  <c r="L59" i="34" s="1"/>
  <c r="M59" i="34" s="1"/>
  <c r="N59" i="34" s="1"/>
  <c r="O59" i="34" s="1"/>
  <c r="J7" i="34"/>
  <c r="H7" i="34"/>
  <c r="F46" i="36"/>
  <c r="G46" i="36" s="1"/>
  <c r="H46" i="36" s="1"/>
  <c r="I46" i="36" s="1"/>
  <c r="J46" i="36" s="1"/>
  <c r="K46" i="36" s="1"/>
  <c r="L46" i="36" s="1"/>
  <c r="M46" i="36" s="1"/>
  <c r="N46" i="36" s="1"/>
  <c r="O46" i="36" s="1"/>
  <c r="F7" i="36"/>
  <c r="F63" i="40"/>
  <c r="E65" i="40"/>
  <c r="L1" i="73"/>
  <c r="J1" i="73"/>
  <c r="D52" i="37"/>
  <c r="H7" i="36"/>
  <c r="J7" i="36"/>
  <c r="C30" i="68"/>
  <c r="C48" i="69"/>
  <c r="C77" i="9"/>
  <c r="C74" i="9" s="1"/>
  <c r="C36" i="11"/>
  <c r="E67" i="39"/>
  <c r="C65" i="40"/>
  <c r="D48" i="35"/>
  <c r="A1" i="79"/>
  <c r="O23" i="43"/>
  <c r="P25" i="43"/>
  <c r="C23" i="43"/>
  <c r="H7" i="33"/>
  <c r="F7" i="33"/>
  <c r="J7" i="33"/>
  <c r="D58" i="21"/>
  <c r="C48" i="68"/>
  <c r="C28" i="15"/>
  <c r="F7" i="34"/>
  <c r="C28" i="67"/>
  <c r="D58" i="82"/>
  <c r="E58" i="82" s="1"/>
  <c r="F58" i="82" s="1"/>
  <c r="G58" i="82" s="1"/>
  <c r="H58" i="82" s="1"/>
  <c r="I58" i="82" s="1"/>
  <c r="J58" i="82" s="1"/>
  <c r="K58" i="82" s="1"/>
  <c r="L58" i="82" s="1"/>
  <c r="M58" i="82" s="1"/>
  <c r="N58" i="82" s="1"/>
  <c r="O58" i="82" s="1"/>
  <c r="H7" i="82"/>
  <c r="S17" i="82"/>
  <c r="C70" i="31"/>
  <c r="C62" i="31"/>
  <c r="C54" i="31"/>
  <c r="C46" i="31"/>
  <c r="C38" i="31"/>
  <c r="C30" i="31"/>
  <c r="Z7" i="43"/>
  <c r="N94" i="46"/>
  <c r="J26" i="43"/>
  <c r="AQ13" i="1"/>
  <c r="P16" i="1"/>
  <c r="C11" i="12" s="1"/>
  <c r="C15" i="12" s="1"/>
  <c r="C8" i="81"/>
  <c r="C12" i="81" s="1"/>
  <c r="C11" i="81"/>
  <c r="C72" i="31"/>
  <c r="C68" i="31"/>
  <c r="C64" i="31"/>
  <c r="C60" i="31"/>
  <c r="C56" i="31"/>
  <c r="C52" i="31"/>
  <c r="C48" i="31"/>
  <c r="C44" i="31"/>
  <c r="C40" i="31"/>
  <c r="C36" i="31"/>
  <c r="C32" i="31"/>
  <c r="C28" i="31"/>
  <c r="Q84"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F25" i="31"/>
  <c r="G25" i="31" s="1"/>
  <c r="U33" i="33"/>
  <c r="C75" i="31"/>
  <c r="C73" i="31"/>
  <c r="C71" i="31"/>
  <c r="C69" i="31"/>
  <c r="C67" i="31"/>
  <c r="C65" i="31"/>
  <c r="C63" i="31"/>
  <c r="C61" i="31"/>
  <c r="C59" i="31"/>
  <c r="C57" i="31"/>
  <c r="C55" i="31"/>
  <c r="C53" i="31"/>
  <c r="C51" i="31"/>
  <c r="C49" i="31"/>
  <c r="C47" i="31"/>
  <c r="C45" i="31"/>
  <c r="C43" i="31"/>
  <c r="C41" i="31"/>
  <c r="C39" i="31"/>
  <c r="C37" i="31"/>
  <c r="C35" i="31"/>
  <c r="C33" i="31"/>
  <c r="C31" i="31"/>
  <c r="C29" i="31"/>
  <c r="C27" i="31"/>
  <c r="C25" i="31"/>
  <c r="AA27" i="82"/>
  <c r="S27" i="82"/>
  <c r="J27" i="82"/>
  <c r="S26" i="33"/>
  <c r="M20" i="67"/>
  <c r="F34" i="67"/>
  <c r="F62" i="67" s="1"/>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G16" i="1"/>
  <c r="F10" i="39" s="1"/>
  <c r="S10" i="39" s="1"/>
  <c r="N370" i="46"/>
  <c r="G26" i="43"/>
  <c r="H16" i="1"/>
  <c r="T13" i="1"/>
  <c r="BA5" i="3"/>
  <c r="AQ12" i="1"/>
  <c r="T9" i="1"/>
  <c r="J10" i="39"/>
  <c r="Q16" i="1"/>
  <c r="M6" i="1"/>
  <c r="BB5" i="3"/>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34" i="67"/>
  <c r="F69" i="15"/>
  <c r="F69" i="67"/>
  <c r="C103" i="9"/>
  <c r="G20" i="9"/>
  <c r="C32" i="9" s="1"/>
  <c r="F64" i="67"/>
  <c r="C102" i="9"/>
  <c r="D22" i="9"/>
  <c r="G19" i="9"/>
  <c r="L59" i="67"/>
  <c r="M59" i="67"/>
  <c r="N59" i="67"/>
  <c r="L58" i="67"/>
  <c r="C6" i="67"/>
  <c r="F68" i="67"/>
  <c r="M7" i="67"/>
  <c r="J6" i="67" s="1"/>
  <c r="F50" i="67"/>
  <c r="J53" i="15"/>
  <c r="J57" i="15"/>
  <c r="J55" i="15" s="1"/>
  <c r="J58" i="15" s="1"/>
  <c r="Q50" i="15" s="1"/>
  <c r="I54" i="15"/>
  <c r="F51" i="67"/>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D3" i="73"/>
  <c r="D5" i="73"/>
  <c r="D4" i="73"/>
  <c r="D7" i="73"/>
  <c r="D6" i="73"/>
  <c r="F7" i="73"/>
  <c r="F5" i="73"/>
  <c r="F3" i="73"/>
  <c r="F4" i="73"/>
  <c r="F6" i="73"/>
  <c r="G1" i="73"/>
  <c r="C14" i="67"/>
  <c r="C17" i="67"/>
  <c r="C16" i="15"/>
  <c r="C16" i="67"/>
  <c r="C14" i="15"/>
  <c r="C17" i="15"/>
  <c r="AA32" i="82" l="1"/>
  <c r="S32" i="82"/>
  <c r="AB27" i="82"/>
  <c r="U27" i="82"/>
  <c r="W25" i="82"/>
  <c r="AC32" i="33"/>
  <c r="W32" i="33"/>
  <c r="U25" i="82"/>
  <c r="C49" i="67"/>
  <c r="E30" i="6"/>
  <c r="K14" i="1"/>
  <c r="H10" i="39"/>
  <c r="U10" i="39" s="1"/>
  <c r="D26" i="43"/>
  <c r="F10" i="40"/>
  <c r="S10" i="40" s="1"/>
  <c r="AA10" i="39"/>
  <c r="C10" i="81"/>
  <c r="I1" i="73"/>
  <c r="B39" i="1" s="1"/>
  <c r="M11" i="67" s="1"/>
  <c r="J10" i="67" s="1"/>
  <c r="J5" i="67" s="1"/>
  <c r="AB7" i="82"/>
  <c r="U7" i="82"/>
  <c r="E58" i="21"/>
  <c r="F58" i="21" s="1"/>
  <c r="G58" i="21" s="1"/>
  <c r="H58" i="21" s="1"/>
  <c r="I58" i="21" s="1"/>
  <c r="J58" i="21" s="1"/>
  <c r="K58" i="21" s="1"/>
  <c r="L58" i="21" s="1"/>
  <c r="M58" i="21" s="1"/>
  <c r="N58" i="21" s="1"/>
  <c r="O58" i="21" s="1"/>
  <c r="J7" i="21"/>
  <c r="T9" i="43"/>
  <c r="V9" i="43" s="1"/>
  <c r="T12" i="43"/>
  <c r="V12" i="43" s="1"/>
  <c r="T3" i="43"/>
  <c r="V3" i="43" s="1"/>
  <c r="C40" i="43"/>
  <c r="T15" i="43"/>
  <c r="V15" i="43" s="1"/>
  <c r="T7" i="43"/>
  <c r="V7" i="43" s="1"/>
  <c r="T10" i="43"/>
  <c r="V10" i="43" s="1"/>
  <c r="T2" i="43"/>
  <c r="V2" i="43" s="1"/>
  <c r="C41" i="43"/>
  <c r="T13" i="43"/>
  <c r="V13" i="43" s="1"/>
  <c r="T8" i="43"/>
  <c r="V8" i="43" s="1"/>
  <c r="T5" i="43"/>
  <c r="V5" i="43" s="1"/>
  <c r="T11" i="43"/>
  <c r="V11" i="43" s="1"/>
  <c r="T4" i="43"/>
  <c r="V4" i="43" s="1"/>
  <c r="C39" i="43"/>
  <c r="T16" i="43"/>
  <c r="V16" i="43" s="1"/>
  <c r="T6" i="43"/>
  <c r="V6" i="43" s="1"/>
  <c r="T14" i="43"/>
  <c r="V14" i="43" s="1"/>
  <c r="F67" i="39"/>
  <c r="E69" i="39"/>
  <c r="AA7" i="34"/>
  <c r="R49" i="34" s="1"/>
  <c r="S7" i="34"/>
  <c r="F7" i="21"/>
  <c r="AB7" i="34"/>
  <c r="T49" i="34" s="1"/>
  <c r="G49" i="34" s="1"/>
  <c r="U7" i="34"/>
  <c r="C33" i="43"/>
  <c r="C6" i="69" s="1"/>
  <c r="C7" i="69" s="1"/>
  <c r="AC7" i="33"/>
  <c r="V48" i="33" s="1"/>
  <c r="I48" i="33" s="1"/>
  <c r="I52" i="33" s="1"/>
  <c r="J52" i="33" s="1"/>
  <c r="W7" i="33"/>
  <c r="J10" i="40"/>
  <c r="W10" i="40" s="1"/>
  <c r="H10" i="40"/>
  <c r="U10" i="40" s="1"/>
  <c r="C42" i="43"/>
  <c r="G42" i="43" s="1"/>
  <c r="I42" i="43" s="1"/>
  <c r="J7" i="82"/>
  <c r="S7" i="33"/>
  <c r="AA7" i="33"/>
  <c r="R48" i="33" s="1"/>
  <c r="E48" i="35"/>
  <c r="W7" i="36"/>
  <c r="AC7" i="36"/>
  <c r="V36" i="36" s="1"/>
  <c r="I36" i="36" s="1"/>
  <c r="E52" i="37"/>
  <c r="F65" i="40"/>
  <c r="G63" i="40"/>
  <c r="W7" i="34"/>
  <c r="AC7" i="34"/>
  <c r="V49" i="34" s="1"/>
  <c r="I49" i="34" s="1"/>
  <c r="C38" i="43"/>
  <c r="E38" i="43" s="1"/>
  <c r="C37" i="43"/>
  <c r="F7" i="82"/>
  <c r="U7" i="33"/>
  <c r="AB7" i="33"/>
  <c r="T48" i="33" s="1"/>
  <c r="G48" i="33" s="1"/>
  <c r="AB7" i="36"/>
  <c r="T36" i="36" s="1"/>
  <c r="G36" i="36" s="1"/>
  <c r="U7" i="36"/>
  <c r="S7" i="36"/>
  <c r="AA7" i="36"/>
  <c r="R36" i="36" s="1"/>
  <c r="C9" i="81"/>
  <c r="C12" i="12"/>
  <c r="AC27" i="82"/>
  <c r="W27" i="82"/>
  <c r="G38" i="43"/>
  <c r="I38" i="43" s="1"/>
  <c r="E42" i="43"/>
  <c r="C62" i="67"/>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E14" i="6"/>
  <c r="E13" i="6"/>
  <c r="E8" i="6"/>
  <c r="E12" i="6"/>
  <c r="E15" i="6"/>
  <c r="E11" i="6"/>
  <c r="E10" i="6"/>
  <c r="F27" i="69"/>
  <c r="F27" i="11"/>
  <c r="F27" i="68"/>
  <c r="F28" i="12"/>
  <c r="C29" i="12" s="1"/>
  <c r="D28" i="12" s="1"/>
  <c r="W10" i="39"/>
  <c r="AC10" i="39"/>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C13" i="81" l="1"/>
  <c r="C14" i="81" s="1"/>
  <c r="C20" i="81" s="1"/>
  <c r="C19" i="81" s="1"/>
  <c r="T48" i="82"/>
  <c r="G48" i="82" s="1"/>
  <c r="G52" i="82" s="1"/>
  <c r="H52" i="82" s="1"/>
  <c r="R49" i="33"/>
  <c r="C49" i="33" s="1"/>
  <c r="B3" i="33" s="1"/>
  <c r="AA10" i="40"/>
  <c r="M14" i="1"/>
  <c r="M16" i="1" s="1"/>
  <c r="N16" i="1" s="1"/>
  <c r="F50" i="69" s="1"/>
  <c r="K16" i="1"/>
  <c r="C34" i="69"/>
  <c r="AB10" i="39"/>
  <c r="F11" i="67"/>
  <c r="C10" i="67" s="1"/>
  <c r="C5" i="67" s="1"/>
  <c r="E33" i="43"/>
  <c r="F11" i="15"/>
  <c r="C53" i="15" s="1"/>
  <c r="C48" i="15" s="1"/>
  <c r="AB10" i="40"/>
  <c r="AC10" i="40"/>
  <c r="M11" i="15"/>
  <c r="J10" i="15" s="1"/>
  <c r="J5" i="15" s="1"/>
  <c r="J26" i="15" s="1"/>
  <c r="J29" i="15" s="1"/>
  <c r="F7" i="37"/>
  <c r="R48" i="82"/>
  <c r="E48" i="82" s="1"/>
  <c r="E52" i="82" s="1"/>
  <c r="F52" i="82" s="1"/>
  <c r="G40" i="36"/>
  <c r="H40" i="36" s="1"/>
  <c r="G41" i="36"/>
  <c r="H41" i="36" s="1"/>
  <c r="G52" i="33"/>
  <c r="H52" i="33" s="1"/>
  <c r="G53" i="33"/>
  <c r="H53" i="33" s="1"/>
  <c r="E49" i="34"/>
  <c r="R50" i="34"/>
  <c r="E41" i="43"/>
  <c r="G41" i="43"/>
  <c r="I41" i="43" s="1"/>
  <c r="R37" i="36"/>
  <c r="E36" i="36"/>
  <c r="I53" i="34"/>
  <c r="J53" i="34" s="1"/>
  <c r="W7" i="82"/>
  <c r="AC7" i="82"/>
  <c r="V48" i="82" s="1"/>
  <c r="I48" i="82" s="1"/>
  <c r="G53" i="34"/>
  <c r="H53" i="34" s="1"/>
  <c r="G54" i="34"/>
  <c r="H54" i="34" s="1"/>
  <c r="E34" i="43"/>
  <c r="C34" i="43"/>
  <c r="G40" i="43"/>
  <c r="I40" i="43" s="1"/>
  <c r="E40" i="43"/>
  <c r="H7" i="21"/>
  <c r="AA7" i="82"/>
  <c r="S7" i="82"/>
  <c r="F52" i="37"/>
  <c r="G52" i="37" s="1"/>
  <c r="H52" i="37" s="1"/>
  <c r="I52" i="37" s="1"/>
  <c r="J52" i="37" s="1"/>
  <c r="K52" i="37" s="1"/>
  <c r="L52" i="37" s="1"/>
  <c r="M52" i="37" s="1"/>
  <c r="N52" i="37" s="1"/>
  <c r="O52" i="37" s="1"/>
  <c r="J7" i="37"/>
  <c r="F48" i="35"/>
  <c r="G48" i="35" s="1"/>
  <c r="H48" i="35" s="1"/>
  <c r="I48" i="35" s="1"/>
  <c r="J48" i="35" s="1"/>
  <c r="K48" i="35" s="1"/>
  <c r="L48" i="35" s="1"/>
  <c r="M48" i="35" s="1"/>
  <c r="N48" i="35" s="1"/>
  <c r="O48" i="35" s="1"/>
  <c r="H7" i="35"/>
  <c r="F7" i="35"/>
  <c r="S7" i="21"/>
  <c r="AA7" i="21"/>
  <c r="R48" i="21" s="1"/>
  <c r="G67" i="39"/>
  <c r="F69" i="39"/>
  <c r="E39" i="43"/>
  <c r="G39" i="43"/>
  <c r="I39" i="43" s="1"/>
  <c r="W7" i="21"/>
  <c r="AC7" i="21"/>
  <c r="V48" i="21" s="1"/>
  <c r="I48" i="21" s="1"/>
  <c r="H7" i="37"/>
  <c r="E37" i="43"/>
  <c r="G37" i="43"/>
  <c r="I37" i="43" s="1"/>
  <c r="G65" i="40"/>
  <c r="H63" i="40"/>
  <c r="I40" i="36"/>
  <c r="J40" i="36" s="1"/>
  <c r="I41" i="36"/>
  <c r="J41" i="36" s="1"/>
  <c r="E48" i="33"/>
  <c r="E53" i="33" s="1"/>
  <c r="F53" i="33" s="1"/>
  <c r="C19" i="15"/>
  <c r="C20" i="15" s="1"/>
  <c r="D116" i="43"/>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D17" i="12"/>
  <c r="C17" i="12" s="1"/>
  <c r="C14" i="12"/>
  <c r="C16" i="12" s="1"/>
  <c r="C29" i="11"/>
  <c r="D27" i="11" s="1"/>
  <c r="C47" i="11"/>
  <c r="D45" i="11" s="1"/>
  <c r="E64" i="39"/>
  <c r="E60" i="40"/>
  <c r="F27" i="6"/>
  <c r="E56" i="39"/>
  <c r="E16" i="6"/>
  <c r="E51" i="40"/>
  <c r="E63" i="39"/>
  <c r="E59" i="40"/>
  <c r="L16" i="1"/>
  <c r="C34" i="11"/>
  <c r="C34" i="68"/>
  <c r="F24" i="67"/>
  <c r="C24" i="67" s="1"/>
  <c r="F22" i="69"/>
  <c r="C26" i="69" s="1"/>
  <c r="D22" i="69" s="1"/>
  <c r="F24" i="15"/>
  <c r="C24" i="15" s="1"/>
  <c r="F22" i="68"/>
  <c r="F41" i="68" s="1"/>
  <c r="F22" i="11"/>
  <c r="C23" i="11" s="1"/>
  <c r="F25" i="12"/>
  <c r="C26" i="12" s="1"/>
  <c r="D25" i="12" s="1"/>
  <c r="J17" i="15"/>
  <c r="C19" i="67"/>
  <c r="C20" i="67" s="1"/>
  <c r="C26" i="67"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J24" i="67"/>
  <c r="J26" i="67"/>
  <c r="J29" i="67" s="1"/>
  <c r="C61" i="15"/>
  <c r="L37" i="43"/>
  <c r="N36" i="43"/>
  <c r="O36" i="43"/>
  <c r="P36" i="43"/>
  <c r="Q36" i="43"/>
  <c r="M36" i="43"/>
  <c r="H6" i="3"/>
  <c r="C31" i="67"/>
  <c r="J17" i="67"/>
  <c r="E6" i="76"/>
  <c r="C17" i="81" l="1"/>
  <c r="C16" i="81" s="1"/>
  <c r="F50" i="11"/>
  <c r="F50" i="68"/>
  <c r="C30" i="43"/>
  <c r="C31" i="43"/>
  <c r="C48" i="33"/>
  <c r="C3" i="81" s="1"/>
  <c r="C4" i="81" s="1"/>
  <c r="C35" i="69"/>
  <c r="C38" i="69"/>
  <c r="F31" i="6"/>
  <c r="E27" i="6"/>
  <c r="C53" i="67"/>
  <c r="C48" i="67" s="1"/>
  <c r="C66" i="67" s="1"/>
  <c r="J24" i="15"/>
  <c r="C10" i="15"/>
  <c r="C5" i="15" s="1"/>
  <c r="C38" i="15" s="1"/>
  <c r="R49" i="82"/>
  <c r="C49" i="82" s="1"/>
  <c r="E2" i="76"/>
  <c r="B2" i="43"/>
  <c r="G53" i="82"/>
  <c r="H53" i="82" s="1"/>
  <c r="I52" i="82"/>
  <c r="J52" i="82" s="1"/>
  <c r="I53" i="82"/>
  <c r="J53" i="82" s="1"/>
  <c r="I63" i="40"/>
  <c r="H65" i="40"/>
  <c r="U7" i="37"/>
  <c r="AB7" i="37"/>
  <c r="T42" i="37" s="1"/>
  <c r="G42" i="37" s="1"/>
  <c r="AC7" i="37"/>
  <c r="V42" i="37" s="1"/>
  <c r="I42" i="37" s="1"/>
  <c r="W7" i="37"/>
  <c r="U7" i="21"/>
  <c r="AB7" i="21"/>
  <c r="T48" i="21" s="1"/>
  <c r="G48" i="21" s="1"/>
  <c r="C37" i="36"/>
  <c r="C36" i="36"/>
  <c r="E53" i="34"/>
  <c r="F53" i="34" s="1"/>
  <c r="E54" i="34"/>
  <c r="F54" i="34" s="1"/>
  <c r="AA7" i="37"/>
  <c r="R42" i="37" s="1"/>
  <c r="S7" i="37"/>
  <c r="I52" i="21"/>
  <c r="J52" i="21" s="1"/>
  <c r="I53" i="21"/>
  <c r="J53" i="21" s="1"/>
  <c r="S7" i="35"/>
  <c r="AA7" i="35"/>
  <c r="R38" i="35" s="1"/>
  <c r="I54" i="34"/>
  <c r="J54" i="34" s="1"/>
  <c r="J7" i="35"/>
  <c r="G69" i="39"/>
  <c r="H67" i="39"/>
  <c r="U7" i="35"/>
  <c r="AB7" i="35"/>
  <c r="T38" i="35" s="1"/>
  <c r="G38" i="35" s="1"/>
  <c r="E53" i="82"/>
  <c r="F53" i="82" s="1"/>
  <c r="R49" i="21"/>
  <c r="E48" i="21"/>
  <c r="E41" i="36"/>
  <c r="F41" i="36" s="1"/>
  <c r="E40" i="36"/>
  <c r="F40" i="36" s="1"/>
  <c r="C49" i="34"/>
  <c r="C50" i="34"/>
  <c r="E52" i="33"/>
  <c r="F52" i="33" s="1"/>
  <c r="I53" i="33"/>
  <c r="J53" i="33" s="1"/>
  <c r="C25" i="11"/>
  <c r="C26" i="11"/>
  <c r="D22" i="11" s="1"/>
  <c r="C44" i="11"/>
  <c r="D41" i="11" s="1"/>
  <c r="C38" i="68"/>
  <c r="C35" i="68"/>
  <c r="E65" i="39"/>
  <c r="C10" i="69"/>
  <c r="D19" i="69"/>
  <c r="D37" i="69" s="1"/>
  <c r="C37" i="69" s="1"/>
  <c r="C38" i="11"/>
  <c r="C35" i="11"/>
  <c r="C10" i="68"/>
  <c r="D19" i="68"/>
  <c r="C44" i="69"/>
  <c r="D41" i="69" s="1"/>
  <c r="C23" i="15"/>
  <c r="C24" i="69"/>
  <c r="F41" i="69"/>
  <c r="C44" i="68"/>
  <c r="D41" i="68" s="1"/>
  <c r="C26" i="68"/>
  <c r="D22" i="68" s="1"/>
  <c r="C24" i="11"/>
  <c r="C23" i="67"/>
  <c r="C29" i="67" s="1"/>
  <c r="J14" i="67" s="1"/>
  <c r="E6" i="3"/>
  <c r="C26" i="15"/>
  <c r="M37" i="43"/>
  <c r="O37" i="43"/>
  <c r="P37" i="43"/>
  <c r="Q37" i="43"/>
  <c r="N37" i="43"/>
  <c r="C38" i="67"/>
  <c r="C60" i="15"/>
  <c r="C59" i="15" s="1"/>
  <c r="C66" i="15"/>
  <c r="D15" i="6"/>
  <c r="D21" i="6"/>
  <c r="D20" i="6"/>
  <c r="D26" i="6"/>
  <c r="D14" i="6"/>
  <c r="D9" i="6"/>
  <c r="L19" i="9"/>
  <c r="D19" i="6"/>
  <c r="D23" i="6"/>
  <c r="D12" i="6"/>
  <c r="D13" i="6"/>
  <c r="D25" i="6"/>
  <c r="D22" i="6"/>
  <c r="D24" i="6"/>
  <c r="M19" i="9"/>
  <c r="C118" i="9" s="1"/>
  <c r="D8" i="6"/>
  <c r="D6" i="6"/>
  <c r="D10" i="6"/>
  <c r="D29" i="6"/>
  <c r="C18" i="4"/>
  <c r="D5" i="6"/>
  <c r="D11" i="6"/>
  <c r="D28" i="6"/>
  <c r="E61" i="40"/>
  <c r="B6" i="76"/>
  <c r="C23" i="81" l="1"/>
  <c r="C7" i="81" s="1"/>
  <c r="C27" i="81" s="1"/>
  <c r="C29" i="15"/>
  <c r="Q49" i="15" s="1"/>
  <c r="C22" i="11"/>
  <c r="C31" i="11" s="1"/>
  <c r="C33" i="69"/>
  <c r="C39" i="69" s="1"/>
  <c r="K22" i="6"/>
  <c r="M22" i="6" s="1"/>
  <c r="I22" i="6" s="1"/>
  <c r="K23" i="6"/>
  <c r="M23" i="6" s="1"/>
  <c r="I23" i="6" s="1"/>
  <c r="K19" i="6"/>
  <c r="K21" i="6"/>
  <c r="M21" i="6" s="1"/>
  <c r="I21" i="6" s="1"/>
  <c r="K24" i="6"/>
  <c r="M24" i="6" s="1"/>
  <c r="I24" i="6" s="1"/>
  <c r="K25" i="6"/>
  <c r="M25" i="6" s="1"/>
  <c r="I25" i="6" s="1"/>
  <c r="K26" i="6"/>
  <c r="M26" i="6" s="1"/>
  <c r="I26" i="6" s="1"/>
  <c r="K20" i="6"/>
  <c r="M20" i="6" s="1"/>
  <c r="I20" i="6" s="1"/>
  <c r="E31" i="6"/>
  <c r="C60" i="67"/>
  <c r="C59" i="67" s="1"/>
  <c r="C48" i="82"/>
  <c r="D35" i="81" s="1"/>
  <c r="J8" i="81" s="1"/>
  <c r="B2" i="76"/>
  <c r="B3" i="76" s="1"/>
  <c r="C49" i="21"/>
  <c r="C48" i="21"/>
  <c r="E38" i="35"/>
  <c r="R39" i="35"/>
  <c r="C33" i="11"/>
  <c r="C39" i="11" s="1"/>
  <c r="C43" i="11" s="1"/>
  <c r="H69" i="39"/>
  <c r="I67" i="39"/>
  <c r="AC7" i="35"/>
  <c r="V38" i="35" s="1"/>
  <c r="I38" i="35" s="1"/>
  <c r="W7" i="35"/>
  <c r="R43" i="37"/>
  <c r="E42" i="37"/>
  <c r="I47" i="37" s="1"/>
  <c r="J47" i="37" s="1"/>
  <c r="I46" i="37"/>
  <c r="J46" i="37" s="1"/>
  <c r="I65" i="40"/>
  <c r="J63" i="40"/>
  <c r="G52" i="21"/>
  <c r="H52" i="21" s="1"/>
  <c r="G53" i="21"/>
  <c r="H53" i="21" s="1"/>
  <c r="B3" i="43"/>
  <c r="G46" i="37"/>
  <c r="H46" i="37" s="1"/>
  <c r="G47" i="37"/>
  <c r="H47" i="37" s="1"/>
  <c r="E53" i="21"/>
  <c r="F53" i="21" s="1"/>
  <c r="E52" i="21"/>
  <c r="F52" i="21" s="1"/>
  <c r="G42" i="35"/>
  <c r="H42" i="35" s="1"/>
  <c r="D30" i="6"/>
  <c r="D37" i="68"/>
  <c r="C37" i="68" s="1"/>
  <c r="C33" i="68" s="1"/>
  <c r="C19" i="68"/>
  <c r="B29" i="1"/>
  <c r="C8" i="69"/>
  <c r="C5" i="69" s="1"/>
  <c r="C26" i="81"/>
  <c r="Q49" i="67"/>
  <c r="J59" i="67"/>
  <c r="J60" i="67" s="1"/>
  <c r="L46" i="67" s="1"/>
  <c r="C57" i="67"/>
  <c r="C64" i="67" s="1"/>
  <c r="C36" i="67"/>
  <c r="C13" i="67"/>
  <c r="C75" i="67" s="1"/>
  <c r="C4" i="52"/>
  <c r="B45" i="72" s="1"/>
  <c r="A10" i="51"/>
  <c r="B9" i="72" s="1"/>
  <c r="A7" i="51"/>
  <c r="B7" i="72" s="1"/>
  <c r="D16" i="6"/>
  <c r="D27" i="6"/>
  <c r="D21" i="9"/>
  <c r="C21" i="9"/>
  <c r="G21" i="9"/>
  <c r="J22" i="67"/>
  <c r="J13" i="67"/>
  <c r="J23" i="67" s="1"/>
  <c r="C36" i="15" l="1"/>
  <c r="C57" i="15"/>
  <c r="C64" i="15" s="1"/>
  <c r="J59" i="15"/>
  <c r="J60" i="15" s="1"/>
  <c r="Q48" i="15" s="1"/>
  <c r="J14" i="15"/>
  <c r="J13" i="15" s="1"/>
  <c r="J23" i="15" s="1"/>
  <c r="C13" i="15"/>
  <c r="C56" i="15" s="1"/>
  <c r="C65" i="15" s="1"/>
  <c r="C42" i="69"/>
  <c r="S24" i="6"/>
  <c r="H24" i="6"/>
  <c r="R24" i="6" s="1"/>
  <c r="S21" i="6"/>
  <c r="H21" i="6"/>
  <c r="R21" i="6" s="1"/>
  <c r="S26" i="6"/>
  <c r="H26" i="6"/>
  <c r="R26" i="6" s="1"/>
  <c r="M19" i="6"/>
  <c r="K27" i="6"/>
  <c r="S6" i="1"/>
  <c r="S25" i="6"/>
  <c r="H25" i="6"/>
  <c r="R25" i="6" s="1"/>
  <c r="S23" i="6"/>
  <c r="H23" i="6"/>
  <c r="R23" i="6" s="1"/>
  <c r="S22" i="6"/>
  <c r="H22" i="6"/>
  <c r="R22" i="6" s="1"/>
  <c r="S20" i="6"/>
  <c r="H20" i="6"/>
  <c r="R20" i="6" s="1"/>
  <c r="C42" i="11"/>
  <c r="C41" i="11" s="1"/>
  <c r="I43" i="35"/>
  <c r="J43" i="35" s="1"/>
  <c r="I42" i="35"/>
  <c r="J42" i="35" s="1"/>
  <c r="G43" i="35"/>
  <c r="H43" i="35" s="1"/>
  <c r="C39" i="35"/>
  <c r="M3" i="35" s="1"/>
  <c r="C38" i="35"/>
  <c r="E43" i="35"/>
  <c r="F43" i="35" s="1"/>
  <c r="E42" i="35"/>
  <c r="F42" i="35" s="1"/>
  <c r="K63" i="40"/>
  <c r="J65" i="40"/>
  <c r="E47" i="37"/>
  <c r="F47" i="37" s="1"/>
  <c r="E46" i="37"/>
  <c r="F46" i="37" s="1"/>
  <c r="I69" i="39"/>
  <c r="J67" i="39"/>
  <c r="C43" i="37"/>
  <c r="C42" i="37"/>
  <c r="D31" i="6"/>
  <c r="I5" i="6" s="1"/>
  <c r="Q48" i="67"/>
  <c r="C39" i="68"/>
  <c r="C42" i="68"/>
  <c r="C24" i="81"/>
  <c r="C29" i="81" s="1"/>
  <c r="C30" i="81" s="1"/>
  <c r="D36" i="81" s="1"/>
  <c r="C20" i="69"/>
  <c r="C23" i="69"/>
  <c r="C24" i="68"/>
  <c r="C46" i="11"/>
  <c r="C45" i="11" s="1"/>
  <c r="C8" i="68"/>
  <c r="C5" i="68" s="1"/>
  <c r="C23" i="68" s="1"/>
  <c r="C18" i="12"/>
  <c r="C21" i="12" s="1"/>
  <c r="C46" i="69"/>
  <c r="C45" i="69" s="1"/>
  <c r="C43" i="69"/>
  <c r="Q70" i="15"/>
  <c r="Q70" i="67"/>
  <c r="C56" i="67"/>
  <c r="C65" i="67" s="1"/>
  <c r="C58" i="67" s="1"/>
  <c r="C67" i="67" s="1"/>
  <c r="C68" i="67" s="1"/>
  <c r="C71" i="67" s="1"/>
  <c r="C37" i="67"/>
  <c r="C30" i="67" s="1"/>
  <c r="C39" i="67" s="1"/>
  <c r="Q69" i="67" s="1"/>
  <c r="J16" i="67"/>
  <c r="J25" i="67" s="1"/>
  <c r="C37" i="15" l="1"/>
  <c r="C30" i="15" s="1"/>
  <c r="C39" i="15" s="1"/>
  <c r="C40" i="15" s="1"/>
  <c r="J22" i="15"/>
  <c r="J16" i="15" s="1"/>
  <c r="J25" i="15" s="1"/>
  <c r="L46" i="15"/>
  <c r="C58" i="15"/>
  <c r="C67" i="15" s="1"/>
  <c r="C68" i="15" s="1"/>
  <c r="C71" i="15" s="1"/>
  <c r="C75" i="15"/>
  <c r="C41" i="69"/>
  <c r="C49" i="69" s="1"/>
  <c r="C51" i="69" s="1"/>
  <c r="T6" i="1"/>
  <c r="T16" i="1" s="1"/>
  <c r="AQ6" i="1"/>
  <c r="S16" i="1"/>
  <c r="AR6" i="1"/>
  <c r="M27" i="6"/>
  <c r="I19" i="6"/>
  <c r="Q68" i="67"/>
  <c r="L63" i="40"/>
  <c r="K65" i="40"/>
  <c r="I6" i="6"/>
  <c r="J69" i="39"/>
  <c r="K67" i="39"/>
  <c r="C49" i="11"/>
  <c r="C51" i="11" s="1"/>
  <c r="C52" i="11" s="1"/>
  <c r="B2" i="11" s="1"/>
  <c r="B3" i="11" s="1"/>
  <c r="C20" i="68"/>
  <c r="C28" i="68" s="1"/>
  <c r="C27" i="68" s="1"/>
  <c r="C28" i="69"/>
  <c r="C27" i="69" s="1"/>
  <c r="C25" i="69"/>
  <c r="C22" i="69" s="1"/>
  <c r="C22" i="12"/>
  <c r="C30" i="12" s="1"/>
  <c r="C28" i="12" s="1"/>
  <c r="D37" i="81"/>
  <c r="G35" i="81"/>
  <c r="J9" i="81"/>
  <c r="C46" i="68"/>
  <c r="C45" i="68" s="1"/>
  <c r="C43" i="68"/>
  <c r="C41" i="68" s="1"/>
  <c r="C40" i="67"/>
  <c r="C45" i="67" s="1"/>
  <c r="C46" i="67" s="1"/>
  <c r="C80" i="67"/>
  <c r="C79" i="67" s="1"/>
  <c r="L51" i="15"/>
  <c r="L51" i="67"/>
  <c r="R24" i="31" l="1"/>
  <c r="R50" i="31" s="1"/>
  <c r="M4" i="80"/>
  <c r="Q67" i="15"/>
  <c r="L57" i="15"/>
  <c r="L60" i="15" s="1"/>
  <c r="Q57" i="15" s="1"/>
  <c r="C80" i="15"/>
  <c r="C79" i="15" s="1"/>
  <c r="Q69" i="15"/>
  <c r="Q68" i="15" s="1"/>
  <c r="C46" i="15"/>
  <c r="I27" i="6"/>
  <c r="H19" i="6"/>
  <c r="S19" i="6"/>
  <c r="S27" i="6" s="1"/>
  <c r="L65" i="40"/>
  <c r="M63" i="40"/>
  <c r="L67" i="39"/>
  <c r="K69" i="39"/>
  <c r="L57" i="67"/>
  <c r="L60" i="67" s="1"/>
  <c r="Q57" i="67" s="1"/>
  <c r="Q67" i="67"/>
  <c r="R66" i="31"/>
  <c r="R36" i="31"/>
  <c r="R63" i="31"/>
  <c r="R25" i="31"/>
  <c r="R56" i="31"/>
  <c r="R26" i="31"/>
  <c r="R61" i="31"/>
  <c r="R28" i="31"/>
  <c r="R30" i="31"/>
  <c r="R62" i="31"/>
  <c r="R70" i="31"/>
  <c r="R44" i="31"/>
  <c r="R67" i="31"/>
  <c r="R35" i="31"/>
  <c r="R64" i="31"/>
  <c r="R32" i="31"/>
  <c r="R65" i="31"/>
  <c r="R33" i="31"/>
  <c r="R42" i="31"/>
  <c r="R31" i="31"/>
  <c r="R74" i="31"/>
  <c r="R71" i="31"/>
  <c r="R55" i="31"/>
  <c r="R39" i="31"/>
  <c r="R68" i="31"/>
  <c r="R40" i="31"/>
  <c r="R69" i="31"/>
  <c r="R37" i="31"/>
  <c r="R34" i="31"/>
  <c r="R27" i="31"/>
  <c r="R60" i="31"/>
  <c r="R75" i="31"/>
  <c r="R59" i="31"/>
  <c r="R43" i="31"/>
  <c r="R72" i="31"/>
  <c r="R73" i="31"/>
  <c r="R57" i="31"/>
  <c r="R41" i="31"/>
  <c r="R29" i="31"/>
  <c r="R58" i="31"/>
  <c r="R38" i="31"/>
  <c r="C25" i="68"/>
  <c r="C22" i="68" s="1"/>
  <c r="C31" i="68" s="1"/>
  <c r="C56" i="11"/>
  <c r="C57" i="11" s="1"/>
  <c r="C49" i="68"/>
  <c r="C51" i="68" s="1"/>
  <c r="C27" i="12"/>
  <c r="C25" i="12" s="1"/>
  <c r="C32" i="12" s="1"/>
  <c r="B2" i="12" s="1"/>
  <c r="B3" i="12" s="1"/>
  <c r="C31" i="69"/>
  <c r="C52" i="69" s="1"/>
  <c r="B2" i="69" s="1"/>
  <c r="B3" i="69" s="1"/>
  <c r="E38" i="81"/>
  <c r="E39" i="81" s="1"/>
  <c r="G37" i="81"/>
  <c r="C38" i="81"/>
  <c r="C39" i="81" s="1"/>
  <c r="J10" i="81"/>
  <c r="C43" i="15"/>
  <c r="C83" i="15"/>
  <c r="C82" i="15" s="1"/>
  <c r="Q65" i="15"/>
  <c r="Q56" i="15"/>
  <c r="Q47" i="15"/>
  <c r="Q53" i="15" s="1"/>
  <c r="B2" i="15"/>
  <c r="B3" i="15" s="1"/>
  <c r="Q65" i="67"/>
  <c r="C43" i="67"/>
  <c r="D2" i="67"/>
  <c r="B3" i="67" s="1"/>
  <c r="C83" i="67"/>
  <c r="C82" i="67" s="1"/>
  <c r="Q47" i="67"/>
  <c r="Q53" i="67" s="1"/>
  <c r="Q56" i="67"/>
  <c r="R48" i="31" l="1"/>
  <c r="S48" i="31" s="1"/>
  <c r="R54" i="31"/>
  <c r="S54" i="31" s="1"/>
  <c r="R49" i="31"/>
  <c r="S49" i="31" s="1"/>
  <c r="R45" i="31"/>
  <c r="S45" i="31" s="1"/>
  <c r="R51" i="31"/>
  <c r="S51" i="31" s="1"/>
  <c r="M6" i="80"/>
  <c r="M10" i="80"/>
  <c r="M5" i="80"/>
  <c r="M8" i="80"/>
  <c r="M12" i="80"/>
  <c r="N4" i="80"/>
  <c r="M13" i="80"/>
  <c r="M7" i="80"/>
  <c r="M11" i="80"/>
  <c r="M9" i="80"/>
  <c r="S24" i="31"/>
  <c r="R52" i="31"/>
  <c r="S52" i="31" s="1"/>
  <c r="R47" i="31"/>
  <c r="S47" i="31" s="1"/>
  <c r="R46" i="31"/>
  <c r="S46" i="31" s="1"/>
  <c r="R53" i="31"/>
  <c r="S53" i="31" s="1"/>
  <c r="Q66" i="15"/>
  <c r="Q75" i="15" s="1"/>
  <c r="H27" i="6"/>
  <c r="R19" i="6"/>
  <c r="Q66" i="67"/>
  <c r="Q75" i="67" s="1"/>
  <c r="N63" i="40"/>
  <c r="M65" i="40"/>
  <c r="M67" i="39"/>
  <c r="L69" i="39"/>
  <c r="S58" i="31"/>
  <c r="S41" i="31"/>
  <c r="S73" i="31"/>
  <c r="S72" i="31"/>
  <c r="S59" i="31"/>
  <c r="S60" i="31"/>
  <c r="S34" i="31"/>
  <c r="S40" i="31"/>
  <c r="S39" i="31"/>
  <c r="S71" i="31"/>
  <c r="S74" i="31"/>
  <c r="S31" i="31"/>
  <c r="S33" i="31"/>
  <c r="S65" i="31"/>
  <c r="S64" i="31"/>
  <c r="S44" i="31"/>
  <c r="S62" i="31"/>
  <c r="S50" i="31"/>
  <c r="S26" i="31"/>
  <c r="S25" i="31"/>
  <c r="S63" i="31"/>
  <c r="S66" i="31"/>
  <c r="S38" i="31"/>
  <c r="S29" i="31"/>
  <c r="S57" i="31"/>
  <c r="S43" i="31"/>
  <c r="S75" i="31"/>
  <c r="S27" i="31"/>
  <c r="S37" i="31"/>
  <c r="S69" i="31"/>
  <c r="S68" i="31"/>
  <c r="S55" i="31"/>
  <c r="S42" i="31"/>
  <c r="S32" i="31"/>
  <c r="S35" i="31"/>
  <c r="S67" i="31"/>
  <c r="S70" i="31"/>
  <c r="S30" i="31"/>
  <c r="S28" i="31"/>
  <c r="S61" i="31"/>
  <c r="S56" i="31"/>
  <c r="S36" i="31"/>
  <c r="B2" i="67"/>
  <c r="C57" i="69"/>
  <c r="C56" i="69" s="1"/>
  <c r="C52" i="68"/>
  <c r="B2" i="68" s="1"/>
  <c r="B3" i="68" s="1"/>
  <c r="Q62" i="15"/>
  <c r="Q62" i="67"/>
  <c r="R27" i="6" l="1"/>
  <c r="R6" i="1"/>
  <c r="R16" i="1" s="1"/>
  <c r="O63" i="40"/>
  <c r="O65" i="40" s="1"/>
  <c r="N65" i="40"/>
  <c r="N67" i="39"/>
  <c r="M69" i="39"/>
  <c r="S22" i="31"/>
  <c r="P6" i="80"/>
  <c r="N6" i="80"/>
  <c r="P8" i="80"/>
  <c r="N8" i="80"/>
  <c r="N13" i="80"/>
  <c r="P13" i="80"/>
  <c r="N11" i="80"/>
  <c r="P11" i="80"/>
  <c r="N7" i="80"/>
  <c r="P7" i="80"/>
  <c r="P4" i="80"/>
  <c r="N9" i="80"/>
  <c r="P9" i="80"/>
  <c r="P10" i="80"/>
  <c r="N10" i="80"/>
  <c r="P12" i="80"/>
  <c r="N12" i="80"/>
  <c r="N5" i="80"/>
  <c r="P5" i="80"/>
  <c r="C57" i="68"/>
  <c r="C56" i="68" s="1"/>
  <c r="O67" i="39" l="1"/>
  <c r="O69" i="39" s="1"/>
  <c r="N69" i="39"/>
  <c r="F7" i="40"/>
  <c r="J7" i="40"/>
  <c r="H7" i="40"/>
  <c r="R22" i="31"/>
  <c r="B20" i="31"/>
  <c r="B21" i="31" s="1"/>
  <c r="P15" i="80"/>
  <c r="P17" i="80" s="1"/>
  <c r="N15" i="80"/>
  <c r="M15" i="80" s="1"/>
  <c r="W7" i="40" l="1"/>
  <c r="AC7" i="40"/>
  <c r="V42" i="40" s="1"/>
  <c r="I42" i="40" s="1"/>
  <c r="S7" i="40"/>
  <c r="AA7" i="40"/>
  <c r="R42" i="40" s="1"/>
  <c r="U7" i="40"/>
  <c r="AB7" i="40"/>
  <c r="T42" i="40" s="1"/>
  <c r="G42" i="40" s="1"/>
  <c r="J7" i="39"/>
  <c r="F7" i="39"/>
  <c r="H7" i="39"/>
  <c r="F88" i="31"/>
  <c r="G88" i="31" s="1"/>
  <c r="F89" i="31"/>
  <c r="G89" i="31" s="1"/>
  <c r="F87" i="31"/>
  <c r="G87" i="31" s="1"/>
  <c r="F90" i="31"/>
  <c r="G90" i="31" s="1"/>
  <c r="S7" i="39" l="1"/>
  <c r="AA7" i="39"/>
  <c r="R47" i="39" s="1"/>
  <c r="R43" i="40"/>
  <c r="E42" i="40"/>
  <c r="I47" i="40" s="1"/>
  <c r="J47" i="40" s="1"/>
  <c r="AC7" i="39"/>
  <c r="V47" i="39" s="1"/>
  <c r="I47" i="39" s="1"/>
  <c r="W7" i="39"/>
  <c r="G47" i="40"/>
  <c r="H47" i="40" s="1"/>
  <c r="G46" i="40"/>
  <c r="H46" i="40" s="1"/>
  <c r="I46" i="40"/>
  <c r="J46" i="40" s="1"/>
  <c r="U7" i="39"/>
  <c r="AB7" i="39"/>
  <c r="T47" i="39" s="1"/>
  <c r="G47" i="39" s="1"/>
  <c r="F91" i="31"/>
  <c r="G91" i="31" s="1"/>
  <c r="C43" i="40" l="1"/>
  <c r="C42" i="40"/>
  <c r="R48" i="39"/>
  <c r="E47" i="39"/>
  <c r="I52" i="39" s="1"/>
  <c r="J52" i="39" s="1"/>
  <c r="I51" i="39"/>
  <c r="J51" i="39" s="1"/>
  <c r="G51" i="39"/>
  <c r="H51" i="39" s="1"/>
  <c r="G52" i="39"/>
  <c r="H52" i="39" s="1"/>
  <c r="E46" i="40"/>
  <c r="F46" i="40" s="1"/>
  <c r="E47" i="40"/>
  <c r="F47" i="40" s="1"/>
  <c r="B53" i="40" l="1"/>
  <c r="F53" i="40" s="1"/>
  <c r="B60" i="40"/>
  <c r="F60" i="40" s="1"/>
  <c r="B59" i="40"/>
  <c r="F59" i="40" s="1"/>
  <c r="B57" i="40"/>
  <c r="F57" i="40" s="1"/>
  <c r="B58" i="40"/>
  <c r="F58" i="40" s="1"/>
  <c r="B52" i="40"/>
  <c r="F52" i="40" s="1"/>
  <c r="B51" i="40"/>
  <c r="F51" i="40" s="1"/>
  <c r="B54" i="40"/>
  <c r="F54" i="40" s="1"/>
  <c r="B56" i="40"/>
  <c r="F56" i="40" s="1"/>
  <c r="F61" i="40"/>
  <c r="B2" i="40" s="1"/>
  <c r="B3" i="40" s="1"/>
  <c r="E51" i="39"/>
  <c r="F51" i="39" s="1"/>
  <c r="E52" i="39"/>
  <c r="F52" i="39" s="1"/>
  <c r="C48" i="39"/>
  <c r="C47" i="39"/>
  <c r="B63" i="39" l="1"/>
  <c r="F63" i="39" s="1"/>
  <c r="B57" i="39"/>
  <c r="F57" i="39" s="1"/>
  <c r="B56" i="39"/>
  <c r="F56" i="39" s="1"/>
  <c r="F65" i="39" s="1"/>
  <c r="B2" i="39" s="1"/>
  <c r="B3" i="39" s="1"/>
  <c r="B64" i="39"/>
  <c r="F64" i="39" s="1"/>
  <c r="B58" i="39"/>
  <c r="F58" i="39" s="1"/>
  <c r="B60" i="39"/>
  <c r="F60" i="39" s="1"/>
  <c r="B62" i="39"/>
  <c r="F62" i="39" s="1"/>
  <c r="B61" i="39"/>
  <c r="F61" i="39" s="1"/>
  <c r="B59" i="39"/>
  <c r="F59" i="39" s="1"/>
  <c r="M54" i="9"/>
  <c r="D56" i="9"/>
  <c r="D58" i="9"/>
  <c r="C97" i="9"/>
  <c r="B51" i="72"/>
  <c r="F4" i="52"/>
  <c r="B31" i="72"/>
  <c r="D15" i="53"/>
  <c r="B53" i="72"/>
  <c r="F5" i="52"/>
  <c r="F119" i="9"/>
  <c r="B32" i="72"/>
  <c r="D14" i="53"/>
  <c r="D54" i="9"/>
  <c r="C68" i="9"/>
  <c r="B20" i="72"/>
  <c r="H5" i="52"/>
  <c r="H119" i="9"/>
  <c r="M48" i="9"/>
  <c r="B21" i="72"/>
  <c r="D7" i="53"/>
  <c r="D13" i="53"/>
  <c r="B30" i="72"/>
  <c r="C81" i="9"/>
  <c r="N61" i="9"/>
  <c r="N59" i="9"/>
  <c r="N60" i="9"/>
  <c r="D9" i="52"/>
  <c r="D123" i="9"/>
  <c r="C72" i="9"/>
  <c r="C79" i="9"/>
  <c r="C80" i="9"/>
  <c r="E80" i="9"/>
  <c r="E81" i="9"/>
  <c r="D4" i="52"/>
  <c r="B47" i="72"/>
  <c r="D118" i="9"/>
  <c r="D119" i="9"/>
  <c r="D5" i="52"/>
  <c r="B49" i="72"/>
  <c r="C86" i="9"/>
  <c r="C93" i="9"/>
  <c r="E118" i="9"/>
  <c r="E4" i="52"/>
  <c r="B48" i="72"/>
  <c r="D53" i="9"/>
  <c r="D52" i="9"/>
  <c r="C105" i="9"/>
  <c r="I4" i="52"/>
  <c r="H102" i="9"/>
  <c r="C5" i="74"/>
  <c r="D122" i="9"/>
  <c r="D8" i="52"/>
  <c r="C104" i="9"/>
  <c r="H4" i="52"/>
  <c r="P57" i="9"/>
  <c r="D55" i="9"/>
  <c r="M53" i="9"/>
  <c r="N57" i="9"/>
  <c r="N58" i="9"/>
  <c r="H107" i="9"/>
  <c r="H108" i="9"/>
  <c r="C6" i="74"/>
  <c r="C85" i="9"/>
  <c r="C95" i="9"/>
  <c r="C96" i="9"/>
  <c r="E96" i="9"/>
  <c r="E97" i="9"/>
  <c r="C64" i="9"/>
  <c r="C63" i="9"/>
  <c r="C67" i="9"/>
  <c r="D59" i="9"/>
  <c r="M55" i="9"/>
  <c r="D5" i="53"/>
  <c r="D6" i="53"/>
  <c r="B22" i="72"/>
  <c r="F118" i="9"/>
  <c r="G118" i="9"/>
  <c r="G4" i="52"/>
  <c r="B52"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<sst xmlns="http://schemas.openxmlformats.org/spreadsheetml/2006/main" count="9071" uniqueCount="3677">
  <si>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</si>
  <si>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</si>
  <si>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</si>
  <si>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</si>
  <si>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</si>
  <si>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</si>
  <si>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</si>
  <si>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</si>
  <si>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</si>
  <si>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</si>
  <si>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</si>
  <si>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</si>
  <si>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</si>
  <si>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</si>
  <si>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</si>
  <si>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</si>
  <si>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</si>
  <si>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</si>
  <si>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</si>
  <si>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</si>
  <si>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</si>
  <si>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</si>
  <si>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</si>
  <si>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</si>
  <si>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</si>
  <si>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</si>
  <si>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</si>
  <si>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</si>
  <si>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</si>
  <si>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</si>
  <si>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</si>
  <si>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</si>
  <si>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</si>
  <si>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</si>
  <si>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</si>
  <si>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</si>
  <si>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</si>
  <si>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</si>
  <si>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</si>
  <si>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</si>
  <si>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</si>
  <si>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</si>
  <si>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</si>
  <si>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</si>
  <si>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</si>
  <si>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</si>
  <si>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</si>
  <si>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</si>
  <si>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</si>
  <si>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</si>
  <si>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</si>
  <si>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</si>
  <si>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</si>
  <si>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</si>
  <si>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</si>
  <si>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</si>
  <si>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</si>
  <si>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</si>
  <si>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</si>
  <si>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</si>
  <si>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</si>
  <si>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</si>
  <si>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</si>
  <si>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</si>
  <si>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</si>
  <si>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</si>
  <si>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</si>
  <si>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</si>
  <si>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</si>
  <si>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</si>
  <si>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</si>
  <si>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</si>
  <si>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</si>
  <si>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</si>
  <si>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</si>
  <si>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</si>
  <si>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</si>
  <si>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</si>
  <si>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</si>
  <si>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</si>
  <si>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</si>
  <si>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</si>
  <si>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</si>
  <si>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</si>
  <si>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</si>
  <si>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</si>
  <si>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</si>
  <si>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</si>
  <si>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</si>
  <si>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</si>
  <si>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</si>
  <si>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</si>
  <si>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</si>
  <si>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</si>
  <si>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</si>
  <si>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</si>
  <si>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</si>
  <si>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</si>
  <si>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</si>
  <si>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</si>
  <si>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</si>
  <si>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</si>
  <si>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</si>
  <si>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</si>
  <si>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</si>
  <si>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</si>
  <si>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</si>
  <si>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</si>
  <si>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</si>
  <si>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</si>
  <si>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</si>
  <si>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</si>
  <si>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</si>
  <si>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</si>
  <si>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</si>
  <si>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</si>
  <si>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</si>
  <si>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</si>
  <si>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</si>
  <si>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</si>
  <si>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</si>
  <si>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</si>
  <si>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</si>
  <si>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</si>
  <si>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</si>
  <si>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</si>
  <si>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</si>
  <si>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</si>
  <si>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</si>
  <si>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</si>
  <si>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</si>
  <si>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</si>
  <si>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</si>
  <si>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</si>
  <si>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</si>
  <si>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</si>
  <si>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</si>
  <si>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</si>
  <si>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</si>
  <si>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</si>
  <si>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</si>
  <si>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</si>
  <si>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</si>
  <si>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</si>
  <si>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</si>
  <si>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</si>
  <si>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</si>
  <si>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</si>
  <si>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</si>
  <si>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</si>
  <si>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</si>
  <si>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</si>
  <si>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</si>
  <si>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</si>
  <si>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</si>
  <si>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</si>
  <si>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</si>
  <si>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</si>
  <si>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</si>
  <si>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</si>
  <si>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</si>
  <si>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</si>
  <si>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</si>
  <si>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</si>
  <si>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</si>
  <si>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</si>
  <si>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</si>
  <si>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</si>
  <si>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</si>
  <si>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</si>
  <si>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</si>
  <si>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</si>
  <si>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</si>
  <si>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</si>
  <si>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</si>
  <si>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</si>
  <si>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</si>
  <si>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</si>
  <si>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</si>
  <si>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</si>
  <si>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</si>
  <si>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</si>
  <si>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</si>
  <si>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</si>
  <si>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</si>
  <si>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</si>
  <si>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</si>
  <si>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</si>
  <si>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</si>
  <si>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</si>
  <si>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</si>
  <si>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</si>
  <si>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</si>
  <si>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</si>
  <si>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</si>
  <si>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</si>
  <si>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</si>
  <si>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</si>
  <si>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</si>
  <si>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</si>
  <si>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</si>
  <si>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</si>
  <si>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</si>
  <si>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</si>
  <si>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</si>
  <si>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</si>
  <si>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</si>
  <si>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</si>
  <si>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</si>
  <si>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</si>
  <si>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</si>
  <si>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</si>
  <si>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</si>
  <si>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</si>
  <si>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</si>
  <si>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</si>
  <si>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</si>
  <si>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</si>
  <si>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</si>
  <si>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</si>
  <si>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</si>
  <si>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</si>
  <si>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</si>
  <si>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</si>
  <si>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</si>
  <si>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</si>
  <si>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</si>
  <si>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</si>
  <si>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</si>
  <si>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</si>
  <si>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</si>
  <si>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</si>
  <si>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</si>
  <si>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</si>
  <si>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</si>
  <si>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</si>
  <si>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</si>
  <si>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</si>
  <si>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</si>
  <si>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</si>
  <si>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</si>
  <si>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</si>
  <si>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</si>
  <si>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</si>
  <si>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</si>
  <si>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</si>
  <si>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</si>
  <si>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</si>
  <si>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</si>
  <si>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</si>
  <si>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</si>
  <si>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</si>
  <si>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</si>
  <si>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</si>
  <si>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</si>
  <si>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</si>
  <si>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</si>
  <si>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</si>
  <si>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</si>
  <si>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</si>
  <si>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</si>
  <si>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</si>
  <si>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</si>
  <si>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</si>
  <si>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</si>
  <si>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</si>
  <si>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</si>
  <si>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</si>
  <si>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</si>
  <si>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</si>
  <si>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</si>
  <si>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</si>
  <si>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</si>
  <si>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</si>
  <si>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</si>
  <si>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</si>
  <si>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</si>
  <si>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</si>
  <si>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</si>
  <si>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</si>
  <si>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</si>
  <si>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</si>
  <si>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</si>
  <si>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</si>
  <si>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</si>
  <si>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</si>
  <si>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</si>
  <si>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</si>
  <si>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</si>
  <si>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</si>
  <si>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</si>
  <si>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</si>
  <si>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</si>
  <si>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</si>
  <si>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</si>
  <si>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</si>
  <si>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</si>
  <si>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</si>
  <si>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</si>
  <si>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</si>
  <si>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</si>
  <si>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</si>
  <si>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</si>
  <si>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</si>
  <si>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</si>
  <si>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</si>
  <si>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</si>
  <si>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</si>
  <si>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</si>
  <si>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</si>
  <si>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</si>
  <si>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</si>
  <si>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</si>
  <si>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</si>
  <si>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</si>
  <si>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</si>
  <si>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</si>
  <si>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</si>
  <si>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</si>
  <si>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</si>
  <si>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</si>
  <si>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</si>
  <si>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</si>
  <si>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</si>
  <si>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</si>
  <si>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</si>
  <si>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</si>
  <si>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</si>
  <si>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</si>
  <si>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</si>
  <si>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</si>
  <si>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</si>
  <si>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</si>
  <si>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</si>
  <si>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</si>
  <si>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</si>
  <si>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</si>
  <si>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</si>
  <si>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</si>
  <si>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</si>
  <si>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</si>
  <si>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</si>
  <si>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</si>
  <si>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</si>
  <si>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</si>
  <si>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</si>
  <si>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</si>
  <si>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</si>
  <si>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</si>
  <si>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</si>
  <si>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</si>
  <si>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</si>
  <si>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</si>
  <si>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</si>
  <si>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</si>
  <si>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</si>
  <si>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</si>
  <si>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</si>
  <si>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</si>
  <si>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</si>
  <si>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</si>
  <si>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</si>
  <si>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</si>
  <si>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</si>
  <si>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</si>
  <si>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</si>
  <si>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</si>
  <si>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</si>
  <si>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</si>
  <si>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</si>
  <si>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</si>
  <si>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</si>
  <si>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</si>
  <si>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</si>
  <si>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</si>
  <si>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</si>
  <si>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</si>
  <si>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</si>
  <si>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</si>
  <si>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</si>
  <si>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</si>
  <si>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</si>
  <si>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</si>
  <si>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</si>
  <si>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</si>
  <si>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</si>
  <si>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</si>
  <si>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</si>
  <si>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</si>
  <si>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</si>
  <si>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</si>
  <si>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</si>
  <si>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</si>
  <si>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</si>
  <si>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</si>
  <si>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</si>
  <si>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</si>
  <si>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</si>
  <si>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</si>
  <si>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</si>
  <si>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</si>
  <si>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</si>
  <si>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</si>
  <si>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</si>
  <si>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</si>
  <si>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</si>
  <si>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</si>
  <si>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</si>
  <si>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</si>
  <si>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</si>
  <si>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</si>
  <si>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</si>
  <si>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</si>
  <si>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</si>
  <si>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</si>
  <si>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</si>
  <si>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</si>
  <si>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</si>
  <si>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</si>
  <si>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</si>
  <si>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</si>
  <si>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</si>
  <si>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</si>
  <si>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</si>
  <si>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</si>
  <si>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</si>
  <si>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</si>
  <si>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</si>
  <si>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</si>
  <si>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</si>
  <si>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</si>
  <si>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</si>
  <si>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</si>
  <si>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</si>
  <si>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</si>
  <si>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</si>
  <si>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</si>
  <si>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</si>
  <si>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</si>
  <si>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</si>
  <si>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</si>
  <si>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</si>
  <si>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</si>
  <si>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</si>
  <si>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</si>
  <si>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</si>
  <si>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</si>
  <si>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</si>
  <si>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</si>
  <si>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</si>
  <si>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</si>
  <si>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</si>
  <si>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</si>
  <si>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</si>
  <si>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</si>
  <si>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</si>
  <si>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</si>
  <si>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</si>
  <si>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</si>
  <si>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</si>
  <si>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</si>
  <si>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</si>
  <si>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</si>
  <si>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</si>
  <si>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</si>
  <si>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</si>
  <si>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</si>
  <si>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</si>
  <si>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</si>
  <si>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</si>
  <si>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</si>
  <si>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</si>
  <si>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</si>
  <si>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</si>
  <si>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</si>
  <si>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</si>
  <si>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</si>
  <si>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</si>
  <si>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</si>
  <si>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</si>
  <si>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</si>
  <si>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</si>
  <si>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</si>
  <si>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</si>
  <si>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</si>
  <si>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</si>
  <si>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</si>
  <si>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</si>
  <si>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</si>
  <si>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</si>
  <si>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</si>
  <si>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</si>
  <si>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</si>
  <si>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</si>
  <si>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</si>
  <si>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</si>
  <si>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</si>
  <si>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</si>
  <si>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</si>
  <si>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</si>
  <si>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</si>
  <si>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</si>
  <si>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</si>
  <si>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</si>
  <si>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</si>
  <si>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</si>
  <si>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</si>
  <si>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</si>
  <si>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</si>
  <si>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</si>
  <si>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</si>
  <si>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</si>
  <si>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</si>
  <si>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</si>
  <si>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</si>
  <si>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</si>
  <si>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</si>
  <si>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</si>
  <si>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</si>
  <si>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</si>
  <si>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</si>
  <si>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</si>
  <si>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</si>
  <si>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</si>
  <si>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</si>
  <si>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</si>
  <si>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</si>
  <si>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</si>
  <si>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</si>
  <si>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</si>
  <si>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</si>
  <si>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</si>
  <si>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</si>
  <si>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</si>
  <si>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</si>
  <si>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</si>
  <si>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</si>
  <si>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</si>
  <si>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</si>
  <si>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</si>
  <si>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</si>
  <si>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</si>
  <si>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</si>
  <si>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</si>
  <si>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</si>
  <si>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</si>
  <si>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</si>
  <si>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</si>
  <si>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</si>
  <si>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</si>
  <si>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</si>
  <si>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</si>
  <si>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</si>
  <si>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</si>
  <si>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</si>
  <si>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</si>
  <si>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</si>
  <si>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</si>
  <si>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</si>
  <si>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</si>
  <si>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</si>
  <si>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</si>
  <si>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</si>
  <si>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</si>
  <si>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</si>
  <si>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</si>
  <si>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</si>
  <si>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</si>
  <si>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</si>
  <si>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</si>
  <si>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</si>
  <si>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</si>
  <si>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</si>
  <si>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</si>
  <si>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</si>
  <si>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</si>
  <si>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</si>
  <si>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</si>
  <si>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</si>
  <si>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</si>
  <si>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</si>
  <si>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</si>
  <si>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</si>
  <si>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</si>
  <si>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</si>
  <si>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</si>
  <si>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</si>
  <si>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</si>
  <si>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</si>
  <si>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</si>
  <si>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</si>
  <si>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</si>
  <si>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</si>
  <si>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</si>
  <si>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</si>
  <si>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</si>
  <si>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</si>
  <si>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</si>
  <si>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</si>
  <si>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</si>
  <si>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</si>
  <si>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</si>
  <si>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</si>
  <si>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</si>
  <si>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</si>
  <si>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</si>
  <si>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</si>
  <si>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</si>
  <si>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</si>
  <si>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</si>
  <si>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</si>
  <si>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</si>
  <si>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</si>
  <si>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</si>
  <si>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</si>
  <si>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</si>
  <si>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</si>
  <si>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</si>
  <si>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</si>
  <si>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</si>
  <si>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</si>
  <si>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</si>
  <si>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</si>
  <si>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</si>
  <si>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</si>
  <si>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</si>
  <si>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</si>
  <si>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</si>
  <si>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</si>
  <si>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</si>
  <si>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</si>
  <si>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</si>
  <si>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</si>
  <si>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</si>
  <si>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</si>
  <si>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</si>
  <si>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</si>
  <si>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</si>
  <si>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</si>
  <si>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</si>
  <si>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</si>
  <si>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</si>
  <si>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</si>
  <si>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</si>
  <si>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</si>
  <si>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</si>
  <si>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</si>
  <si>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</si>
  <si>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</si>
  <si>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</si>
  <si>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</si>
  <si>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</si>
  <si>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</si>
  <si>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</si>
  <si>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</si>
  <si>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</si>
  <si>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</si>
  <si>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</si>
  <si>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</si>
  <si>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</si>
  <si>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</si>
  <si>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</si>
  <si>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</si>
  <si>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</si>
  <si>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</si>
  <si>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</si>
  <si>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</si>
  <si>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</si>
  <si>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</si>
  <si>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</si>
  <si>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</si>
  <si>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</si>
  <si>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</si>
  <si>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</si>
  <si>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</si>
  <si>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</si>
  <si>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</si>
  <si>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</si>
  <si>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</si>
  <si>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</si>
  <si>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</si>
  <si>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</si>
  <si>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</si>
  <si>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</si>
  <si>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</si>
  <si>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</si>
  <si>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</si>
  <si>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</si>
  <si>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</si>
  <si>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</si>
  <si>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</si>
  <si>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</si>
  <si>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</si>
  <si>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</si>
  <si>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</si>
  <si>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</si>
  <si>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</si>
  <si>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</si>
  <si>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</si>
  <si>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</si>
  <si>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</si>
  <si>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</si>
  <si>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</si>
  <si>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</si>
  <si>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</si>
  <si>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</si>
  <si>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</si>
  <si>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</si>
  <si>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</si>
  <si>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</si>
  <si>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</si>
  <si>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</si>
  <si>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</si>
  <si>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</si>
  <si>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</si>
  <si>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</si>
  <si>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</si>
  <si>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</si>
  <si>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</si>
  <si>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</si>
  <si>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</si>
  <si>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</si>
  <si>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</si>
  <si>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</si>
  <si>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</si>
  <si>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</si>
  <si>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</si>
  <si>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</si>
  <si>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</si>
  <si>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</si>
  <si>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</si>
  <si>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</si>
  <si>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</si>
  <si>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</si>
  <si>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</si>
  <si>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</si>
  <si>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</si>
  <si>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</si>
  <si>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</si>
  <si>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</si>
  <si>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</si>
  <si>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</si>
  <si>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</si>
  <si>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</si>
  <si>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</si>
  <si>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</si>
  <si>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</si>
  <si>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</si>
  <si>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</si>
  <si>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</si>
  <si>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</si>
  <si>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</si>
  <si>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</si>
  <si>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</si>
  <si>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</si>
  <si>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</si>
  <si>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</si>
  <si>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</si>
  <si>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</si>
  <si>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</si>
  <si>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</si>
  <si>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</si>
  <si>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</si>
  <si>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</si>
  <si>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</si>
  <si>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</si>
  <si>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</si>
  <si>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</si>
  <si>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</si>
  <si>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</si>
  <si>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</si>
  <si>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</si>
  <si>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</si>
  <si>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</si>
  <si>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</si>
  <si>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</si>
  <si>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</si>
  <si>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</si>
  <si>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</si>
  <si>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</si>
  <si>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</si>
  <si>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</si>
  <si>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</si>
  <si>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</si>
  <si>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</si>
  <si>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</si>
  <si>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</si>
  <si>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</si>
  <si>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</si>
  <si>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</si>
  <si>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</si>
  <si>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</si>
  <si>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</si>
  <si>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</si>
  <si>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</si>
  <si>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</si>
  <si>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</si>
  <si>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</si>
  <si>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</si>
  <si>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</si>
  <si>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</si>
  <si>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</si>
  <si>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</si>
  <si>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</si>
  <si>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</si>
  <si>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</si>
  <si>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</si>
  <si>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</si>
  <si>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</si>
  <si>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</si>
  <si>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</si>
  <si>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</si>
  <si>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</si>
  <si>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</si>
  <si>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</si>
  <si>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</si>
  <si>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</si>
  <si>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</si>
  <si>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</si>
  <si>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</si>
  <si>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</si>
  <si>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</si>
  <si>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</si>
  <si>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</si>
  <si>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</si>
  <si>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</si>
  <si>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</si>
  <si>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</si>
  <si>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</si>
  <si>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</si>
  <si>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</si>
  <si>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</si>
  <si>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</si>
  <si>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</si>
  <si>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</si>
  <si>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</si>
  <si>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</si>
  <si>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</si>
  <si>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</si>
  <si>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</si>
  <si>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</si>
  <si>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</si>
  <si>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</si>
  <si>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</si>
  <si>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</si>
  <si>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</si>
  <si>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</si>
  <si>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</si>
  <si>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</si>
  <si>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</si>
  <si>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</si>
  <si>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</si>
  <si>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</si>
  <si>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</si>
  <si>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</si>
  <si>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</si>
  <si>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</si>
  <si>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</si>
  <si>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</si>
  <si>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</si>
  <si>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</si>
  <si>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</si>
  <si>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</si>
  <si>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</si>
  <si>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</si>
  <si>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</si>
  <si>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</si>
  <si>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</si>
  <si>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</si>
  <si>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</si>
  <si>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</si>
  <si>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</si>
  <si>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</si>
  <si>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</si>
  <si>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</si>
  <si>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</si>
  <si>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</si>
  <si>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</si>
  <si>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</si>
  <si>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</si>
  <si>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</si>
  <si>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</si>
  <si>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</si>
  <si>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</si>
  <si>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</si>
  <si>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</si>
  <si>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</si>
  <si>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</si>
  <si>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</si>
  <si>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</si>
  <si>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</si>
  <si>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</si>
  <si>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</si>
  <si>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</si>
  <si>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</si>
  <si>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</si>
  <si>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</si>
  <si>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</si>
  <si>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</si>
  <si>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</si>
  <si>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</si>
  <si>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</si>
  <si>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</si>
  <si>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</si>
  <si>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</si>
  <si>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</si>
  <si>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</si>
  <si>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</si>
  <si>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</si>
  <si>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</si>
  <si>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</si>
  <si>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</si>
  <si>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</si>
  <si>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</si>
  <si>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</si>
  <si>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</si>
  <si>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</si>
  <si>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</si>
  <si>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</si>
  <si>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</si>
  <si>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</si>
  <si>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</si>
  <si>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</si>
  <si>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</si>
  <si>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</si>
  <si>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</si>
  <si>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</si>
  <si>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</si>
  <si>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</si>
  <si>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</si>
  <si>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</si>
  <si>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</si>
  <si>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</si>
  <si>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</si>
  <si>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</si>
  <si>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</si>
  <si>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</si>
  <si>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</si>
  <si>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</si>
  <si>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</si>
  <si>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</si>
  <si>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</si>
  <si>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</si>
  <si>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</si>
  <si>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</si>
  <si>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</si>
  <si>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</si>
  <si>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</si>
  <si>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</si>
  <si>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</si>
  <si>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</si>
  <si>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</si>
  <si>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</si>
  <si>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</si>
  <si>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</si>
  <si>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</si>
  <si>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</si>
  <si>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</si>
  <si>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</si>
  <si>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</si>
  <si>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</si>
  <si>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</si>
  <si>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</si>
  <si>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</si>
  <si>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</si>
  <si>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</si>
  <si>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</si>
  <si>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</si>
  <si>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</si>
  <si>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</si>
  <si>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</si>
  <si>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</si>
  <si>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</si>
  <si>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</si>
  <si>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</si>
  <si>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</si>
  <si>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</si>
  <si>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</si>
  <si>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</si>
  <si>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</si>
  <si>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</si>
  <si>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</si>
  <si>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</si>
  <si>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</si>
  <si>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</si>
  <si>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</si>
  <si>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</si>
  <si>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</si>
  <si>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</si>
  <si>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</si>
  <si>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</si>
  <si>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</si>
  <si>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</si>
  <si>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</si>
  <si>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</si>
  <si>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</si>
  <si>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</si>
  <si>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</si>
  <si>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</si>
  <si>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</si>
  <si>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</si>
  <si>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</si>
  <si>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</si>
  <si>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</si>
  <si>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</si>
  <si>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</si>
  <si>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</si>
  <si>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</si>
  <si>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</si>
  <si>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</si>
  <si>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</si>
  <si>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</si>
  <si>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</si>
  <si>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</si>
  <si>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</si>
  <si>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</si>
  <si>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</si>
  <si>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</si>
  <si>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</si>
  <si>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</si>
  <si>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</si>
  <si>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</si>
  <si>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</si>
  <si>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</si>
  <si>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</si>
  <si>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</si>
  <si>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</si>
  <si>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</si>
  <si>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</si>
  <si>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</si>
  <si>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</si>
  <si>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</si>
  <si>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</si>
  <si>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</si>
  <si>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</si>
  <si>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</si>
  <si>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</si>
  <si>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</si>
  <si>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</si>
  <si>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</si>
  <si>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</si>
  <si>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</si>
  <si>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</si>
  <si>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</si>
  <si>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</si>
  <si>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</si>
  <si>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</si>
  <si>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</si>
  <si>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</si>
  <si>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</si>
  <si>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</si>
  <si>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</si>
  <si>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</si>
  <si>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</si>
  <si>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</si>
  <si>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</si>
  <si>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</si>
  <si>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</si>
  <si>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</si>
  <si>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</si>
  <si>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</si>
  <si>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</si>
  <si>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</si>
  <si>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</si>
  <si>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</si>
  <si>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</si>
  <si>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</si>
  <si>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</si>
  <si>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</si>
  <si>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</si>
  <si>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</si>
  <si>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</si>
  <si>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</si>
  <si>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</si>
  <si>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</si>
  <si>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</si>
  <si>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</si>
  <si>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</si>
  <si>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</si>
  <si>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</si>
  <si>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</si>
  <si>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</si>
  <si>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</si>
  <si>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</si>
  <si>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</si>
  <si>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</si>
  <si>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</si>
  <si>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</si>
  <si>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</si>
  <si>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</si>
  <si>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</si>
  <si>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</si>
  <si>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</si>
  <si>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</si>
  <si>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</si>
  <si>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</si>
  <si>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</si>
  <si>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</si>
  <si>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</si>
  <si>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</si>
  <si>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</si>
  <si>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</si>
  <si>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</si>
  <si>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</si>
  <si>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</si>
  <si>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</si>
  <si>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</si>
  <si>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</si>
  <si>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</si>
  <si>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</si>
  <si>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</si>
  <si>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</si>
  <si>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</si>
  <si>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</si>
  <si>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</si>
  <si>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</si>
  <si>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</si>
  <si>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</si>
  <si>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</si>
  <si>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</si>
  <si>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</si>
  <si>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</si>
  <si>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</si>
  <si>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</si>
  <si>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</si>
  <si>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</si>
  <si>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</si>
  <si>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</si>
  <si>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</si>
  <si>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</si>
  <si>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</si>
  <si>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</si>
  <si>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</si>
  <si>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</si>
  <si>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</si>
  <si>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</si>
  <si>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</si>
  <si>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</si>
  <si>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</si>
  <si>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</si>
  <si>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</si>
  <si>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</si>
  <si>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</si>
  <si>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</si>
  <si>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</si>
  <si>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</si>
  <si>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</si>
  <si>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</si>
  <si>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</si>
  <si>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</si>
  <si>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</si>
  <si>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</si>
  <si>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</si>
  <si>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</si>
  <si>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</si>
  <si>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</si>
  <si>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</si>
  <si>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</si>
  <si>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</si>
  <si>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</si>
  <si>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</si>
  <si>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</si>
  <si>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</si>
  <si>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</si>
  <si>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</si>
  <si>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</si>
  <si>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</si>
  <si>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</si>
  <si>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</si>
  <si>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</si>
  <si>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</si>
  <si>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</si>
  <si>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</si>
  <si>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</si>
  <si>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</si>
  <si>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</si>
  <si>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</si>
  <si>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</si>
  <si>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</si>
  <si>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</si>
  <si>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</si>
  <si>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</si>
  <si>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</si>
  <si>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</si>
  <si>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</si>
  <si>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</si>
  <si>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</si>
  <si>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</si>
  <si>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</si>
  <si>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</si>
  <si>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</si>
  <si>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</si>
  <si>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</si>
  <si>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</si>
  <si>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</si>
  <si>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</si>
  <si>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</si>
  <si>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</si>
  <si>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</si>
  <si>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</si>
  <si>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</si>
  <si>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</si>
  <si>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</si>
  <si>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</si>
  <si>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</si>
  <si>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</si>
  <si>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</si>
  <si>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</si>
  <si>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</si>
  <si>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</si>
  <si>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</si>
  <si>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</si>
  <si>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</si>
  <si>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</si>
  <si>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</si>
  <si>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</si>
  <si>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</si>
  <si>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</si>
  <si>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</si>
  <si>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</si>
  <si>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</si>
  <si>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</si>
  <si>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</si>
  <si>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</si>
  <si>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</si>
  <si>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</si>
  <si>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</si>
  <si>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</si>
  <si>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</si>
  <si>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</si>
  <si>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</si>
  <si>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</si>
  <si>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</si>
  <si>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</si>
  <si>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</si>
  <si>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</si>
  <si>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</si>
  <si>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</si>
  <si>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</si>
  <si>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</si>
  <si>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</si>
  <si>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</si>
  <si>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</si>
  <si>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</si>
  <si>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</si>
  <si>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</si>
  <si>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</si>
  <si>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</si>
  <si>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</si>
  <si>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</si>
  <si>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</si>
  <si>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</si>
  <si>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</si>
  <si>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</si>
  <si>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</si>
  <si>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</si>
  <si>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</si>
  <si>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</si>
  <si>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</si>
  <si>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</si>
  <si>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</si>
  <si>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</si>
  <si>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</si>
  <si>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</si>
  <si>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</si>
  <si>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</si>
  <si>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</si>
  <si>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</si>
  <si>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</si>
  <si>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</si>
  <si>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</si>
  <si>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</si>
  <si>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</si>
  <si>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</si>
  <si>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</si>
  <si>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</si>
  <si>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</si>
  <si>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</si>
  <si>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</si>
  <si>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</si>
  <si>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</si>
  <si>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</si>
  <si>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</si>
  <si>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</si>
  <si>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</si>
  <si>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</si>
  <si>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</si>
  <si>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</si>
  <si>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</si>
  <si>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</si>
  <si>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</si>
  <si>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</si>
  <si>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</si>
  <si>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</si>
  <si>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</si>
  <si>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</si>
  <si>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</si>
  <si>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</si>
  <si>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</si>
  <si>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</si>
  <si>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</si>
  <si>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</si>
  <si>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</si>
  <si>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</si>
  <si>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</si>
  <si>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</si>
  <si>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</si>
  <si>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</si>
  <si>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</si>
  <si>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</si>
  <si>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</si>
  <si>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</si>
  <si>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</si>
  <si>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</si>
  <si>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</si>
  <si>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</si>
  <si>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</si>
  <si>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</si>
  <si>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</si>
  <si>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</si>
  <si>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</si>
  <si>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</si>
  <si>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</si>
  <si>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</si>
  <si>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</si>
  <si>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</si>
  <si>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</si>
  <si>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</si>
  <si>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</si>
  <si>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</si>
  <si>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</si>
  <si>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</si>
  <si>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</si>
  <si>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</si>
  <si>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</si>
  <si>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</si>
  <si>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</si>
  <si>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</si>
  <si>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</si>
  <si>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</si>
  <si>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</si>
  <si>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</si>
  <si>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</si>
  <si>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</si>
  <si>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</si>
  <si>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</si>
  <si>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</si>
  <si>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</si>
  <si>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</si>
  <si>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</si>
  <si>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</si>
  <si>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</si>
  <si>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</si>
  <si>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</si>
  <si>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</si>
  <si>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</si>
  <si>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</si>
  <si>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</si>
  <si>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</si>
  <si>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</si>
  <si>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</si>
  <si>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</si>
  <si>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</si>
  <si>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</si>
  <si>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</si>
  <si>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</si>
  <si>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</si>
  <si>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</si>
  <si>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</si>
  <si>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</si>
  <si>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</si>
  <si>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</si>
  <si>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</si>
  <si>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</si>
  <si>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</si>
  <si>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</si>
  <si>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</si>
  <si>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</si>
  <si>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</si>
  <si>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</si>
  <si>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</si>
  <si>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</si>
  <si>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</si>
  <si>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</si>
  <si>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</si>
  <si>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</si>
  <si>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</si>
  <si>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</si>
  <si>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</si>
  <si>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</si>
  <si>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</si>
  <si>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</si>
  <si>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</si>
  <si>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</si>
  <si>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</si>
  <si>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</si>
  <si>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</si>
  <si>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</si>
  <si>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</si>
  <si>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</si>
  <si>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</si>
  <si>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</si>
  <si>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</si>
  <si>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</si>
  <si>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</si>
  <si>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</si>
  <si>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</si>
  <si>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</si>
  <si>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</si>
  <si>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</si>
  <si>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</si>
  <si>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</si>
  <si>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</si>
  <si>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</si>
  <si>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</si>
  <si>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</si>
  <si>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</si>
  <si>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</si>
  <si>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</si>
  <si>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</si>
  <si>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</si>
  <si>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</si>
  <si>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</si>
  <si>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</si>
  <si>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</si>
  <si>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</si>
  <si>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</si>
  <si>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</si>
  <si>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</si>
  <si>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</si>
  <si>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</si>
  <si>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</si>
  <si>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</si>
  <si>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</si>
  <si>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</si>
  <si>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</si>
  <si>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</si>
  <si>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</si>
  <si>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</si>
  <si>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</si>
  <si>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</si>
  <si>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</si>
  <si>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</si>
  <si>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</si>
  <si>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</si>
  <si>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</si>
  <si>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</si>
  <si>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</si>
  <si>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</si>
  <si>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</si>
  <si>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</si>
  <si>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</si>
  <si>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</si>
  <si>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</si>
  <si>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</si>
  <si>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</si>
  <si>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</si>
  <si>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</si>
  <si>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</si>
  <si>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</si>
  <si>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</si>
  <si>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</si>
  <si>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</si>
  <si>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</si>
  <si>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</si>
  <si>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</si>
  <si>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</si>
  <si>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</si>
  <si>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</si>
  <si>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</si>
  <si>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</si>
  <si>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</si>
  <si>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</si>
  <si>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</si>
  <si>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</si>
  <si>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</si>
  <si>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</si>
  <si>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</si>
  <si>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</si>
  <si>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</si>
  <si>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</si>
  <si>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</si>
  <si>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</si>
  <si>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</si>
  <si>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</si>
  <si>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</si>
  <si>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</si>
  <si>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</si>
  <si>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</si>
  <si>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</si>
  <si>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</si>
  <si>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</si>
  <si>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</si>
  <si>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</si>
  <si>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</si>
  <si>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</si>
  <si>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</si>
  <si>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</si>
  <si>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</si>
  <si>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</si>
  <si>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</si>
  <si>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</si>
  <si>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</si>
  <si>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</si>
  <si>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</si>
  <si>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</si>
  <si>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</si>
  <si>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</si>
  <si>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</si>
  <si>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</si>
  <si>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</si>
  <si>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</si>
  <si>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</si>
  <si>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</si>
  <si>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</si>
  <si>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</si>
  <si>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</si>
  <si>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</si>
  <si>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</si>
  <si>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</si>
  <si>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</si>
  <si>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</si>
  <si>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</si>
  <si>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</si>
  <si>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</si>
  <si>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</si>
  <si>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</si>
  <si>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</si>
  <si>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</si>
  <si>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</si>
  <si>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</si>
  <si>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</si>
  <si>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</si>
  <si>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</si>
  <si>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</si>
  <si>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</si>
  <si>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</si>
  <si>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</si>
  <si>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</si>
  <si>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</si>
  <si>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</si>
  <si>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</si>
  <si>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</si>
  <si>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</si>
  <si>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</si>
  <si>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</si>
  <si>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</si>
  <si>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</si>
  <si>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</si>
  <si>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</si>
  <si>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</si>
  <si>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</si>
  <si>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</si>
  <si>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</si>
  <si>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</si>
  <si>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</si>
  <si>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</si>
  <si>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</si>
  <si>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</si>
  <si>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</si>
  <si>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</si>
  <si>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</si>
  <si>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</si>
  <si>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</si>
  <si>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</si>
  <si>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</si>
  <si>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</si>
  <si>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</si>
  <si>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</si>
  <si>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</si>
  <si>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</si>
  <si>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</si>
  <si>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</si>
  <si>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</si>
  <si>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</si>
  <si>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</si>
  <si>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</si>
  <si>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</si>
  <si>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</si>
  <si>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</si>
  <si>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</si>
  <si>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</si>
  <si>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</si>
  <si>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</si>
  <si>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</si>
  <si>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</si>
  <si>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</si>
  <si>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</si>
  <si>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</si>
  <si>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</si>
  <si>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</si>
  <si>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</si>
  <si>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</si>
  <si>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</si>
  <si>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</si>
  <si>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</si>
  <si>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</si>
  <si>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</si>
  <si>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</si>
  <si>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</si>
  <si>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</si>
  <si>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</si>
  <si>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</si>
  <si>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</si>
  <si>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</si>
  <si>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</si>
  <si>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</si>
  <si>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</si>
  <si>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</si>
  <si>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</si>
  <si>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</si>
  <si>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</si>
  <si>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</si>
  <si>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</si>
  <si>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</si>
  <si>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</si>
  <si>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</si>
  <si>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</si>
  <si>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</si>
  <si>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</si>
  <si>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</si>
  <si>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</si>
  <si>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</si>
  <si>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</si>
  <si>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</si>
  <si>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</si>
  <si>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</si>
  <si>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</si>
  <si>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</si>
  <si>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</si>
  <si>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</si>
  <si>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</si>
  <si>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</si>
  <si>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</si>
  <si>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</si>
  <si>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</si>
  <si>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</si>
  <si>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</si>
  <si>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</si>
  <si>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</si>
  <si>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</si>
  <si>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</si>
  <si>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</si>
  <si>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</si>
  <si>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</si>
  <si>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</si>
  <si>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</si>
  <si>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</si>
  <si>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</si>
  <si>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</si>
  <si>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</si>
  <si>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</si>
  <si>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</si>
  <si>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</si>
  <si>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</si>
  <si>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</si>
  <si>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</si>
  <si>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</si>
  <si>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</si>
  <si>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</si>
  <si>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</si>
  <si>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</si>
  <si>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</si>
  <si>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</si>
  <si>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</si>
  <si>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</si>
  <si>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</si>
  <si>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</si>
  <si>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</si>
  <si>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</si>
  <si>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</si>
  <si>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</si>
  <si>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</si>
  <si>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</si>
  <si>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</si>
  <si>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</si>
  <si>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</si>
  <si>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</si>
  <si>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</si>
  <si>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</si>
  <si>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</si>
  <si>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</si>
  <si>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</si>
  <si>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</si>
  <si>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</si>
  <si>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</si>
  <si>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</si>
  <si>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</si>
  <si>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</si>
  <si>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</si>
  <si>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</si>
  <si>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</si>
  <si>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</si>
  <si>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</si>
  <si>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</si>
  <si>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</si>
  <si>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</si>
  <si>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</si>
  <si>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</si>
  <si>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</si>
  <si>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</si>
  <si>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</si>
  <si>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</si>
  <si>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</si>
  <si>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</si>
  <si>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</si>
  <si>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</si>
  <si>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</si>
  <si>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</si>
  <si>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</si>
  <si>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</si>
  <si>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</si>
  <si>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</si>
  <si>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</si>
  <si>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</si>
  <si>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</si>
  <si>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</si>
  <si>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</si>
  <si>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</si>
  <si>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</si>
  <si>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</si>
  <si>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</si>
  <si>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</si>
  <si>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</si>
  <si>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</si>
  <si>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</si>
  <si>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</si>
  <si>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</si>
  <si>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</si>
  <si>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</si>
  <si>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</si>
  <si>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</si>
  <si>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</si>
  <si>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</si>
  <si>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</si>
  <si>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</si>
  <si>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</si>
  <si>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</si>
  <si>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</si>
  <si>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</si>
  <si>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</si>
  <si>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</si>
  <si>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</si>
  <si>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</si>
  <si>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</si>
  <si>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</si>
  <si>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</si>
  <si>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</si>
  <si>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</si>
  <si>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</si>
  <si>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</si>
  <si>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</si>
  <si>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</si>
  <si>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</si>
  <si>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</si>
  <si>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</si>
  <si>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</si>
  <si>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</si>
  <si>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</si>
  <si>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</si>
  <si>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</si>
  <si>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</si>
  <si>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</si>
  <si>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</si>
  <si>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</si>
  <si>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</si>
  <si>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</si>
  <si>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</si>
  <si>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</si>
  <si>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</si>
  <si>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</si>
  <si>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</si>
  <si>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</si>
  <si>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</si>
  <si>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</si>
  <si>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</si>
  <si>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</si>
  <si>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</si>
  <si>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</si>
  <si>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</si>
  <si>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</si>
  <si>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</si>
  <si>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</si>
  <si>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</si>
  <si>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</si>
  <si>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</si>
  <si>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</si>
  <si>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</si>
  <si>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</si>
  <si>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</si>
  <si>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</si>
  <si>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</si>
  <si>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</si>
  <si>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</si>
  <si>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</si>
  <si>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</si>
  <si>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</si>
  <si>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</si>
  <si>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</si>
  <si>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</si>
  <si>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</si>
  <si>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</si>
  <si>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</si>
  <si>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</si>
  <si>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</si>
  <si>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</si>
  <si>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</si>
  <si>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</si>
  <si>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</si>
  <si>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</si>
  <si>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</si>
  <si>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</si>
  <si>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</si>
  <si>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</si>
  <si>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</si>
  <si>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</si>
  <si>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</si>
  <si>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</si>
  <si>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</si>
  <si>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</si>
  <si>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</si>
  <si>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</si>
  <si>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</si>
  <si>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</si>
  <si>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</si>
  <si>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</si>
  <si>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</si>
  <si>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</si>
  <si>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</si>
  <si>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</si>
  <si>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</si>
  <si>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</si>
  <si>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</si>
  <si>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</si>
  <si>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</si>
  <si>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</si>
  <si>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</si>
  <si>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</si>
  <si>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</si>
  <si>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</si>
  <si>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</si>
  <si>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</si>
  <si>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</si>
  <si>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</si>
  <si>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</si>
  <si>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</si>
  <si>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</si>
  <si>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</si>
  <si>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</si>
  <si>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</si>
  <si>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</si>
  <si>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</si>
  <si>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</si>
  <si>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</si>
  <si>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</si>
  <si>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</si>
  <si>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</si>
  <si>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</si>
  <si>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</si>
  <si>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</si>
  <si>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</si>
  <si>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</si>
  <si>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</si>
  <si>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</si>
  <si>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</si>
  <si>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</si>
  <si>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</si>
  <si>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</si>
  <si>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</si>
  <si>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</si>
  <si>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</si>
  <si>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</si>
  <si>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</si>
  <si>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</si>
  <si>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</si>
  <si>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</si>
  <si>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</si>
  <si>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</si>
  <si>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</si>
  <si>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</si>
  <si>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</si>
  <si>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</si>
  <si>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</si>
  <si>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</si>
  <si>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</si>
  <si>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</si>
  <si>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</si>
  <si>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</si>
  <si>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</si>
  <si>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</si>
  <si>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</si>
  <si>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</si>
  <si>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</si>
  <si>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</si>
  <si>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</si>
  <si>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</si>
  <si>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</si>
  <si>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</si>
  <si>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</si>
  <si>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</si>
  <si>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</si>
  <si>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</si>
  <si>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</si>
  <si>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</si>
  <si>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</si>
  <si>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</si>
  <si>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</si>
  <si>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</si>
  <si>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</si>
  <si>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</si>
  <si>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</si>
  <si>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</si>
  <si>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</si>
  <si>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</si>
  <si>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</si>
  <si>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</si>
  <si>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</si>
  <si>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</si>
  <si>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</si>
  <si>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</si>
  <si>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</si>
  <si>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</si>
  <si>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</si>
  <si>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</si>
  <si>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</si>
  <si>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</si>
  <si>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</si>
  <si>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</si>
  <si>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</si>
  <si>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</si>
  <si>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</si>
  <si>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</si>
  <si>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</si>
  <si>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</si>
  <si>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</si>
  <si>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</si>
  <si>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</si>
  <si>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</si>
  <si>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</si>
  <si>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</si>
  <si>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</si>
  <si>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</si>
  <si>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</si>
  <si>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</si>
  <si>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</si>
  <si>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</si>
  <si>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</si>
  <si>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</si>
  <si>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</si>
  <si>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</si>
  <si>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</si>
  <si>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</si>
  <si>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</si>
  <si>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</si>
  <si>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</si>
  <si>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</si>
  <si>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</si>
  <si>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</si>
  <si>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</si>
  <si>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</si>
  <si>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</si>
  <si>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</si>
  <si>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</si>
  <si>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</si>
  <si>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</si>
  <si>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</si>
  <si>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</si>
  <si>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</si>
  <si>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</si>
  <si>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</si>
  <si>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</si>
  <si>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</si>
  <si>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</si>
  <si>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</si>
  <si>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</si>
  <si>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</si>
  <si>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</si>
  <si>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</si>
  <si>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</si>
  <si>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</si>
  <si>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</si>
  <si>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</si>
  <si>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</si>
  <si>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</si>
  <si>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</si>
  <si>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</si>
  <si>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</si>
  <si>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</si>
  <si>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</si>
  <si>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</si>
  <si>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</si>
  <si>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</si>
  <si>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</si>
  <si>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</si>
  <si>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</si>
  <si>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</si>
  <si>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</si>
  <si>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</si>
  <si>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</si>
  <si>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</si>
  <si>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</si>
  <si>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</si>
  <si>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</si>
  <si>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</si>
  <si>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</si>
  <si>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</si>
  <si>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</si>
  <si>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</si>
  <si>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</si>
  <si>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</si>
  <si>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</si>
  <si>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</si>
  <si>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</si>
  <si>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</si>
  <si>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</si>
  <si>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</si>
  <si>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</si>
  <si>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</si>
  <si>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</si>
  <si>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</si>
  <si>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</si>
  <si>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</si>
  <si>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</si>
  <si>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</si>
  <si>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</si>
  <si>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</si>
  <si>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</si>
  <si>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</si>
  <si>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</si>
  <si>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</si>
  <si>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</si>
  <si>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</si>
  <si>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</si>
  <si>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</si>
  <si>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</si>
  <si>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</si>
  <si>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</si>
  <si>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</si>
  <si>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</si>
  <si>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</si>
  <si>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</si>
  <si>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</si>
  <si>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</si>
  <si>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</si>
  <si>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</si>
  <si>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</si>
  <si>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</si>
  <si>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</si>
  <si>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</si>
  <si>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</si>
  <si>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</si>
  <si>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</si>
  <si>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</si>
  <si>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</si>
  <si>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</si>
  <si>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</si>
  <si>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</si>
  <si>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</si>
  <si>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</si>
  <si>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</si>
  <si>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</si>
  <si>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</si>
  <si>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</si>
  <si>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</si>
  <si>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</si>
  <si>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</si>
  <si>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</si>
  <si>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</si>
  <si>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</si>
  <si>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</si>
  <si>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</si>
  <si>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</si>
  <si>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</si>
  <si>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</si>
  <si>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</si>
  <si>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</si>
  <si>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</si>
  <si>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</si>
  <si>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</si>
  <si>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</si>
  <si>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</si>
  <si>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</si>
  <si>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</si>
  <si>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</si>
  <si>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</si>
  <si>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</si>
  <si>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</si>
  <si>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</si>
  <si>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</si>
  <si>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</si>
  <si>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</si>
  <si>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</si>
  <si>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</si>
  <si>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</si>
  <si>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</si>
  <si>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</si>
  <si>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</si>
  <si>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</si>
  <si>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</si>
  <si>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</si>
  <si>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</si>
  <si>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</si>
  <si>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</si>
  <si>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</si>
  <si>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</si>
  <si>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</si>
  <si>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</si>
  <si>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</si>
  <si>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</si>
  <si>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</si>
  <si>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</si>
  <si>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</si>
  <si>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</si>
  <si>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</si>
  <si>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</si>
  <si>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</si>
  <si>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</si>
  <si>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</si>
  <si>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</si>
  <si>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</si>
  <si>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</si>
  <si>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</si>
  <si>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</si>
  <si>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</si>
  <si>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</si>
  <si>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</si>
  <si>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</si>
  <si>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</si>
  <si>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</si>
  <si>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</si>
  <si>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</si>
  <si>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</si>
  <si>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</si>
  <si>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</si>
  <si>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</si>
  <si>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</si>
  <si>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</si>
  <si>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</si>
  <si>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</si>
  <si>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</si>
  <si>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</si>
  <si>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</si>
  <si>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</si>
  <si>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</si>
  <si>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</si>
  <si>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</si>
  <si>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</si>
  <si>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</si>
  <si>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</si>
  <si>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</si>
  <si>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</si>
  <si>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</si>
  <si>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</si>
  <si>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</si>
  <si>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</si>
  <si>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</si>
  <si>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</si>
  <si>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</si>
  <si>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</si>
  <si>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</si>
  <si>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</si>
  <si>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</si>
  <si>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</si>
  <si>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</si>
  <si>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</si>
  <si>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</si>
  <si>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</si>
  <si>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</si>
  <si>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</si>
  <si>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</si>
  <si>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</si>
  <si>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</si>
  <si>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</si>
  <si>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</si>
  <si>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</si>
  <si>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</si>
  <si>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</si>
  <si>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</si>
  <si>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</si>
  <si>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</si>
  <si>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</si>
  <si>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</si>
  <si>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</si>
  <si>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</si>
  <si>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</si>
  <si>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</si>
  <si>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</si>
  <si>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</si>
  <si>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</si>
  <si>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</si>
  <si>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</si>
  <si>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</si>
  <si>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</si>
  <si>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</si>
  <si>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</si>
  <si>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</si>
  <si>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</si>
  <si>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</si>
  <si>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</si>
  <si>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</si>
  <si>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</si>
  <si>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</si>
  <si>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</si>
  <si>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</si>
  <si>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</si>
  <si>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</si>
  <si>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</si>
  <si>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</si>
  <si>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</si>
  <si>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</si>
  <si>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</si>
  <si>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</si>
  <si>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</si>
  <si>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</si>
  <si>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</si>
  <si>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</si>
  <si>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</si>
  <si>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</si>
  <si>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</si>
  <si>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</si>
  <si>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</si>
  <si>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</si>
  <si>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</si>
  <si>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</si>
  <si>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</si>
  <si>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</si>
  <si>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</si>
  <si>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</si>
  <si>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</si>
  <si>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</si>
  <si>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</si>
  <si>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</si>
  <si>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</si>
  <si>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</si>
  <si>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</si>
  <si>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</si>
  <si>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</si>
  <si>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</si>
  <si>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</si>
  <si>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</si>
  <si>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</si>
  <si>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</si>
  <si>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</si>
  <si>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</si>
  <si>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</si>
  <si>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</si>
  <si>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</si>
  <si>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</si>
  <si>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</si>
  <si>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</si>
  <si>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</si>
  <si>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</si>
  <si>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</si>
  <si>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</si>
  <si>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</si>
  <si>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</si>
  <si>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</si>
  <si>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</si>
  <si>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</si>
  <si>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</si>
  <si>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</si>
  <si>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</si>
  <si>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</si>
  <si>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</si>
  <si>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</si>
  <si>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</si>
  <si>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</si>
  <si>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</si>
  <si>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</si>
  <si>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</si>
  <si>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</si>
  <si>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</si>
  <si>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</si>
  <si>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</si>
  <si>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</si>
  <si>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</si>
  <si>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</si>
  <si>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</si>
  <si>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</si>
  <si>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</si>
  <si>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</si>
  <si>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</si>
  <si>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</si>
  <si>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</si>
  <si>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</si>
  <si>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</si>
  <si>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</si>
  <si>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</si>
  <si>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</si>
  <si>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</si>
  <si>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</si>
  <si>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</si>
  <si>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</si>
  <si>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</si>
  <si>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</si>
  <si>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</si>
  <si>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</si>
  <si>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</si>
  <si>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</si>
  <si>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</si>
  <si>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</si>
  <si>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</si>
  <si>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</si>
  <si>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</si>
  <si>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</si>
  <si>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</si>
  <si>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</si>
  <si>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</si>
  <si>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</si>
  <si>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</si>
  <si>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</si>
  <si>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</si>
  <si>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</si>
  <si>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</si>
  <si>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</si>
  <si>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</si>
  <si>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</si>
  <si>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</si>
  <si>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</si>
  <si>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</si>
  <si>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</si>
  <si>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</si>
  <si>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</si>
  <si>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</si>
  <si>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</si>
  <si>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</si>
  <si>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</si>
  <si>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</si>
  <si>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</si>
  <si>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</si>
  <si>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</si>
  <si>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</si>
  <si>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</si>
  <si>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</si>
  <si>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</si>
  <si>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</si>
  <si>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</si>
  <si>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</si>
  <si>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</si>
  <si>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</si>
  <si>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</si>
  <si>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</si>
  <si>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</si>
  <si>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</si>
  <si>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</si>
  <si>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</si>
  <si>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</si>
  <si>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</si>
  <si>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</si>
  <si>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</si>
  <si>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</si>
  <si>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</si>
  <si>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</si>
  <si>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</si>
  <si>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</si>
  <si>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</si>
  <si>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</si>
  <si>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</si>
  <si>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</si>
  <si>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</si>
  <si>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</si>
  <si>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</si>
  <si>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</si>
  <si>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</si>
  <si>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</si>
  <si>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</si>
  <si>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</si>
  <si>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</si>
  <si>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</si>
  <si>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</si>
  <si>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</si>
  <si>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</si>
  <si>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</si>
  <si>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</si>
  <si>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</si>
  <si>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</si>
  <si>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</si>
  <si>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</si>
  <si>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</si>
  <si>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</si>
  <si>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</si>
  <si>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</si>
  <si>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</si>
  <si>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</si>
  <si>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</si>
  <si>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</si>
  <si>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</si>
  <si>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</si>
  <si>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</si>
  <si>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</si>
  <si>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</si>
  <si>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</si>
  <si>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</si>
  <si>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</si>
  <si>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</si>
  <si>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</si>
  <si>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</si>
  <si>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</si>
  <si>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</si>
  <si>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</si>
  <si>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</si>
  <si>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</si>
  <si>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</si>
  <si>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</si>
  <si>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</si>
  <si>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</si>
  <si>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</si>
  <si>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</si>
  <si>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</si>
  <si>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</si>
  <si>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</si>
  <si>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</si>
  <si>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</si>
  <si>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</si>
  <si>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</si>
  <si>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</si>
  <si>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</si>
  <si>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</si>
  <si>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</si>
  <si>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</si>
  <si>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</si>
  <si>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</si>
  <si>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</si>
  <si>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</si>
  <si>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</si>
  <si>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</si>
  <si>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</si>
  <si>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</si>
  <si>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</si>
  <si>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</si>
  <si>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</si>
  <si>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</si>
  <si>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</si>
  <si>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</si>
  <si>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</si>
  <si>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</si>
  <si>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</si>
  <si>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</si>
  <si>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</si>
  <si>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</si>
  <si>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</si>
  <si>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</si>
  <si>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</si>
  <si>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</si>
  <si>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</si>
  <si>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</si>
  <si>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</si>
  <si>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</si>
  <si>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</si>
  <si>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</si>
  <si>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</si>
  <si>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</si>
  <si>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</si>
  <si>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</si>
  <si>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</si>
  <si>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</si>
  <si>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</si>
  <si>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</si>
  <si>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</si>
  <si>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</si>
  <si>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</si>
  <si>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</si>
  <si>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</si>
  <si>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</si>
  <si>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</si>
  <si>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</si>
  <si>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</si>
  <si>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</si>
  <si>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</si>
  <si>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</si>
  <si>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</si>
  <si>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</si>
  <si>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</si>
  <si>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</si>
  <si>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</si>
  <si>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</si>
  <si>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</si>
  <si>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</si>
  <si>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</si>
  <si>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</si>
  <si>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</si>
  <si>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</si>
  <si>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</si>
  <si>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</si>
  <si>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</si>
  <si>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</si>
  <si>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</si>
  <si>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</si>
  <si>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</si>
  <si>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</si>
  <si>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</si>
  <si>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</si>
  <si>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</si>
  <si>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</si>
  <si>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</si>
  <si>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</si>
  <si>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</si>
  <si>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</si>
  <si>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</si>
  <si>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</si>
  <si>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</si>
  <si>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</si>
  <si>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</si>
  <si>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</si>
  <si>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</si>
  <si>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</si>
  <si>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</si>
  <si>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</si>
  <si>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</si>
  <si>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</si>
  <si>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</si>
  <si>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</si>
  <si>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</si>
  <si>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</si>
  <si>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</si>
  <si>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</si>
  <si>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</si>
  <si>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</si>
  <si>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</si>
  <si>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</si>
  <si>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</si>
  <si>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</si>
  <si>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</si>
  <si>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</si>
  <si>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</si>
  <si>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</si>
  <si>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</si>
  <si>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</si>
  <si>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</si>
  <si>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</si>
  <si>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</si>
  <si>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</si>
  <si>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</si>
  <si>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</si>
  <si>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</si>
  <si>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</si>
  <si>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</si>
  <si>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</si>
  <si>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</si>
  <si>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</si>
  <si>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</si>
  <si>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</si>
  <si>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</si>
  <si>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</si>
  <si>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</si>
  <si>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</si>
  <si>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</si>
  <si>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</si>
  <si>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</si>
  <si>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</si>
  <si>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</si>
  <si>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</si>
  <si>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</si>
  <si>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</si>
  <si>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</si>
  <si>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</si>
  <si>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</si>
  <si>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</si>
  <si>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</si>
  <si>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</si>
  <si>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</si>
  <si>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</si>
  <si>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</si>
  <si>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</si>
  <si>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</si>
  <si>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</si>
  <si>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</si>
  <si>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</si>
  <si>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</si>
  <si>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</si>
  <si>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</si>
  <si>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</si>
  <si>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</si>
  <si>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</si>
  <si>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</si>
  <si>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</si>
  <si>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</si>
  <si>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</si>
  <si>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</si>
  <si>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</si>
  <si>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</si>
  <si>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</si>
  <si>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</si>
  <si>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</si>
  <si>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</si>
  <si>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</si>
  <si>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</si>
  <si>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</si>
  <si>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</si>
  <si>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</si>
  <si>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</si>
  <si>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</si>
  <si>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</si>
  <si>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</si>
  <si>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</si>
  <si>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</si>
  <si>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</si>
  <si>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</si>
  <si>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</si>
  <si>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</si>
  <si>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</si>
  <si>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</si>
  <si>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</si>
  <si>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</si>
  <si>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</si>
  <si>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</si>
  <si>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</si>
  <si>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</si>
  <si>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</si>
  <si>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</si>
  <si>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</si>
  <si>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</si>
  <si>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</si>
  <si>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</si>
  <si>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</si>
  <si>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</si>
  <si>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</si>
  <si>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</si>
  <si>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</si>
  <si>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</si>
  <si>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</si>
  <si>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</si>
  <si>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</si>
  <si>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</si>
  <si>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</si>
  <si>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</si>
  <si>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</si>
  <si>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</si>
  <si>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</si>
  <si>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</si>
  <si>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</si>
  <si>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</si>
  <si>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</si>
  <si>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</si>
  <si>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</si>
  <si>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</si>
  <si>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</si>
  <si>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</si>
  <si>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</si>
  <si>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</si>
  <si>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</si>
  <si>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</si>
  <si>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</si>
  <si>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</si>
  <si>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</si>
  <si>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</si>
  <si>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</si>
  <si>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</si>
  <si>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</si>
  <si>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</si>
  <si>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</si>
  <si>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</si>
  <si>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</si>
  <si>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</si>
  <si>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</si>
  <si>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</si>
  <si>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</si>
  <si>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</si>
  <si>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</si>
  <si>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</si>
  <si>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</si>
  <si>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</si>
  <si>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</si>
  <si>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</si>
  <si>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</si>
  <si>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</si>
  <si>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</si>
  <si>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</si>
  <si>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</si>
  <si>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</si>
  <si>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</si>
  <si>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</si>
  <si>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</si>
  <si>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</si>
  <si>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</si>
  <si>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</si>
  <si>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</si>
  <si>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</si>
  <si>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</si>
  <si>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</si>
  <si>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</si>
  <si>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</si>
  <si>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</si>
  <si>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</si>
  <si>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</si>
  <si>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</si>
  <si>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</si>
  <si>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</si>
  <si>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</si>
  <si>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</si>
  <si>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</si>
  <si>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</si>
  <si>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</si>
  <si>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</si>
  <si>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</si>
  <si>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</si>
  <si>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</si>
  <si>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</si>
  <si>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</si>
  <si>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</si>
  <si>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</si>
  <si>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</si>
  <si>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</si>
  <si>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</si>
  <si>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</si>
  <si>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</si>
  <si>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</si>
  <si>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</si>
  <si>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</si>
  <si>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</si>
  <si>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</si>
  <si>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</si>
  <si>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</si>
  <si>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</si>
  <si>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</si>
  <si>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</si>
  <si>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</si>
  <si>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</si>
  <si>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</si>
  <si>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</si>
  <si>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</si>
  <si>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</si>
  <si>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</si>
  <si>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</si>
  <si>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</si>
  <si>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</si>
  <si>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</si>
  <si>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</si>
  <si>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</si>
  <si>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</si>
  <si>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</si>
  <si>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</si>
  <si>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</si>
  <si>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</si>
  <si>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</si>
  <si>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</si>
  <si>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</si>
  <si>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</si>
  <si>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</si>
  <si>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</si>
  <si>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</si>
  <si>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</si>
  <si>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</si>
  <si>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</si>
  <si>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</si>
  <si>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</si>
  <si>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</si>
  <si>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</si>
  <si>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</si>
  <si>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</si>
  <si>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</si>
  <si>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</si>
  <si>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</si>
  <si>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</si>
  <si>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</si>
  <si>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</si>
  <si>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</si>
  <si>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</si>
  <si>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</si>
  <si>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</si>
  <si>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</si>
  <si>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</si>
  <si>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</si>
  <si>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</si>
  <si>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</si>
  <si>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</si>
  <si>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</si>
  <si>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</si>
  <si>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</si>
  <si>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</si>
  <si>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</si>
  <si>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</si>
  <si>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</si>
  <si>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</si>
  <si>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</si>
  <si>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</si>
  <si>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</si>
  <si>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</si>
  <si>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</si>
  <si>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</si>
  <si>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</si>
  <si>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</si>
  <si>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</si>
  <si>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</si>
  <si>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</si>
  <si>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</si>
  <si>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</si>
  <si>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</si>
  <si>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</si>
  <si>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</si>
  <si>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</si>
  <si>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</si>
  <si>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</si>
  <si>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</si>
  <si>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</si>
  <si>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</si>
  <si>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</si>
  <si>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</si>
  <si>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</si>
  <si>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</si>
  <si>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</si>
  <si>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</si>
  <si>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</si>
  <si>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</si>
  <si>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</si>
  <si>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</si>
  <si>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</si>
  <si>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</si>
  <si>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</si>
  <si>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</si>
  <si>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</si>
  <si>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</si>
  <si>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</si>
  <si>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</si>
  <si>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</si>
  <si>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</si>
  <si>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</si>
  <si>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</si>
  <si>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</si>
  <si>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</si>
  <si>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</si>
  <si>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</si>
  <si>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</si>
  <si>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</si>
  <si>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</si>
  <si>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</si>
  <si>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</si>
  <si>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</si>
  <si>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</si>
  <si>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</si>
  <si>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</si>
  <si>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</si>
  <si>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</si>
  <si>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</si>
  <si>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</si>
  <si>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</si>
  <si>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</si>
  <si>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</si>
  <si>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</si>
  <si>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</si>
  <si>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</si>
  <si>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</si>
  <si>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</si>
  <si>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</si>
  <si>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</si>
  <si>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</si>
  <si>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</si>
  <si>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</si>
  <si>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</si>
  <si>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</si>
  <si>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</si>
  <si>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</si>
  <si>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</si>
  <si>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</si>
  <si>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</si>
  <si>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</si>
  <si>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</si>
  <si>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</si>
  <si>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</si>
  <si>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</si>
  <si>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</si>
  <si>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</si>
  <si>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</si>
  <si>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</si>
  <si>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</si>
  <si>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</si>
  <si>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</si>
  <si>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</si>
  <si>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</si>
  <si>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</si>
  <si>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</si>
  <si>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</si>
  <si>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</si>
  <si>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</si>
  <si>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</si>
  <si>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</si>
  <si>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</si>
  <si>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</si>
  <si>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</si>
  <si>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</si>
  <si>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</si>
  <si>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</si>
  <si>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</si>
  <si>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</si>
  <si>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</si>
  <si>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</si>
  <si>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</si>
  <si>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</si>
  <si>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</si>
  <si>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</si>
  <si>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</si>
  <si>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</si>
  <si>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</si>
  <si>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</si>
  <si>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</si>
  <si>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</si>
  <si>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</si>
  <si>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</si>
  <si>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</si>
  <si>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</si>
  <si>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</si>
  <si>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</si>
  <si>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</si>
  <si>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</si>
  <si>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</si>
  <si>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</si>
  <si>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</si>
  <si>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</si>
  <si>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</si>
  <si>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</si>
  <si>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</si>
  <si>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</si>
  <si>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</si>
  <si>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</si>
  <si>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</si>
  <si>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</si>
  <si>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</si>
  <si>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</si>
  <si>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</si>
  <si>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</si>
  <si>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</si>
  <si>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</si>
  <si>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</si>
  <si>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</si>
  <si>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</si>
  <si>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</si>
  <si>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</si>
  <si>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</si>
  <si>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</si>
  <si>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</si>
  <si>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</si>
  <si>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</si>
  <si>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</si>
  <si>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</si>
  <si>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</si>
  <si>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</si>
  <si>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</si>
  <si>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</si>
  <si>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</si>
  <si>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</si>
  <si>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</si>
  <si>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</si>
  <si>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</si>
  <si>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</si>
  <si>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</si>
  <si>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</si>
  <si>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</si>
  <si>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</si>
  <si>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</si>
  <si>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</si>
  <si>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</si>
  <si>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</si>
  <si>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</si>
  <si>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</si>
  <si>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</si>
  <si>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</si>
  <si>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</si>
  <si>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</si>
  <si>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</si>
  <si>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</si>
  <si>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</si>
  <si>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</si>
  <si>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</si>
  <si>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</si>
  <si>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</si>
  <si>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</si>
  <si>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</si>
  <si>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</si>
  <si>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</si>
  <si>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</si>
  <si>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</si>
  <si>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</si>
  <si>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</si>
  <si>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</si>
  <si>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</si>
  <si>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</si>
  <si>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</si>
  <si>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</si>
  <si>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</si>
  <si>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</si>
  <si>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</si>
  <si>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</si>
  <si>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</si>
  <si>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</si>
  <si>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</si>
  <si>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</si>
  <si>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</si>
  <si>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</si>
  <si>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</si>
  <si>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</si>
  <si>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</si>
  <si>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</si>
  <si>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</si>
  <si>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</si>
  <si>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</si>
  <si>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</si>
  <si>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</si>
  <si>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</si>
  <si>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</si>
  <si>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</si>
  <si>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</si>
  <si>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</si>
  <si>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</si>
  <si>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</si>
  <si>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</si>
  <si>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</si>
  <si>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</si>
  <si>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</si>
  <si>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</si>
  <si>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</si>
  <si>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</si>
  <si>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</si>
  <si>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</si>
  <si>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</si>
  <si>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</si>
  <si>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</si>
  <si>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</si>
  <si>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</si>
  <si>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</si>
  <si>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</si>
  <si>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</si>
  <si>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</si>
  <si>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</si>
  <si>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</si>
  <si>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</si>
  <si>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</si>
  <si>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</si>
  <si>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</si>
  <si>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</si>
  <si>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</si>
  <si>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</si>
  <si>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</si>
  <si>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</si>
  <si>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</si>
  <si>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</si>
  <si>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</si>
  <si>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</si>
  <si>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</si>
  <si>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</si>
  <si>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</si>
  <si>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</si>
  <si>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</si>
  <si>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</si>
  <si>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</si>
  <si>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</si>
  <si>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</si>
  <si>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</si>
  <si>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</si>
  <si>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</si>
  <si>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</si>
  <si>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</si>
  <si>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</si>
  <si>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</si>
  <si>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</si>
  <si>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</si>
  <si>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</si>
  <si>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</si>
  <si>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</si>
  <si>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</si>
  <si>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</si>
  <si>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</si>
  <si>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</si>
  <si>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</si>
  <si>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</si>
  <si>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</si>
  <si>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</si>
  <si>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</si>
  <si>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</si>
  <si>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</si>
  <si>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</si>
  <si>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</si>
  <si>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</si>
  <si>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</si>
  <si>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</si>
  <si>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</si>
  <si>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</si>
  <si>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</si>
  <si>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</si>
  <si>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</si>
  <si>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</si>
  <si>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</si>
  <si>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</si>
  <si>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</si>
  <si>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</si>
  <si>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</si>
  <si>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</si>
  <si>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</si>
  <si>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</si>
  <si>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</si>
  <si>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</si>
  <si>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</si>
  <si>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</si>
  <si>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</si>
  <si>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</si>
  <si>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</si>
  <si>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</si>
  <si>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</si>
  <si>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</si>
  <si>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</si>
  <si>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</si>
  <si>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</si>
  <si>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</si>
  <si>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</si>
  <si>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</si>
  <si>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</si>
  <si>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</si>
  <si>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</si>
  <si>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</si>
  <si>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</si>
  <si>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</si>
  <si>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</si>
  <si>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</si>
  <si>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</si>
  <si>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</si>
  <si>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</si>
  <si>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</si>
  <si>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</si>
  <si>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</si>
  <si>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</si>
  <si>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</si>
  <si>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</si>
  <si>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</si>
  <si>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</si>
  <si>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</si>
  <si>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</si>
  <si>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</si>
  <si>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</si>
  <si>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</si>
  <si>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</si>
  <si>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</si>
  <si>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</si>
  <si>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</si>
  <si>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</si>
  <si>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</si>
  <si>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</si>
  <si>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</si>
  <si>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</si>
  <si>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</si>
  <si>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</si>
  <si>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</si>
  <si>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</si>
  <si>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</si>
  <si>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</si>
  <si>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</si>
  <si>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</si>
  <si>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</si>
  <si>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</si>
  <si>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</si>
  <si>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</si>
  <si>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</si>
  <si>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</si>
  <si>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</si>
  <si>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</si>
  <si>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</si>
  <si>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</si>
  <si>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</si>
  <si>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</si>
  <si>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</si>
  <si>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</si>
  <si>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</si>
  <si>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</si>
  <si>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</si>
  <si>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</si>
  <si>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</si>
  <si>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</si>
  <si>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</si>
  <si>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</si>
  <si>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</si>
  <si>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</si>
  <si>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</si>
  <si>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</si>
  <si>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</si>
  <si>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</si>
  <si>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</si>
  <si>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</si>
  <si>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</si>
  <si>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</si>
  <si>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</si>
  <si>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</si>
  <si>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</si>
  <si>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</si>
  <si>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</si>
  <si>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</si>
  <si>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</si>
  <si>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</si>
  <si>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</si>
  <si>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</si>
  <si>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</si>
  <si>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</si>
  <si>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</si>
  <si>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</si>
  <si>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</si>
  <si>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</si>
  <si>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</si>
  <si>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</si>
  <si>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</si>
  <si>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</si>
  <si>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</si>
  <si>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</si>
  <si>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</si>
  <si>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</si>
  <si>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</si>
  <si>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</si>
  <si>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</si>
  <si>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</si>
  <si>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</si>
  <si>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</si>
  <si>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</si>
  <si>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</si>
  <si>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</si>
  <si>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</si>
  <si>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</si>
  <si>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</si>
  <si>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</si>
  <si>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</si>
  <si>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</si>
  <si>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</si>
  <si>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</si>
  <si>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</si>
  <si>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</si>
  <si>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</si>
  <si>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</si>
  <si>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</si>
  <si>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</si>
  <si>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</si>
  <si>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</si>
  <si>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</si>
  <si>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</si>
  <si>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</si>
  <si>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</si>
  <si>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</si>
  <si>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</si>
  <si>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</si>
  <si>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</si>
  <si>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</si>
  <si>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</si>
  <si>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</si>
  <si>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</si>
  <si>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</si>
  <si>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</si>
  <si>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</si>
  <si>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</si>
  <si>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</si>
  <si>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</si>
  <si>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</si>
  <si>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</si>
  <si>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</si>
  <si>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</si>
  <si>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</si>
  <si>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</si>
  <si>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</si>
  <si>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</si>
  <si>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</si>
  <si>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</si>
  <si>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</si>
  <si>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</si>
  <si>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</si>
  <si>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</si>
  <si>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</si>
  <si>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</si>
  <si>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</si>
  <si>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</si>
  <si>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</si>
  <si>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</si>
  <si>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</si>
  <si>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</si>
  <si>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</si>
  <si>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</si>
  <si>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</si>
  <si>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</si>
  <si>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</si>
  <si>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</si>
  <si>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</si>
  <si>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</si>
  <si>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</si>
  <si>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</si>
  <si>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</si>
  <si>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</si>
  <si>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</si>
  <si>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</si>
  <si>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</si>
  <si>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</si>
  <si>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</si>
  <si>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</si>
  <si>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</si>
  <si>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</si>
  <si>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</si>
  <si>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</si>
  <si>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</si>
  <si>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</si>
  <si>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</si>
  <si>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</si>
  <si>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</si>
  <si>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</si>
  <si>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</si>
  <si>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</si>
  <si>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</si>
  <si>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</si>
  <si>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</si>
  <si>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</si>
  <si>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</si>
  <si>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</si>
  <si>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</si>
  <si>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</si>
  <si>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</si>
  <si>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</si>
  <si>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</si>
  <si>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</si>
  <si>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</si>
  <si>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</si>
  <si>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</si>
  <si>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</si>
  <si>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</si>
  <si>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</si>
  <si>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</si>
  <si>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</si>
  <si>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</si>
  <si>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</si>
  <si>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</si>
  <si>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</si>
  <si>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</si>
  <si>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</si>
  <si>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</si>
  <si>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</si>
  <si>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</si>
  <si>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</si>
  <si>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</si>
  <si>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</si>
  <si>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</si>
  <si>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</si>
  <si>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</si>
  <si>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</si>
  <si>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</si>
  <si>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</si>
  <si>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</si>
  <si>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</si>
  <si>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</si>
  <si>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</si>
  <si>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</si>
  <si>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</si>
  <si>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</si>
  <si>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</si>
  <si>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</si>
  <si>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</si>
  <si>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</si>
  <si>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</si>
  <si>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</si>
  <si>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</si>
  <si>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</si>
  <si>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</si>
  <si>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</si>
  <si>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</si>
  <si>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</si>
  <si>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</si>
  <si>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</si>
  <si>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</si>
  <si>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</si>
  <si>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</si>
  <si>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</si>
  <si>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</si>
  <si>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</si>
  <si>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</si>
  <si>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</si>
  <si>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</si>
  <si>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</si>
  <si>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</si>
  <si>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</si>
  <si>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</si>
  <si>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</si>
  <si>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</si>
  <si>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</si>
  <si>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铂郡项目自有产权部分资产统计</t>
    <phoneticPr fontId="247" type="noConversion"/>
  </si>
  <si>
    <t>序号</t>
    <phoneticPr fontId="134" type="noConversion"/>
  </si>
  <si>
    <t>落位</t>
    <phoneticPr fontId="247" type="noConversion"/>
  </si>
  <si>
    <t>不动产证号</t>
  </si>
  <si>
    <t>产权人</t>
    <phoneticPr fontId="134" type="noConversion"/>
  </si>
  <si>
    <t>建筑面积</t>
    <phoneticPr fontId="247" type="noConversion"/>
  </si>
  <si>
    <t>套内建筑面积</t>
    <phoneticPr fontId="247" type="noConversion"/>
  </si>
  <si>
    <t>面积修正</t>
    <phoneticPr fontId="134" type="noConversion"/>
  </si>
  <si>
    <t>楼层</t>
    <phoneticPr fontId="134" type="noConversion"/>
  </si>
  <si>
    <t>楼层修正</t>
    <phoneticPr fontId="134" type="noConversion"/>
  </si>
  <si>
    <t>整租系数</t>
    <phoneticPr fontId="134" type="noConversion"/>
  </si>
  <si>
    <t>调整后建筑面积租金单价</t>
    <phoneticPr fontId="134" type="noConversion"/>
  </si>
  <si>
    <t>地上</t>
    <phoneticPr fontId="247" type="noConversion"/>
  </si>
  <si>
    <t>地下</t>
    <phoneticPr fontId="247" type="noConversion"/>
  </si>
  <si>
    <t>商业</t>
    <phoneticPr fontId="134" type="noConversion"/>
  </si>
  <si>
    <t>是</t>
  </si>
  <si>
    <t>1层</t>
    <phoneticPr fontId="134" type="noConversion"/>
  </si>
  <si>
    <t>朝阳区新东路8号院3号楼1层1-012</t>
  </si>
  <si>
    <t>朝阳区新东路8号院3号楼1层1-015</t>
  </si>
  <si>
    <t>朝阳区新东路8号院3号楼1层1-016</t>
  </si>
  <si>
    <t>朝阳区新东路8号院3号楼1层1-017</t>
  </si>
  <si>
    <t>朝阳区新东路8号院3号楼1层1-018</t>
  </si>
  <si>
    <t>朝阳区新东路8号院3号楼1层1-019</t>
  </si>
  <si>
    <t>朝阳区新东路8号院3号楼1层1-020</t>
  </si>
  <si>
    <t>朝阳区新东路8号院3号楼1层1-021</t>
  </si>
  <si>
    <t>朝阳区新东路8号院4号楼1层1-037</t>
    <phoneticPr fontId="247" type="noConversion"/>
  </si>
  <si>
    <t>朝阳区新东路8号院5号楼1层1-022</t>
    <phoneticPr fontId="247" type="noConversion"/>
  </si>
  <si>
    <t>朝阳区新东路8号院5号楼1层1-023</t>
  </si>
  <si>
    <t>朝阳区新东路8号院5号楼1-028</t>
    <phoneticPr fontId="247" type="noConversion"/>
  </si>
  <si>
    <t>北京城市开发集团有限责任公司</t>
    <phoneticPr fontId="134" type="noConversion"/>
  </si>
  <si>
    <t>银行</t>
    <phoneticPr fontId="134" type="noConversion"/>
  </si>
  <si>
    <t>朝阳区新东路8号院5号楼1-029</t>
  </si>
  <si>
    <t>朝阳区新东路8号院5号楼1-030</t>
  </si>
  <si>
    <t>朝阳区新东路8号院5号楼1-032</t>
    <phoneticPr fontId="134" type="noConversion"/>
  </si>
  <si>
    <t>朝阳区新东路8号院5号楼1-033</t>
    <phoneticPr fontId="134" type="noConversion"/>
  </si>
  <si>
    <t>朝阳区新东路8号院5号楼1-035</t>
    <phoneticPr fontId="134" type="noConversion"/>
  </si>
  <si>
    <t>朝阳区新东路8号院5号楼1-036</t>
    <phoneticPr fontId="134" type="noConversion"/>
  </si>
  <si>
    <t>朝阳区新东路8号院1、2、3、4、5号楼地下室-1层-1-001</t>
    <phoneticPr fontId="247" type="noConversion"/>
  </si>
  <si>
    <t>-1层</t>
    <phoneticPr fontId="134" type="noConversion"/>
  </si>
  <si>
    <r>
      <t>2</t>
    </r>
    <r>
      <rPr>
        <sz val="11"/>
        <color theme="1"/>
        <rFont val="宋体"/>
        <family val="3"/>
        <charset val="134"/>
        <scheme val="minor"/>
      </rPr>
      <t>011年竣工</t>
    </r>
    <phoneticPr fontId="134" type="noConversion"/>
  </si>
  <si>
    <t>朝阳区新东路8号院1、2、3、4、5号楼地下室-1层-1-002</t>
    <phoneticPr fontId="247" type="noConversion"/>
  </si>
  <si>
    <t>朝阳区新东路8号院1、2、3、4、5号楼地下室-1层-1-003</t>
  </si>
  <si>
    <t>朝阳区新东路8号院1、2、3、4、5号楼地下室-1层-1-005</t>
    <phoneticPr fontId="247" type="noConversion"/>
  </si>
  <si>
    <t>朝阳区新东路8号院1、2、3、4、5号楼地下室-1层-1-006</t>
  </si>
  <si>
    <t>朝阳区新东路8号院1、2、3、4、5号楼地下室-1层-1-007</t>
  </si>
  <si>
    <t>朝阳区新东路8号院1、2、3、4、5号楼地下室-1层-1-008</t>
  </si>
  <si>
    <t>朝阳区新东路8号院1、2、3、4、5号楼地下室-1层-1-010</t>
  </si>
  <si>
    <t>朝阳区新东路8号院1、2、3、4、5号楼地下室-1层-1-011</t>
  </si>
  <si>
    <t>朝阳区新东路8号院1、2、3、4、5号楼地下室-1层-1-012</t>
  </si>
  <si>
    <t>朝阳区新东路8号院1、2、3、4、5号楼地下室-1层-1-015</t>
    <phoneticPr fontId="247" type="noConversion"/>
  </si>
  <si>
    <t>朝阳区新东路8号院1、2、3、4、5号楼地下室-1层-1-016</t>
  </si>
  <si>
    <t>朝阳区新东路8号院1、2、3、4、5号楼地下室-1层-1-017</t>
  </si>
  <si>
    <t>朝阳区新东路8号院1、2、3、4、5号楼地下室-1层-1-018</t>
  </si>
  <si>
    <t>朝阳区新东路8号院1、2、3、4、5号楼地下室-1层-1-019</t>
  </si>
  <si>
    <t>朝阳区新东路8号院1、2、3、4、5号楼地下室-1层-1-020</t>
  </si>
  <si>
    <t>朝阳区新东路8号院1、2、3、4、5号楼地下室-1层-1-021</t>
  </si>
  <si>
    <t>朝阳区新东路8号院1、2、3、4、5号楼地下室-1层-1-022</t>
  </si>
  <si>
    <t>朝阳区新东路8号院1、2、3、4、5号楼地下室-1层-1-023</t>
  </si>
  <si>
    <t>朝阳区新东路8号院1、2、3、4、5号楼地下室-1层-1-025</t>
    <phoneticPr fontId="247" type="noConversion"/>
  </si>
  <si>
    <t>朝阳区新东路8号院1、2、3、4、5号楼地下室-1层-1-026</t>
  </si>
  <si>
    <t>朝阳区新东路8号院1、2、3、4、5号楼地下室-1层-1-036</t>
    <phoneticPr fontId="247" type="noConversion"/>
  </si>
  <si>
    <t>朝阳区新东路8号院1、2、3、4、5号楼地下室-1层-1-037</t>
    <phoneticPr fontId="247" type="noConversion"/>
  </si>
  <si>
    <t>北京市朝阳区新东路12号院1、2、3、4号楼地下室-1层-1-026</t>
    <phoneticPr fontId="3" type="noConversion"/>
  </si>
  <si>
    <t>——</t>
    <phoneticPr fontId="134" type="noConversion"/>
  </si>
  <si>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</si>
  <si>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</si>
  <si>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</si>
  <si>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</si>
  <si>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</si>
  <si>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</si>
  <si>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</si>
  <si>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</si>
  <si>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</si>
  <si>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</si>
  <si>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</si>
  <si>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</si>
  <si>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</si>
  <si>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</si>
  <si>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</si>
  <si>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</si>
  <si>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</si>
  <si>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</si>
  <si>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</si>
  <si>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</si>
  <si>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</si>
  <si>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</si>
  <si>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</si>
  <si>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</si>
  <si>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</si>
  <si>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</si>
  <si>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</si>
  <si>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</si>
  <si>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</si>
  <si>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</si>
  <si>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</si>
  <si>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</si>
  <si>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</si>
  <si>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</si>
  <si>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</si>
  <si>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</si>
  <si>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</si>
  <si>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</si>
  <si>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</si>
  <si>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</si>
  <si>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</si>
  <si>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</si>
  <si>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</si>
  <si>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</si>
  <si>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</si>
  <si>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</si>
  <si>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</si>
  <si>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</si>
  <si>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</si>
  <si>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</si>
  <si>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</si>
  <si>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</si>
  <si>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</si>
  <si>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</si>
  <si>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</si>
  <si>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</si>
  <si>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</si>
  <si>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</si>
  <si>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</si>
  <si>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</si>
  <si>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</si>
  <si>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</si>
  <si>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</si>
  <si>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</si>
  <si>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</si>
  <si>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</si>
  <si>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</si>
  <si>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</si>
  <si>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</si>
  <si>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</si>
  <si>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</si>
  <si>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</si>
  <si>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</si>
  <si>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</si>
  <si>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</si>
  <si>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</si>
  <si>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</si>
  <si>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</si>
  <si>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</si>
  <si>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</si>
  <si>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</si>
  <si>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</si>
  <si>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</si>
  <si>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</si>
  <si>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</si>
  <si>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</si>
  <si>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</si>
  <si>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</si>
  <si>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</si>
  <si>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</si>
  <si>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</si>
  <si>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</si>
  <si>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</si>
  <si>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</si>
  <si>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</si>
  <si>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</si>
  <si>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</si>
  <si>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</si>
  <si>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</si>
  <si>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</si>
  <si>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</si>
  <si>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</si>
  <si>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</si>
  <si>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</si>
  <si>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</si>
  <si>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</si>
  <si>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</si>
  <si>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</si>
  <si>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</si>
  <si>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</si>
  <si>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</si>
  <si>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</si>
  <si>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</si>
  <si>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</si>
  <si>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</si>
  <si>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</si>
  <si>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</si>
  <si>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</si>
  <si>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</si>
  <si>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</si>
  <si>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</si>
  <si>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</si>
  <si>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</si>
  <si>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</si>
  <si>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</si>
  <si>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</si>
  <si>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</si>
  <si>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</si>
  <si>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</si>
  <si>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Ⅱ—13</t>
  </si>
  <si>
    <t>地上</t>
  </si>
  <si>
    <t>底商</t>
  </si>
  <si>
    <t>1层商业</t>
  </si>
  <si>
    <t>1层商业</t>
    <phoneticPr fontId="7" type="noConversion"/>
  </si>
  <si>
    <t>否</t>
  </si>
  <si>
    <t>地下</t>
  </si>
  <si>
    <t>成新度</t>
  </si>
  <si>
    <t>利息：取LPR加浮动点数</t>
  </si>
  <si>
    <t>自定义容积率</t>
  </si>
  <si>
    <t>不临65条商业街</t>
  </si>
  <si>
    <t>与级别开发程度一致</t>
  </si>
  <si>
    <t>楼层修正</t>
  </si>
  <si>
    <t>一般</t>
  </si>
  <si>
    <t>较好</t>
  </si>
  <si>
    <t>估价对象周边有世茂广场、太古里、三里屯SOHO以及住宅配套商业，人流量较大，商业繁华度较好。</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</si>
  <si>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</si>
  <si>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估价对象周边有3路、24路、110路、117路、120路、135路、403路等多条公交线路，距离地铁10号线农业展览馆站约1000米，周边道路网线较密集，通达度较好。综合评价交通便捷度较好。</t>
    <phoneticPr fontId="3" type="noConversion"/>
  </si>
  <si>
    <t>估价对象周边有帽子公园、新中街城市森林公园等绿化景观，北京工人体育场、农业展览馆等人文场所，综合评价环境状况较好。</t>
    <phoneticPr fontId="3" type="noConversion"/>
  </si>
  <si>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</si>
  <si>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</si>
  <si>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</si>
  <si>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</si>
  <si>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</si>
  <si>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</si>
  <si>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</si>
  <si>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</si>
  <si>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</si>
  <si>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</si>
  <si>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</si>
  <si>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</si>
  <si>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</si>
  <si>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</si>
  <si>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</si>
  <si>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</si>
  <si>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</si>
  <si>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</si>
  <si>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</si>
  <si>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</si>
  <si>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</si>
  <si>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</si>
  <si>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</si>
  <si>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</si>
  <si>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</si>
  <si>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</si>
  <si>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</si>
  <si>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</si>
  <si>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</si>
  <si>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</si>
  <si>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</si>
  <si>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</si>
  <si>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</si>
  <si>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</si>
  <si>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</si>
  <si>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</si>
  <si>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</si>
  <si>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</si>
  <si>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</si>
  <si>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</si>
  <si>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</si>
  <si>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</si>
  <si>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</si>
  <si>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朝阳区新东路8号院5号楼1层1-028</t>
    <phoneticPr fontId="247" type="noConversion"/>
  </si>
  <si>
    <t>朝阳区新东路8号院5号楼1层1-029</t>
    <phoneticPr fontId="134" type="noConversion"/>
  </si>
  <si>
    <t>朝阳区新东路8号院5号楼1层1-030</t>
    <phoneticPr fontId="134" type="noConversion"/>
  </si>
  <si>
    <t>朝阳区新东路8号院5号楼1层1-032</t>
    <phoneticPr fontId="134" type="noConversion"/>
  </si>
  <si>
    <t>朝阳区新东路8号院5号楼1层1-033</t>
    <phoneticPr fontId="134" type="noConversion"/>
  </si>
  <si>
    <t>朝阳区新东路8号院5号楼1层1-035</t>
    <phoneticPr fontId="134" type="noConversion"/>
  </si>
  <si>
    <t>朝阳区新东路8号院5号楼1层1-036</t>
    <phoneticPr fontId="134" type="noConversion"/>
  </si>
  <si>
    <t>北京首开云锦铂郡商业管理有限公司</t>
    <phoneticPr fontId="134" type="noConversion"/>
  </si>
  <si>
    <t>京（2023）朝不动产权第0020644号</t>
    <phoneticPr fontId="134" type="noConversion"/>
  </si>
  <si>
    <t>京（2023）朝不动产权第0020649号</t>
    <phoneticPr fontId="134" type="noConversion"/>
  </si>
  <si>
    <t>京（2023）朝不动产权第0020655号</t>
    <phoneticPr fontId="134" type="noConversion"/>
  </si>
  <si>
    <t>X京房权证朝字第1053180号</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</si>
  <si>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</si>
  <si>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</si>
  <si>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</si>
  <si>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</si>
  <si>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</si>
  <si>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</si>
  <si>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</si>
  <si>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</si>
  <si>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</si>
  <si>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</si>
  <si>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</si>
  <si>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</si>
  <si>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一般</t>
    <phoneticPr fontId="30" type="noConversion"/>
  </si>
  <si>
    <t>较好</t>
    <phoneticPr fontId="30" type="noConversion"/>
  </si>
  <si>
    <t>可视度</t>
    <phoneticPr fontId="3" type="noConversion"/>
  </si>
  <si>
    <t>较差</t>
    <phoneticPr fontId="134" type="noConversion"/>
  </si>
  <si>
    <t>较差</t>
    <phoneticPr fontId="24" type="noConversion"/>
  </si>
  <si>
    <t>朝阳区新东路8号院1、2、3、4、5号楼-1-034</t>
  </si>
  <si>
    <t>朝阳区新东路8号院1、2、3、4、5号楼-1-035</t>
  </si>
  <si>
    <t>朝阳区新东路8号院1、2、3、4、5号楼-1-009</t>
    <phoneticPr fontId="247" type="noConversion"/>
  </si>
  <si>
    <t>200-300</t>
    <phoneticPr fontId="247" type="noConversion"/>
  </si>
  <si>
    <t>【10图】工体中国红街临街旺铺正对工人体育场可餐饮可外摆适合餐饮饰品等,北京朝阳三里屯中国红街商铺租售/生意转让出租-北京58同城</t>
  </si>
  <si>
    <t>【10图】（业主直租）三里屯SOHO一层全新美发装修183平,北京朝阳三里屯商铺租售/生意转让出租-北京58同城</t>
  </si>
  <si>
    <t>【17图】三里屯291平美容院商铺出租适合酒吧美容采耳养生体验店,北京朝阳三里屯三里屯SOHO商铺商铺租售/生意转让出租-北京58同城</t>
  </si>
  <si>
    <t>中国红街</t>
    <phoneticPr fontId="134" type="noConversion"/>
  </si>
  <si>
    <t>临街商铺</t>
    <phoneticPr fontId="134" type="noConversion"/>
  </si>
  <si>
    <t>三里屯SOHO</t>
    <phoneticPr fontId="134" type="noConversion"/>
  </si>
  <si>
    <t>商业街商铺</t>
    <phoneticPr fontId="134" type="noConversion"/>
  </si>
  <si>
    <t>不临街</t>
  </si>
  <si>
    <t>【11图】工体 海隆石油大厦121平临街底商低价直租适合烟酒超市等业态,北京朝阳三里屯世茂工三(商业)商铺租售/生意转让出租-北京58同城</t>
  </si>
  <si>
    <t>世茂工三</t>
    <phoneticPr fontId="134" type="noConversion"/>
  </si>
  <si>
    <t>三里屯</t>
    <phoneticPr fontId="134" type="noConversion"/>
  </si>
  <si>
    <t>不临街</t>
    <phoneticPr fontId="30" type="noConversion"/>
  </si>
  <si>
    <t>0-100</t>
    <phoneticPr fontId="247" type="noConversion"/>
  </si>
  <si>
    <t>100-200</t>
    <phoneticPr fontId="247" type="noConversion"/>
  </si>
  <si>
    <t>300-400</t>
    <phoneticPr fontId="247" type="noConversion"/>
  </si>
  <si>
    <t>400+</t>
    <phoneticPr fontId="247" type="noConversion"/>
  </si>
  <si>
    <t>可视性</t>
    <phoneticPr fontId="134" type="noConversion"/>
  </si>
  <si>
    <t>可视性情况修正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</si>
</sst>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4" fillId="0" borderId="0" applyNumberFormat="0" applyFill="0" applyBorder="0" applyAlignment="0" applyProtection="0">
      <alignment vertical="center"/>
    </xf>
  </cellStyleXfs>
  <cellXfs count="36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6" fillId="0" borderId="0" xfId="10" applyFont="1" applyAlignment="1">
      <alignment horizontal="center" vertical="center"/>
    </xf>
    <xf numFmtId="0" fontId="95" fillId="0" borderId="13" xfId="10" applyBorder="1">
      <alignment vertical="center"/>
    </xf>
    <xf numFmtId="0" fontId="112" fillId="0" borderId="13" xfId="10" applyFont="1" applyBorder="1" applyAlignment="1">
      <alignment horizontal="center" vertical="center"/>
    </xf>
    <xf numFmtId="49" fontId="112" fillId="0" borderId="13" xfId="10" applyNumberFormat="1" applyFont="1" applyBorder="1" applyAlignment="1">
      <alignment horizontal="center" vertical="center" wrapText="1"/>
    </xf>
    <xf numFmtId="0" fontId="112" fillId="0" borderId="0" xfId="10" applyFont="1" applyAlignment="1">
      <alignment horizontal="center" vertical="center"/>
    </xf>
    <xf numFmtId="0" fontId="112" fillId="0" borderId="0" xfId="10" applyFont="1" applyAlignment="1">
      <alignment horizontal="center" vertical="center" wrapText="1"/>
    </xf>
    <xf numFmtId="0" fontId="95" fillId="0" borderId="0" xfId="10" applyAlignment="1">
      <alignment horizontal="center" vertical="center"/>
    </xf>
    <xf numFmtId="0" fontId="95" fillId="0" borderId="1" xfId="10" applyBorder="1">
      <alignment vertical="center"/>
    </xf>
    <xf numFmtId="0" fontId="107" fillId="0" borderId="1" xfId="10" applyFont="1" applyBorder="1" applyAlignment="1">
      <alignment horizontal="center" vertical="center"/>
    </xf>
    <xf numFmtId="0" fontId="107" fillId="0" borderId="1" xfId="10" applyFont="1" applyBorder="1">
      <alignment vertical="center"/>
    </xf>
    <xf numFmtId="0" fontId="107" fillId="0" borderId="0" xfId="10" applyFont="1" applyAlignment="1">
      <alignment horizontal="center" vertical="center"/>
    </xf>
    <xf numFmtId="179" fontId="95" fillId="0" borderId="0" xfId="10" applyNumberFormat="1">
      <alignment vertical="center"/>
    </xf>
    <xf numFmtId="0" fontId="77" fillId="0" borderId="1" xfId="7" applyFont="1" applyBorder="1" applyAlignment="1" applyProtection="1">
      <alignment horizontal="center" vertical="center" wrapText="1"/>
      <protection locked="0"/>
    </xf>
    <xf numFmtId="179" fontId="19" fillId="0" borderId="1" xfId="7" applyNumberFormat="1" applyFont="1" applyBorder="1" applyAlignment="1">
      <alignment horizontal="center" vertical="center" shrinkToFit="1"/>
    </xf>
    <xf numFmtId="0" fontId="107" fillId="22" borderId="1" xfId="10" applyFont="1" applyFill="1" applyBorder="1" applyAlignment="1">
      <alignment horizontal="center" vertical="center"/>
    </xf>
    <xf numFmtId="49" fontId="107" fillId="0" borderId="1" xfId="10" applyNumberFormat="1" applyFont="1" applyBorder="1" applyAlignment="1">
      <alignment horizontal="center" vertical="center"/>
    </xf>
    <xf numFmtId="0" fontId="269" fillId="5" borderId="1" xfId="10" applyFont="1" applyFill="1" applyBorder="1">
      <alignment vertical="center"/>
    </xf>
    <xf numFmtId="0" fontId="269" fillId="5" borderId="0" xfId="10" applyFont="1" applyFill="1">
      <alignment vertical="center"/>
    </xf>
    <xf numFmtId="0" fontId="269" fillId="23" borderId="0" xfId="10" applyFont="1" applyFill="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6" fillId="24"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107" fillId="22" borderId="1" xfId="10" applyFont="1" applyFill="1" applyBorder="1" applyAlignment="1" applyProtection="1">
      <alignment horizontal="center" vertical="center"/>
      <protection locked="0"/>
    </xf>
    <xf numFmtId="0" fontId="122" fillId="22" borderId="1" xfId="10" applyFont="1" applyFill="1" applyBorder="1" applyAlignment="1" applyProtection="1">
      <alignment horizontal="center" vertical="center" wrapText="1"/>
      <protection locked="0"/>
    </xf>
    <xf numFmtId="49" fontId="168" fillId="0" borderId="24" xfId="0" applyNumberFormat="1" applyFont="1" applyBorder="1" applyAlignment="1" applyProtection="1">
      <alignment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9" fontId="129" fillId="0" borderId="1" xfId="7" applyNumberFormat="1" applyFont="1" applyBorder="1" applyAlignment="1">
      <alignment horizontal="center" vertical="center" shrinkToFit="1"/>
    </xf>
    <xf numFmtId="0" fontId="44" fillId="18" borderId="5" xfId="0" applyFont="1" applyFill="1" applyBorder="1" applyAlignment="1" applyProtection="1">
      <alignment horizontal="center" vertical="center" wrapText="1"/>
      <protection locked="0"/>
    </xf>
    <xf numFmtId="0" fontId="47" fillId="7" borderId="23" xfId="0" applyFont="1" applyFill="1" applyBorder="1" applyAlignment="1" applyProtection="1">
      <alignment horizontal="center" vertical="center" wrapText="1"/>
      <protection locked="0"/>
    </xf>
    <xf numFmtId="0" fontId="47" fillId="7" borderId="1" xfId="0" applyFont="1" applyFill="1" applyBorder="1" applyAlignment="1" applyProtection="1">
      <alignment horizontal="center" vertical="center" wrapText="1"/>
      <protection locked="0"/>
    </xf>
    <xf numFmtId="0" fontId="99" fillId="7" borderId="1" xfId="0" applyFont="1" applyFill="1" applyBorder="1" applyAlignment="1" applyProtection="1">
      <alignment horizontal="center" vertical="center" wrapText="1"/>
      <protection locked="0"/>
    </xf>
    <xf numFmtId="0" fontId="47" fillId="7" borderId="11" xfId="0" applyFont="1" applyFill="1" applyBorder="1" applyAlignment="1" applyProtection="1">
      <alignment horizontal="center" vertical="center" wrapText="1"/>
      <protection locked="0"/>
    </xf>
    <xf numFmtId="0" fontId="53" fillId="7" borderId="13" xfId="0" applyFont="1" applyFill="1" applyBorder="1" applyAlignment="1" applyProtection="1">
      <alignment horizontal="center" vertical="center" wrapText="1"/>
      <protection locked="0"/>
    </xf>
    <xf numFmtId="0" fontId="99" fillId="7" borderId="13" xfId="0"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protection locked="0"/>
    </xf>
    <xf numFmtId="0" fontId="47" fillId="7" borderId="113" xfId="0" applyFont="1" applyFill="1" applyBorder="1" applyAlignment="1" applyProtection="1">
      <alignment horizontal="center" vertical="center" wrapText="1"/>
      <protection locked="0"/>
    </xf>
    <xf numFmtId="181" fontId="274" fillId="7" borderId="1" xfId="10" applyNumberFormat="1" applyFont="1" applyFill="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6" fillId="0" borderId="0" xfId="10" applyFont="1" applyAlignment="1">
      <alignment horizontal="center" vertical="center"/>
    </xf>
    <xf numFmtId="0" fontId="107" fillId="0" borderId="13" xfId="10" applyFont="1" applyBorder="1" applyAlignment="1">
      <alignment horizontal="center" vertical="center"/>
    </xf>
    <xf numFmtId="0" fontId="107" fillId="0" borderId="15" xfId="10" applyFont="1" applyBorder="1" applyAlignment="1">
      <alignment horizontal="center" vertical="center"/>
    </xf>
    <xf numFmtId="0" fontId="107" fillId="0" borderId="2" xfId="10" applyFont="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5"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129" fillId="0" borderId="1" xfId="7" applyNumberFormat="1" applyFont="1" applyBorder="1" applyAlignment="1" applyProtection="1">
      <alignment horizontal="center" vertical="center" shrinkToFit="1"/>
      <protection locked="0"/>
    </xf>
    <xf numFmtId="0" fontId="284" fillId="0" borderId="0" xfId="19">
      <alignment vertical="center"/>
    </xf>
    <xf numFmtId="0" fontId="95" fillId="0" borderId="0" xfId="10"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8" tint="0.59996337778862885"/>
        </patternFill>
      </fill>
    </dxf>
    <dxf>
      <fill>
        <patternFill>
          <bgColor theme="8" tint="0.5999633777886288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2219325</xdr:colOff>
      <xdr:row>22</xdr:row>
      <xdr:rowOff>38100</xdr:rowOff>
    </xdr:from>
    <xdr:to>
      <xdr:col>10</xdr:col>
      <xdr:colOff>303760</xdr:colOff>
      <xdr:row>34</xdr:row>
      <xdr:rowOff>82030</xdr:rowOff>
    </xdr:to>
    <xdr:pic>
      <xdr:nvPicPr>
        <xdr:cNvPr id="2" name="图片 1">
          <a:extLst>
            <a:ext uri="{FF2B5EF4-FFF2-40B4-BE49-F238E27FC236}">
              <a16:creationId xmlns:a16="http://schemas.microsoft.com/office/drawing/2014/main" id="{CE57F9EA-6C8B-40C9-8876-49F8A11D5E01}"/>
            </a:ext>
          </a:extLst>
        </xdr:cNvPr>
        <xdr:cNvPicPr>
          <a:picLocks noChangeAspect="1"/>
        </xdr:cNvPicPr>
      </xdr:nvPicPr>
      <xdr:blipFill>
        <a:blip xmlns:r="http://schemas.openxmlformats.org/officeDocument/2006/relationships" r:embed="rId1"/>
        <a:stretch>
          <a:fillRect/>
        </a:stretch>
      </xdr:blipFill>
      <xdr:spPr>
        <a:xfrm>
          <a:off x="2552700" y="4543425"/>
          <a:ext cx="4485235" cy="2101330"/>
        </a:xfrm>
        <a:prstGeom prst="rect">
          <a:avLst/>
        </a:prstGeom>
      </xdr:spPr>
    </xdr:pic>
    <xdr:clientData/>
  </xdr:twoCellAnchor>
  <xdr:twoCellAnchor editAs="oneCell">
    <xdr:from>
      <xdr:col>0</xdr:col>
      <xdr:colOff>247650</xdr:colOff>
      <xdr:row>21</xdr:row>
      <xdr:rowOff>123825</xdr:rowOff>
    </xdr:from>
    <xdr:to>
      <xdr:col>1</xdr:col>
      <xdr:colOff>1895227</xdr:colOff>
      <xdr:row>35</xdr:row>
      <xdr:rowOff>161582</xdr:rowOff>
    </xdr:to>
    <xdr:pic>
      <xdr:nvPicPr>
        <xdr:cNvPr id="5" name="图片 4">
          <a:extLst>
            <a:ext uri="{FF2B5EF4-FFF2-40B4-BE49-F238E27FC236}">
              <a16:creationId xmlns:a16="http://schemas.microsoft.com/office/drawing/2014/main" id="{FDC04842-B0C3-BE82-A0A0-B010B7682823}"/>
            </a:ext>
          </a:extLst>
        </xdr:cNvPr>
        <xdr:cNvPicPr>
          <a:picLocks noChangeAspect="1"/>
        </xdr:cNvPicPr>
      </xdr:nvPicPr>
      <xdr:blipFill>
        <a:blip xmlns:r="http://schemas.openxmlformats.org/officeDocument/2006/relationships" r:embed="rId2"/>
        <a:stretch>
          <a:fillRect/>
        </a:stretch>
      </xdr:blipFill>
      <xdr:spPr>
        <a:xfrm>
          <a:off x="247650" y="4152900"/>
          <a:ext cx="1980952" cy="2742857"/>
        </a:xfrm>
        <a:prstGeom prst="rect">
          <a:avLst/>
        </a:prstGeom>
      </xdr:spPr>
    </xdr:pic>
    <xdr:clientData/>
  </xdr:twoCellAnchor>
  <xdr:twoCellAnchor editAs="oneCell">
    <xdr:from>
      <xdr:col>1</xdr:col>
      <xdr:colOff>1533525</xdr:colOff>
      <xdr:row>21</xdr:row>
      <xdr:rowOff>171450</xdr:rowOff>
    </xdr:from>
    <xdr:to>
      <xdr:col>19</xdr:col>
      <xdr:colOff>84489</xdr:colOff>
      <xdr:row>27</xdr:row>
      <xdr:rowOff>152236</xdr:rowOff>
    </xdr:to>
    <xdr:pic>
      <xdr:nvPicPr>
        <xdr:cNvPr id="6" name="图片 5">
          <a:extLst>
            <a:ext uri="{FF2B5EF4-FFF2-40B4-BE49-F238E27FC236}">
              <a16:creationId xmlns:a16="http://schemas.microsoft.com/office/drawing/2014/main" id="{BA176D9F-DA61-BF9E-BFF3-AF1ABF9A332C}"/>
            </a:ext>
          </a:extLst>
        </xdr:cNvPr>
        <xdr:cNvPicPr>
          <a:picLocks noChangeAspect="1"/>
        </xdr:cNvPicPr>
      </xdr:nvPicPr>
      <xdr:blipFill>
        <a:blip xmlns:r="http://schemas.openxmlformats.org/officeDocument/2006/relationships" r:embed="rId3"/>
        <a:stretch>
          <a:fillRect/>
        </a:stretch>
      </xdr:blipFill>
      <xdr:spPr>
        <a:xfrm>
          <a:off x="1866900" y="4200525"/>
          <a:ext cx="9885714" cy="1314286"/>
        </a:xfrm>
        <a:prstGeom prst="rect">
          <a:avLst/>
        </a:prstGeom>
      </xdr:spPr>
    </xdr:pic>
    <xdr:clientData/>
  </xdr:twoCellAnchor>
  <xdr:twoCellAnchor editAs="oneCell">
    <xdr:from>
      <xdr:col>1</xdr:col>
      <xdr:colOff>1628775</xdr:colOff>
      <xdr:row>28</xdr:row>
      <xdr:rowOff>9525</xdr:rowOff>
    </xdr:from>
    <xdr:to>
      <xdr:col>18</xdr:col>
      <xdr:colOff>608411</xdr:colOff>
      <xdr:row>40</xdr:row>
      <xdr:rowOff>37839</xdr:rowOff>
    </xdr:to>
    <xdr:pic>
      <xdr:nvPicPr>
        <xdr:cNvPr id="7" name="图片 6">
          <a:extLst>
            <a:ext uri="{FF2B5EF4-FFF2-40B4-BE49-F238E27FC236}">
              <a16:creationId xmlns:a16="http://schemas.microsoft.com/office/drawing/2014/main" id="{E68DA40E-45D4-AE6F-6199-E75AE6A21BBE}"/>
            </a:ext>
          </a:extLst>
        </xdr:cNvPr>
        <xdr:cNvPicPr>
          <a:picLocks noChangeAspect="1"/>
        </xdr:cNvPicPr>
      </xdr:nvPicPr>
      <xdr:blipFill>
        <a:blip xmlns:r="http://schemas.openxmlformats.org/officeDocument/2006/relationships" r:embed="rId4"/>
        <a:stretch>
          <a:fillRect/>
        </a:stretch>
      </xdr:blipFill>
      <xdr:spPr>
        <a:xfrm>
          <a:off x="1962150" y="5543550"/>
          <a:ext cx="9514286" cy="2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432488</xdr:colOff>
      <xdr:row>22</xdr:row>
      <xdr:rowOff>27879</xdr:rowOff>
    </xdr:to>
    <xdr:pic>
      <xdr:nvPicPr>
        <xdr:cNvPr id="2" name="图片 1">
          <a:extLst>
            <a:ext uri="{FF2B5EF4-FFF2-40B4-BE49-F238E27FC236}">
              <a16:creationId xmlns:a16="http://schemas.microsoft.com/office/drawing/2014/main" id="{F34D856D-F1C5-A02E-295F-42F796CAD1E6}"/>
            </a:ext>
          </a:extLst>
        </xdr:cNvPr>
        <xdr:cNvPicPr>
          <a:picLocks noChangeAspect="1"/>
        </xdr:cNvPicPr>
      </xdr:nvPicPr>
      <xdr:blipFill>
        <a:blip xmlns:r="http://schemas.openxmlformats.org/officeDocument/2006/relationships" r:embed="rId1"/>
        <a:stretch>
          <a:fillRect/>
        </a:stretch>
      </xdr:blipFill>
      <xdr:spPr>
        <a:xfrm>
          <a:off x="0" y="0"/>
          <a:ext cx="7976288" cy="3799779"/>
        </a:xfrm>
        <a:prstGeom prst="rect">
          <a:avLst/>
        </a:prstGeom>
      </xdr:spPr>
    </xdr:pic>
    <xdr:clientData/>
  </xdr:twoCellAnchor>
  <xdr:twoCellAnchor editAs="oneCell">
    <xdr:from>
      <xdr:col>0</xdr:col>
      <xdr:colOff>0</xdr:colOff>
      <xdr:row>18</xdr:row>
      <xdr:rowOff>58079</xdr:rowOff>
    </xdr:from>
    <xdr:to>
      <xdr:col>11</xdr:col>
      <xdr:colOff>533399</xdr:colOff>
      <xdr:row>40</xdr:row>
      <xdr:rowOff>113609</xdr:rowOff>
    </xdr:to>
    <xdr:pic>
      <xdr:nvPicPr>
        <xdr:cNvPr id="3" name="图片 2">
          <a:extLst>
            <a:ext uri="{FF2B5EF4-FFF2-40B4-BE49-F238E27FC236}">
              <a16:creationId xmlns:a16="http://schemas.microsoft.com/office/drawing/2014/main" id="{E46B1BCC-BCB4-DD19-9379-D8E66779DAE1}"/>
            </a:ext>
          </a:extLst>
        </xdr:cNvPr>
        <xdr:cNvPicPr>
          <a:picLocks noChangeAspect="1"/>
        </xdr:cNvPicPr>
      </xdr:nvPicPr>
      <xdr:blipFill>
        <a:blip xmlns:r="http://schemas.openxmlformats.org/officeDocument/2006/relationships" r:embed="rId2"/>
        <a:stretch>
          <a:fillRect/>
        </a:stretch>
      </xdr:blipFill>
      <xdr:spPr>
        <a:xfrm>
          <a:off x="0" y="3144179"/>
          <a:ext cx="8077199" cy="3827430"/>
        </a:xfrm>
        <a:prstGeom prst="rect">
          <a:avLst/>
        </a:prstGeom>
      </xdr:spPr>
    </xdr:pic>
    <xdr:clientData/>
  </xdr:twoCellAnchor>
  <xdr:twoCellAnchor editAs="oneCell">
    <xdr:from>
      <xdr:col>0</xdr:col>
      <xdr:colOff>85725</xdr:colOff>
      <xdr:row>40</xdr:row>
      <xdr:rowOff>95251</xdr:rowOff>
    </xdr:from>
    <xdr:to>
      <xdr:col>11</xdr:col>
      <xdr:colOff>513820</xdr:colOff>
      <xdr:row>62</xdr:row>
      <xdr:rowOff>132645</xdr:rowOff>
    </xdr:to>
    <xdr:pic>
      <xdr:nvPicPr>
        <xdr:cNvPr id="4" name="图片 3">
          <a:extLst>
            <a:ext uri="{FF2B5EF4-FFF2-40B4-BE49-F238E27FC236}">
              <a16:creationId xmlns:a16="http://schemas.microsoft.com/office/drawing/2014/main" id="{802E6EB9-5384-7A84-5195-D810F472A1D7}"/>
            </a:ext>
          </a:extLst>
        </xdr:cNvPr>
        <xdr:cNvPicPr>
          <a:picLocks noChangeAspect="1"/>
        </xdr:cNvPicPr>
      </xdr:nvPicPr>
      <xdr:blipFill>
        <a:blip xmlns:r="http://schemas.openxmlformats.org/officeDocument/2006/relationships" r:embed="rId3"/>
        <a:stretch>
          <a:fillRect/>
        </a:stretch>
      </xdr:blipFill>
      <xdr:spPr>
        <a:xfrm>
          <a:off x="85725" y="6953251"/>
          <a:ext cx="7971895" cy="3809294"/>
        </a:xfrm>
        <a:prstGeom prst="rect">
          <a:avLst/>
        </a:prstGeom>
      </xdr:spPr>
    </xdr:pic>
    <xdr:clientData/>
  </xdr:twoCellAnchor>
  <xdr:twoCellAnchor editAs="oneCell">
    <xdr:from>
      <xdr:col>0</xdr:col>
      <xdr:colOff>95250</xdr:colOff>
      <xdr:row>37</xdr:row>
      <xdr:rowOff>28576</xdr:rowOff>
    </xdr:from>
    <xdr:to>
      <xdr:col>11</xdr:col>
      <xdr:colOff>523345</xdr:colOff>
      <xdr:row>59</xdr:row>
      <xdr:rowOff>65970</xdr:rowOff>
    </xdr:to>
    <xdr:pic>
      <xdr:nvPicPr>
        <xdr:cNvPr id="5" name="图片 4">
          <a:extLst>
            <a:ext uri="{FF2B5EF4-FFF2-40B4-BE49-F238E27FC236}">
              <a16:creationId xmlns:a16="http://schemas.microsoft.com/office/drawing/2014/main" id="{E7E37A40-F449-5C52-4B6A-901417A995F3}"/>
            </a:ext>
          </a:extLst>
        </xdr:cNvPr>
        <xdr:cNvPicPr>
          <a:picLocks noChangeAspect="1"/>
        </xdr:cNvPicPr>
      </xdr:nvPicPr>
      <xdr:blipFill>
        <a:blip xmlns:r="http://schemas.openxmlformats.org/officeDocument/2006/relationships" r:embed="rId3"/>
        <a:stretch>
          <a:fillRect/>
        </a:stretch>
      </xdr:blipFill>
      <xdr:spPr>
        <a:xfrm>
          <a:off x="95250" y="6372226"/>
          <a:ext cx="7971895" cy="3809294"/>
        </a:xfrm>
        <a:prstGeom prst="rect">
          <a:avLst/>
        </a:prstGeom>
      </xdr:spPr>
    </xdr:pic>
    <xdr:clientData/>
  </xdr:twoCellAnchor>
  <xdr:twoCellAnchor editAs="oneCell">
    <xdr:from>
      <xdr:col>0</xdr:col>
      <xdr:colOff>295276</xdr:colOff>
      <xdr:row>59</xdr:row>
      <xdr:rowOff>47625</xdr:rowOff>
    </xdr:from>
    <xdr:to>
      <xdr:col>11</xdr:col>
      <xdr:colOff>279938</xdr:colOff>
      <xdr:row>80</xdr:row>
      <xdr:rowOff>46934</xdr:rowOff>
    </xdr:to>
    <xdr:pic>
      <xdr:nvPicPr>
        <xdr:cNvPr id="6" name="图片 5">
          <a:extLst>
            <a:ext uri="{FF2B5EF4-FFF2-40B4-BE49-F238E27FC236}">
              <a16:creationId xmlns:a16="http://schemas.microsoft.com/office/drawing/2014/main" id="{33AA26CE-AA0B-3F7E-822F-22EEB963F60D}"/>
            </a:ext>
          </a:extLst>
        </xdr:cNvPr>
        <xdr:cNvPicPr>
          <a:picLocks noChangeAspect="1"/>
        </xdr:cNvPicPr>
      </xdr:nvPicPr>
      <xdr:blipFill>
        <a:blip xmlns:r="http://schemas.openxmlformats.org/officeDocument/2006/relationships" r:embed="rId4"/>
        <a:stretch>
          <a:fillRect/>
        </a:stretch>
      </xdr:blipFill>
      <xdr:spPr>
        <a:xfrm>
          <a:off x="295276" y="10163175"/>
          <a:ext cx="7528462" cy="3599759"/>
        </a:xfrm>
        <a:prstGeom prst="rect">
          <a:avLst/>
        </a:prstGeom>
      </xdr:spPr>
    </xdr:pic>
    <xdr:clientData/>
  </xdr:twoCellAnchor>
  <xdr:twoCellAnchor editAs="oneCell">
    <xdr:from>
      <xdr:col>0</xdr:col>
      <xdr:colOff>0</xdr:colOff>
      <xdr:row>80</xdr:row>
      <xdr:rowOff>142875</xdr:rowOff>
    </xdr:from>
    <xdr:to>
      <xdr:col>11</xdr:col>
      <xdr:colOff>87068</xdr:colOff>
      <xdr:row>98</xdr:row>
      <xdr:rowOff>104187</xdr:rowOff>
    </xdr:to>
    <xdr:pic>
      <xdr:nvPicPr>
        <xdr:cNvPr id="7" name="图片 6">
          <a:extLst>
            <a:ext uri="{FF2B5EF4-FFF2-40B4-BE49-F238E27FC236}">
              <a16:creationId xmlns:a16="http://schemas.microsoft.com/office/drawing/2014/main" id="{7B28EF55-7E39-A302-32D1-2D2F93A7BB0A}"/>
            </a:ext>
          </a:extLst>
        </xdr:cNvPr>
        <xdr:cNvPicPr>
          <a:picLocks noChangeAspect="1"/>
        </xdr:cNvPicPr>
      </xdr:nvPicPr>
      <xdr:blipFill>
        <a:blip xmlns:r="http://schemas.openxmlformats.org/officeDocument/2006/relationships" r:embed="rId5"/>
        <a:stretch>
          <a:fillRect/>
        </a:stretch>
      </xdr:blipFill>
      <xdr:spPr>
        <a:xfrm>
          <a:off x="0" y="13858875"/>
          <a:ext cx="7630868" cy="3047412"/>
        </a:xfrm>
        <a:prstGeom prst="rect">
          <a:avLst/>
        </a:prstGeom>
      </xdr:spPr>
    </xdr:pic>
    <xdr:clientData/>
  </xdr:twoCellAnchor>
  <xdr:twoCellAnchor editAs="oneCell">
    <xdr:from>
      <xdr:col>0</xdr:col>
      <xdr:colOff>0</xdr:colOff>
      <xdr:row>93</xdr:row>
      <xdr:rowOff>27089</xdr:rowOff>
    </xdr:from>
    <xdr:to>
      <xdr:col>11</xdr:col>
      <xdr:colOff>257175</xdr:colOff>
      <xdr:row>111</xdr:row>
      <xdr:rowOff>85158</xdr:rowOff>
    </xdr:to>
    <xdr:pic>
      <xdr:nvPicPr>
        <xdr:cNvPr id="8" name="图片 7">
          <a:extLst>
            <a:ext uri="{FF2B5EF4-FFF2-40B4-BE49-F238E27FC236}">
              <a16:creationId xmlns:a16="http://schemas.microsoft.com/office/drawing/2014/main" id="{AA10AEA2-C378-46A8-9520-982F72C1D7D3}"/>
            </a:ext>
          </a:extLst>
        </xdr:cNvPr>
        <xdr:cNvPicPr>
          <a:picLocks noChangeAspect="1"/>
        </xdr:cNvPicPr>
      </xdr:nvPicPr>
      <xdr:blipFill>
        <a:blip xmlns:r="http://schemas.openxmlformats.org/officeDocument/2006/relationships" r:embed="rId6"/>
        <a:stretch>
          <a:fillRect/>
        </a:stretch>
      </xdr:blipFill>
      <xdr:spPr>
        <a:xfrm>
          <a:off x="0" y="15971939"/>
          <a:ext cx="7800975" cy="3144169"/>
        </a:xfrm>
        <a:prstGeom prst="rect">
          <a:avLst/>
        </a:prstGeom>
      </xdr:spPr>
    </xdr:pic>
    <xdr:clientData/>
  </xdr:twoCellAnchor>
  <xdr:twoCellAnchor editAs="oneCell">
    <xdr:from>
      <xdr:col>0</xdr:col>
      <xdr:colOff>85725</xdr:colOff>
      <xdr:row>110</xdr:row>
      <xdr:rowOff>38100</xdr:rowOff>
    </xdr:from>
    <xdr:to>
      <xdr:col>11</xdr:col>
      <xdr:colOff>293105</xdr:colOff>
      <xdr:row>128</xdr:row>
      <xdr:rowOff>18470</xdr:rowOff>
    </xdr:to>
    <xdr:pic>
      <xdr:nvPicPr>
        <xdr:cNvPr id="9" name="图片 8">
          <a:extLst>
            <a:ext uri="{FF2B5EF4-FFF2-40B4-BE49-F238E27FC236}">
              <a16:creationId xmlns:a16="http://schemas.microsoft.com/office/drawing/2014/main" id="{FD9EBC9B-06E5-1FFE-B47C-686604953063}"/>
            </a:ext>
          </a:extLst>
        </xdr:cNvPr>
        <xdr:cNvPicPr>
          <a:picLocks noChangeAspect="1"/>
        </xdr:cNvPicPr>
      </xdr:nvPicPr>
      <xdr:blipFill>
        <a:blip xmlns:r="http://schemas.openxmlformats.org/officeDocument/2006/relationships" r:embed="rId7"/>
        <a:stretch>
          <a:fillRect/>
        </a:stretch>
      </xdr:blipFill>
      <xdr:spPr>
        <a:xfrm>
          <a:off x="85725" y="18897600"/>
          <a:ext cx="7751180" cy="3066470"/>
        </a:xfrm>
        <a:prstGeom prst="rect">
          <a:avLst/>
        </a:prstGeom>
      </xdr:spPr>
    </xdr:pic>
    <xdr:clientData/>
  </xdr:twoCellAnchor>
  <xdr:twoCellAnchor editAs="oneCell">
    <xdr:from>
      <xdr:col>11</xdr:col>
      <xdr:colOff>114300</xdr:colOff>
      <xdr:row>48</xdr:row>
      <xdr:rowOff>133350</xdr:rowOff>
    </xdr:from>
    <xdr:to>
      <xdr:col>24</xdr:col>
      <xdr:colOff>227390</xdr:colOff>
      <xdr:row>57</xdr:row>
      <xdr:rowOff>152205</xdr:rowOff>
    </xdr:to>
    <xdr:pic>
      <xdr:nvPicPr>
        <xdr:cNvPr id="11" name="图片 10">
          <a:extLst>
            <a:ext uri="{FF2B5EF4-FFF2-40B4-BE49-F238E27FC236}">
              <a16:creationId xmlns:a16="http://schemas.microsoft.com/office/drawing/2014/main" id="{DBAC9DAB-519A-8540-4481-F31A1506CC3D}"/>
            </a:ext>
          </a:extLst>
        </xdr:cNvPr>
        <xdr:cNvPicPr>
          <a:picLocks noChangeAspect="1"/>
        </xdr:cNvPicPr>
      </xdr:nvPicPr>
      <xdr:blipFill>
        <a:blip xmlns:r="http://schemas.openxmlformats.org/officeDocument/2006/relationships" r:embed="rId8"/>
        <a:stretch>
          <a:fillRect/>
        </a:stretch>
      </xdr:blipFill>
      <xdr:spPr>
        <a:xfrm>
          <a:off x="7658100" y="8362950"/>
          <a:ext cx="9676190"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20">
          <cell r="B20">
            <v>2</v>
          </cell>
        </row>
        <row r="33">
          <cell r="B33">
            <v>0.04</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58690125095814x.shtml?utm_source=market&amp;prd=qdae9s0aI%2BPAsrL8OocS7g%3D%3D&amp;houseId=3590294328123395&amp;gpos=16&amp;positionType=anxuanhouseplus&amp;filterJson=eyJTSEFOR1FVQU4iOlt7ImtleSI6IiIsImxhYmVsIjoi5LiJ6YeM5bGvIiwidmFsIjoic2FubGl0dW4ifV0sIlFVWVUiOlt7ImtleSI6IiIsImxhYmVsIjoi5pyd6ZizIiwidmFsIjoiY2hhb3lhbmcifV19&amp;jx_abtest=ZWljX3N5ZGNfcGNfcmVjb21tZW5kX3Rlc3QscHRyX2ZhbmdfYnVkZ2V0X2JvdHRvbXwxLHVzZXJfcGhhc2VfbA&amp;list_type=main&amp;PGTID=0d306b35-0000-1c8b-3151-4032a53572c6&amp;ClickID=33" TargetMode="External"/><Relationship Id="rId2" Type="http://schemas.openxmlformats.org/officeDocument/2006/relationships/hyperlink" Target="https://bj.58.com/shangpu/54435643084319x.shtml?utm_source=market&amp;prd=J%2B6vMe9V9XqvWjZRBzuuuA%3D%3D&amp;houseId=3045720630812686&amp;gpos=6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29" TargetMode="External"/><Relationship Id="rId1" Type="http://schemas.openxmlformats.org/officeDocument/2006/relationships/hyperlink" Target="https://bj.58.com/shangpu/58270737585828x.shtml?utm_source=market&amp;prd=n7rBZOrydYtl7iFTGegbTQ%3D%3D&amp;houseId=3428781898981382&amp;gpos=8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50" TargetMode="External"/><Relationship Id="rId5" Type="http://schemas.openxmlformats.org/officeDocument/2006/relationships/drawing" Target="../drawings/drawing2.xml"/><Relationship Id="rId4" Type="http://schemas.openxmlformats.org/officeDocument/2006/relationships/hyperlink" Target="https://bj.58.com/shangpu/58812188479888x.shtml?utm_source=market&amp;prd=HbLyV8%2F9m%2B6psEtT3trIWw%3D%3D&amp;houseId=3605918441118728&amp;gpos=225&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37f-e7a9-ba810aec27b9&amp;ClickID=4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e">
        <f>'预评函-1'!A7</f>
        <v>#REF!</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e">
        <f>'预评函-1'!A10</f>
        <v>#REF!</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2024年6月24日（评估专业人员实地查勘之日）</v>
      </c>
    </row>
    <row r="13" spans="1:2">
      <c r="A13" s="1115" t="s">
        <v>529</v>
      </c>
      <c r="B13" s="1116" t="str">
        <f>'预评函-1'!A18</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本次评估采用的主估价方法为基准地价系数修正法和基准地价系数修正法。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1279.97</v>
      </c>
    </row>
    <row r="44" spans="1:2">
      <c r="A44" s="1115" t="s">
        <v>575</v>
      </c>
      <c r="B44" s="1116" t="str">
        <f>'预评函-3'!C2</f>
        <v>(分摊)土地面积</v>
      </c>
    </row>
    <row r="45" spans="1:2">
      <c r="A45" s="1115" t="s">
        <v>547</v>
      </c>
      <c r="B45" s="1116" t="e">
        <f>'预评函-3'!C4</f>
        <v>#REF!</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18" sqref="H18"/>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2574</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2575</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2287</v>
      </c>
      <c r="C17" s="1438"/>
    </row>
    <row r="18" spans="1:3">
      <c r="A18" s="1437" t="s">
        <v>1046</v>
      </c>
      <c r="B18" s="1437" t="s">
        <v>2430</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8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9"/>
      <c r="B54" s="1443" t="s">
        <v>385</v>
      </c>
      <c r="C54" s="1441" t="s">
        <v>583</v>
      </c>
    </row>
    <row r="55" spans="1:4">
      <c r="A55" s="3289"/>
      <c r="B55" s="1443" t="s">
        <v>386</v>
      </c>
      <c r="C55" s="1441" t="s">
        <v>584</v>
      </c>
    </row>
    <row r="56" spans="1:4">
      <c r="A56" s="3289"/>
      <c r="B56" s="1443" t="s">
        <v>387</v>
      </c>
      <c r="C56" s="1441" t="s">
        <v>588</v>
      </c>
    </row>
    <row r="57" spans="1:4">
      <c r="A57" s="328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2497</v>
      </c>
      <c r="B1" s="2751"/>
      <c r="C1" s="2751"/>
      <c r="D1" s="2751"/>
      <c r="E1" s="2751"/>
      <c r="F1" s="2752"/>
      <c r="I1" s="3129" t="s">
        <v>2590</v>
      </c>
      <c r="J1" s="2777"/>
      <c r="K1" s="2777"/>
      <c r="L1" s="2777"/>
      <c r="M1" s="2777"/>
      <c r="N1" s="2962"/>
      <c r="O1" s="2962"/>
      <c r="P1" s="2962"/>
      <c r="Q1" s="2962"/>
      <c r="R1" s="2962"/>
    </row>
    <row r="2" spans="1:18">
      <c r="A2" s="2754"/>
      <c r="B2" s="2755"/>
      <c r="C2" s="2755"/>
      <c r="D2" s="2755"/>
      <c r="E2" s="2755"/>
      <c r="F2" s="2756"/>
      <c r="I2" s="3290" t="s">
        <v>2577</v>
      </c>
      <c r="J2" s="3290"/>
      <c r="K2" s="3290"/>
      <c r="L2" s="3290"/>
      <c r="M2" s="3290"/>
      <c r="N2" s="3290"/>
      <c r="O2" s="3290"/>
      <c r="P2" s="3290"/>
      <c r="Q2" s="3290"/>
      <c r="R2" s="3290"/>
    </row>
    <row r="3" spans="1:18">
      <c r="A3" s="2757" t="s">
        <v>2498</v>
      </c>
      <c r="B3" s="2758">
        <f>项目基本情况!D3</f>
        <v>45467</v>
      </c>
      <c r="C3" s="2760"/>
      <c r="D3" s="2760"/>
      <c r="E3" s="2760"/>
      <c r="F3" s="2756"/>
      <c r="I3" s="2772"/>
      <c r="J3" s="2772" t="s">
        <v>2581</v>
      </c>
      <c r="K3" s="2772" t="s">
        <v>2582</v>
      </c>
      <c r="L3" s="2772" t="s">
        <v>2583</v>
      </c>
      <c r="M3" s="2772" t="s">
        <v>2584</v>
      </c>
      <c r="N3" s="3130" t="s">
        <v>2585</v>
      </c>
      <c r="O3" s="3130" t="s">
        <v>2586</v>
      </c>
      <c r="P3" s="3130" t="s">
        <v>2587</v>
      </c>
      <c r="Q3" s="3130" t="s">
        <v>2588</v>
      </c>
      <c r="R3" s="3130" t="s">
        <v>2589</v>
      </c>
    </row>
    <row r="4" spans="1:18">
      <c r="A4" s="2757" t="s">
        <v>2499</v>
      </c>
      <c r="B4" s="2760" t="s">
        <v>2500</v>
      </c>
      <c r="C4" s="2760" t="s">
        <v>2501</v>
      </c>
      <c r="D4" s="2760" t="s">
        <v>2502</v>
      </c>
      <c r="E4" s="2760" t="s">
        <v>2503</v>
      </c>
      <c r="F4" s="2756"/>
      <c r="I4" s="2772" t="s">
        <v>2578</v>
      </c>
      <c r="J4" s="2772">
        <v>80</v>
      </c>
      <c r="K4" s="2772">
        <v>70</v>
      </c>
      <c r="L4" s="2772">
        <v>20</v>
      </c>
      <c r="M4" s="2772">
        <v>30</v>
      </c>
      <c r="N4" s="2760">
        <v>45</v>
      </c>
      <c r="O4" s="2760">
        <v>60</v>
      </c>
      <c r="P4" s="2760">
        <v>50</v>
      </c>
      <c r="Q4" s="2760">
        <v>20</v>
      </c>
      <c r="R4" s="2760">
        <v>375</v>
      </c>
    </row>
    <row r="5" spans="1:18">
      <c r="A5" s="2761">
        <v>40</v>
      </c>
      <c r="B5" s="2758">
        <v>46375</v>
      </c>
      <c r="C5" s="2760">
        <f>ROUNDDOWN(MIN((B5-B3)/365,A5),2)</f>
        <v>2.48</v>
      </c>
      <c r="D5" s="2762">
        <f>IF(ISERROR(ROUND(POWER(1+E5,A5-C5)*(POWER(1+E5,C5)-1)/(POWER(1+E5,A5)-1),3)),0,ROUND(POWER(1+E5,A5-C5)*(POWER(1+E5,C5)-1)/(POWER(1+E5,A5)-1),4))</f>
        <v>0.1171</v>
      </c>
      <c r="E5" s="2763">
        <v>0.04</v>
      </c>
      <c r="F5" s="2756"/>
      <c r="I5" s="2772" t="s">
        <v>2579</v>
      </c>
      <c r="J5" s="2772">
        <v>70</v>
      </c>
      <c r="K5" s="2772">
        <v>60</v>
      </c>
      <c r="L5" s="2772">
        <v>15</v>
      </c>
      <c r="M5" s="2772">
        <v>25</v>
      </c>
      <c r="N5" s="2760">
        <v>40</v>
      </c>
      <c r="O5" s="2760">
        <v>50</v>
      </c>
      <c r="P5" s="2760">
        <v>40</v>
      </c>
      <c r="Q5" s="2760">
        <v>15</v>
      </c>
      <c r="R5" s="2760">
        <v>315</v>
      </c>
    </row>
    <row r="6" spans="1:18">
      <c r="A6" s="2761">
        <v>50</v>
      </c>
      <c r="B6" s="2758">
        <v>50028</v>
      </c>
      <c r="C6" s="2760">
        <f>ROUNDDOWN(MIN((B6-B3)/365,A6),2)</f>
        <v>12.49</v>
      </c>
      <c r="D6" s="2762">
        <f>IF(ISERROR(ROUND(POWER(1+E6,A6-C6)*(POWER(1+E6,C6)-1)/(POWER(1+E6,A6)-1),3)),0,ROUND(POWER(1+E6,A6-C6)*(POWER(1+E6,C6)-1)/(POWER(1+E6,A6)-1),4))</f>
        <v>0.45069999999999999</v>
      </c>
      <c r="E6" s="2763">
        <v>0.04</v>
      </c>
      <c r="F6" s="2756"/>
      <c r="I6" s="2772" t="s">
        <v>2580</v>
      </c>
      <c r="J6" s="2772">
        <v>60</v>
      </c>
      <c r="K6" s="2772">
        <v>50</v>
      </c>
      <c r="L6" s="2772">
        <v>10</v>
      </c>
      <c r="M6" s="2772">
        <v>20</v>
      </c>
      <c r="N6" s="2760">
        <v>35</v>
      </c>
      <c r="O6" s="2760">
        <v>40</v>
      </c>
      <c r="P6" s="2760">
        <v>30</v>
      </c>
      <c r="Q6" s="2760">
        <v>10</v>
      </c>
      <c r="R6" s="2760">
        <v>255</v>
      </c>
    </row>
    <row r="7" spans="1:18">
      <c r="A7" s="2761">
        <v>70</v>
      </c>
      <c r="B7" s="2758">
        <v>57333</v>
      </c>
      <c r="C7" s="2760">
        <f>ROUNDDOWN(MIN((B7-B3)/365,A7),2)</f>
        <v>32.5</v>
      </c>
      <c r="D7" s="2762">
        <f>IF(ISERROR(ROUND(POWER(1+E7,A7-C7)*(POWER(1+E7,C7)-1)/(POWER(1+E7,A7)-1),3)),0,ROUND(POWER(1+E7,A7-C7)*(POWER(1+E7,C7)-1)/(POWER(1+E7,A7)-1),4))</f>
        <v>0.76990000000000003</v>
      </c>
      <c r="E7" s="2763">
        <v>0.04</v>
      </c>
      <c r="F7" s="2756"/>
    </row>
    <row r="8" spans="1:18">
      <c r="A8" s="2754"/>
      <c r="B8" s="2755"/>
      <c r="C8" s="2755"/>
      <c r="D8" s="2755"/>
      <c r="E8" s="2755"/>
      <c r="F8" s="2756"/>
    </row>
    <row r="9" spans="1:18">
      <c r="A9" s="2757" t="s">
        <v>2504</v>
      </c>
      <c r="B9" s="2760"/>
      <c r="C9" s="2760"/>
      <c r="D9" s="2760"/>
      <c r="E9" s="2760"/>
      <c r="F9" s="2764"/>
    </row>
    <row r="10" spans="1:18">
      <c r="A10" s="2757" t="s">
        <v>2505</v>
      </c>
      <c r="B10" s="2760"/>
      <c r="C10" s="2760"/>
      <c r="D10" s="2760" t="s">
        <v>2503</v>
      </c>
      <c r="E10" s="2760"/>
      <c r="F10" s="2764" t="s">
        <v>2502</v>
      </c>
    </row>
    <row r="11" spans="1:18">
      <c r="A11" s="2757" t="s">
        <v>2506</v>
      </c>
      <c r="B11" s="2765">
        <v>70</v>
      </c>
      <c r="C11" s="2760" t="s">
        <v>2507</v>
      </c>
      <c r="D11" s="2765">
        <v>4.4999999999999998E-2</v>
      </c>
      <c r="E11" s="2760" t="s">
        <v>2508</v>
      </c>
      <c r="F11" s="2766">
        <f>ROUND(1-(1/(POWER(1+D11,B11))),4)</f>
        <v>0.95409999999999995</v>
      </c>
    </row>
    <row r="12" spans="1:18">
      <c r="A12" s="2757" t="s">
        <v>2509</v>
      </c>
      <c r="B12" s="2765">
        <v>40</v>
      </c>
      <c r="C12" s="2760" t="s">
        <v>2510</v>
      </c>
      <c r="D12" s="2765">
        <v>4.4999999999999998E-2</v>
      </c>
      <c r="E12" s="2760" t="s">
        <v>2511</v>
      </c>
      <c r="F12" s="2766">
        <f>ROUND(1-(1/(POWER(1+D12,B12))),4)</f>
        <v>0.82809999999999995</v>
      </c>
    </row>
    <row r="13" spans="1:18">
      <c r="A13" s="2757" t="s">
        <v>2512</v>
      </c>
      <c r="B13" s="2760"/>
      <c r="C13" s="2760"/>
      <c r="D13" s="2755"/>
      <c r="E13" s="2755"/>
      <c r="F13" s="2756"/>
    </row>
    <row r="14" spans="1:18">
      <c r="A14" s="2757" t="s">
        <v>2513</v>
      </c>
      <c r="B14" s="2765">
        <v>5000</v>
      </c>
      <c r="C14" s="2759"/>
      <c r="D14" s="2755"/>
      <c r="E14" s="2755"/>
      <c r="F14" s="2756"/>
    </row>
    <row r="15" spans="1:18">
      <c r="A15" s="2757" t="s">
        <v>2514</v>
      </c>
      <c r="B15" s="2760">
        <f>ROUND(B14*F12/F11,2)</f>
        <v>4339.6899999999996</v>
      </c>
      <c r="C15" s="2760">
        <f>ROUND(F12/F11,4)</f>
        <v>0.8679</v>
      </c>
      <c r="D15" s="2755"/>
      <c r="E15" s="2755"/>
      <c r="F15" s="2756"/>
    </row>
    <row r="16" spans="1:18">
      <c r="A16" s="2757" t="s">
        <v>2515</v>
      </c>
      <c r="B16" s="2760"/>
      <c r="C16" s="2760"/>
      <c r="D16" s="2755"/>
      <c r="E16" s="2755"/>
      <c r="F16" s="2756"/>
    </row>
    <row r="17" spans="1:13">
      <c r="A17" s="2757" t="s">
        <v>2514</v>
      </c>
      <c r="B17" s="2765">
        <v>4810</v>
      </c>
      <c r="C17" s="2759"/>
      <c r="D17" s="2755"/>
      <c r="E17" s="2755"/>
      <c r="F17" s="2756"/>
    </row>
    <row r="18" spans="1:13" ht="14.25" thickBot="1">
      <c r="A18" s="2767" t="s">
        <v>2513</v>
      </c>
      <c r="B18" s="2768">
        <f>ROUND(B17*F11/F12,2)</f>
        <v>5541.87</v>
      </c>
      <c r="C18" s="2768">
        <f>ROUND(F11/F12,4)</f>
        <v>1.1521999999999999</v>
      </c>
      <c r="D18" s="2769"/>
      <c r="E18" s="2769"/>
      <c r="F18" s="2770"/>
    </row>
    <row r="19" spans="1:13" ht="14.25" thickBot="1"/>
    <row r="20" spans="1:13" s="2803" customFormat="1" ht="14.25" thickTop="1">
      <c r="A20" s="2800" t="s">
        <v>2516</v>
      </c>
      <c r="B20" s="2801"/>
      <c r="C20" s="2801"/>
      <c r="D20" s="2801"/>
      <c r="E20" s="2801"/>
      <c r="F20" s="2801"/>
      <c r="G20" s="2802"/>
      <c r="I20" s="2804" t="s">
        <v>2561</v>
      </c>
      <c r="J20" s="2804" t="s">
        <v>2566</v>
      </c>
      <c r="K20" s="2804"/>
      <c r="L20" s="2804"/>
      <c r="M20" s="2804"/>
    </row>
    <row r="21" spans="1:13">
      <c r="A21" s="2771"/>
      <c r="B21" s="2772" t="s">
        <v>2517</v>
      </c>
      <c r="C21" s="2772" t="s">
        <v>2518</v>
      </c>
      <c r="D21" s="2772" t="s">
        <v>2519</v>
      </c>
      <c r="E21" s="2772" t="s">
        <v>2520</v>
      </c>
      <c r="F21" s="2772" t="s">
        <v>2521</v>
      </c>
      <c r="G21" s="2773" t="s">
        <v>2522</v>
      </c>
      <c r="I21" s="2794">
        <v>5</v>
      </c>
      <c r="J21" s="2794">
        <v>54.2</v>
      </c>
    </row>
    <row r="22" spans="1:13">
      <c r="A22" s="2771" t="s">
        <v>2523</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2524</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2564</v>
      </c>
      <c r="M23" s="2794" t="s">
        <v>2565</v>
      </c>
    </row>
    <row r="24" spans="1:13">
      <c r="A24" s="2771" t="s">
        <v>2525</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2563</v>
      </c>
      <c r="M24" s="2794">
        <v>10</v>
      </c>
    </row>
    <row r="25" spans="1:13">
      <c r="A25" s="2771" t="s">
        <v>2526</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2567</v>
      </c>
      <c r="M25" s="2794">
        <v>8</v>
      </c>
    </row>
    <row r="26" spans="1:13">
      <c r="A26" s="2776"/>
      <c r="B26" s="2777"/>
      <c r="C26" s="2777"/>
      <c r="D26" s="2777"/>
      <c r="E26" s="2777"/>
      <c r="F26" s="2777"/>
      <c r="G26" s="2778"/>
      <c r="I26" s="2794">
        <v>30</v>
      </c>
      <c r="J26" s="2794">
        <v>90.5</v>
      </c>
      <c r="K26" s="2794">
        <f t="shared" si="2"/>
        <v>4.2000000000000028</v>
      </c>
      <c r="L26" s="2794" t="s">
        <v>2568</v>
      </c>
      <c r="M26" s="2794">
        <v>5</v>
      </c>
    </row>
    <row r="27" spans="1:13">
      <c r="A27" s="2776" t="s">
        <v>2527</v>
      </c>
      <c r="B27" s="2777"/>
      <c r="C27" s="2777"/>
      <c r="D27" s="2777"/>
      <c r="E27" s="2777"/>
      <c r="F27" s="2777"/>
      <c r="G27" s="2778"/>
      <c r="I27" s="2794">
        <v>35</v>
      </c>
      <c r="J27" s="2794">
        <v>93.8</v>
      </c>
      <c r="K27" s="2794">
        <f t="shared" si="2"/>
        <v>3.2999999999999972</v>
      </c>
      <c r="L27" s="2794" t="s">
        <v>2569</v>
      </c>
      <c r="M27" s="2794">
        <v>3</v>
      </c>
    </row>
    <row r="28" spans="1:13">
      <c r="A28" s="2776" t="s">
        <v>2528</v>
      </c>
      <c r="B28" s="2777"/>
      <c r="C28" s="2777"/>
      <c r="D28" s="2777"/>
      <c r="E28" s="2777"/>
      <c r="F28" s="2777"/>
      <c r="G28" s="2778"/>
      <c r="I28" s="2794">
        <v>40</v>
      </c>
      <c r="J28" s="2794">
        <v>96.4</v>
      </c>
      <c r="K28" s="2794">
        <f t="shared" si="2"/>
        <v>2.6000000000000085</v>
      </c>
      <c r="L28" s="2794" t="s">
        <v>2570</v>
      </c>
      <c r="M28" s="2794">
        <v>2</v>
      </c>
    </row>
    <row r="29" spans="1:13">
      <c r="A29" s="2776" t="s">
        <v>2529</v>
      </c>
      <c r="B29" s="2777"/>
      <c r="C29" s="2777"/>
      <c r="D29" s="2777"/>
      <c r="E29" s="2777"/>
      <c r="F29" s="2777"/>
      <c r="G29" s="2778"/>
      <c r="I29" s="2794">
        <v>45</v>
      </c>
      <c r="J29" s="2794">
        <v>98.4</v>
      </c>
      <c r="K29" s="2794">
        <f t="shared" si="2"/>
        <v>2</v>
      </c>
    </row>
    <row r="30" spans="1:13">
      <c r="A30" s="2776" t="s">
        <v>2530</v>
      </c>
      <c r="B30" s="2777"/>
      <c r="C30" s="2777"/>
      <c r="D30" s="2777"/>
      <c r="E30" s="2777"/>
      <c r="F30" s="2777"/>
      <c r="G30" s="2778"/>
      <c r="I30" s="2794">
        <v>50</v>
      </c>
      <c r="J30" s="2794">
        <v>100</v>
      </c>
      <c r="K30" s="2794">
        <f t="shared" si="2"/>
        <v>1.5999999999999943</v>
      </c>
    </row>
    <row r="31" spans="1:13">
      <c r="A31" s="2776" t="s">
        <v>2531</v>
      </c>
      <c r="B31" s="2777"/>
      <c r="C31" s="2777"/>
      <c r="D31" s="2777"/>
      <c r="E31" s="2777"/>
      <c r="F31" s="2777"/>
      <c r="G31" s="2778"/>
      <c r="I31" s="2794" t="s">
        <v>2562</v>
      </c>
    </row>
    <row r="32" spans="1:13">
      <c r="A32" s="2776" t="s">
        <v>2532</v>
      </c>
      <c r="B32" s="2777"/>
      <c r="C32" s="2777"/>
      <c r="D32" s="2777"/>
      <c r="E32" s="2777"/>
      <c r="F32" s="2777"/>
      <c r="G32" s="2778"/>
    </row>
    <row r="33" spans="1:13">
      <c r="A33" s="2776" t="s">
        <v>2533</v>
      </c>
      <c r="B33" s="2777"/>
      <c r="C33" s="2777"/>
      <c r="D33" s="2777"/>
      <c r="E33" s="2777"/>
      <c r="F33" s="2777"/>
      <c r="G33" s="2778"/>
      <c r="I33" s="2794" t="s">
        <v>2561</v>
      </c>
      <c r="J33" s="2794" t="s">
        <v>2571</v>
      </c>
    </row>
    <row r="34" spans="1:13">
      <c r="A34" s="2776" t="s">
        <v>2534</v>
      </c>
      <c r="B34" s="2777"/>
      <c r="C34" s="2777"/>
      <c r="D34" s="2777"/>
      <c r="E34" s="2777"/>
      <c r="F34" s="2777"/>
      <c r="G34" s="2778"/>
      <c r="I34" s="2794">
        <v>5</v>
      </c>
      <c r="J34" s="2794">
        <v>55.1</v>
      </c>
    </row>
    <row r="35" spans="1:13">
      <c r="A35" s="2776" t="s">
        <v>2535</v>
      </c>
      <c r="B35" s="2777"/>
      <c r="C35" s="2777"/>
      <c r="D35" s="2777"/>
      <c r="E35" s="2777"/>
      <c r="F35" s="2777"/>
      <c r="G35" s="2778"/>
      <c r="I35" s="2794">
        <v>10</v>
      </c>
      <c r="J35" s="2794">
        <v>67</v>
      </c>
      <c r="K35" s="2794">
        <f>J35-J34</f>
        <v>11.899999999999999</v>
      </c>
    </row>
    <row r="36" spans="1:13">
      <c r="A36" s="2776" t="s">
        <v>2536</v>
      </c>
      <c r="B36" s="2777"/>
      <c r="C36" s="2777"/>
      <c r="D36" s="2777"/>
      <c r="E36" s="2777"/>
      <c r="F36" s="2777"/>
      <c r="G36" s="2778"/>
      <c r="I36" s="2794">
        <v>15</v>
      </c>
      <c r="J36" s="2794">
        <v>76.3</v>
      </c>
      <c r="K36" s="2794">
        <f t="shared" ref="K36:K41" si="3">J36-J35</f>
        <v>9.2999999999999972</v>
      </c>
      <c r="L36" s="2794" t="s">
        <v>2564</v>
      </c>
      <c r="M36" s="2794" t="s">
        <v>2565</v>
      </c>
    </row>
    <row r="37" spans="1:13">
      <c r="A37" s="2776" t="s">
        <v>2537</v>
      </c>
      <c r="B37" s="2777"/>
      <c r="C37" s="2777"/>
      <c r="D37" s="2777"/>
      <c r="E37" s="2777"/>
      <c r="F37" s="2777"/>
      <c r="G37" s="2778"/>
      <c r="I37" s="2794">
        <v>20</v>
      </c>
      <c r="J37" s="2794">
        <v>83.6</v>
      </c>
      <c r="K37" s="2794">
        <f t="shared" si="3"/>
        <v>7.2999999999999972</v>
      </c>
      <c r="L37" s="2794" t="s">
        <v>2563</v>
      </c>
      <c r="M37" s="2794">
        <v>10</v>
      </c>
    </row>
    <row r="38" spans="1:13">
      <c r="A38" s="2776" t="s">
        <v>2538</v>
      </c>
      <c r="B38" s="2777"/>
      <c r="C38" s="2777"/>
      <c r="D38" s="2777"/>
      <c r="E38" s="2777"/>
      <c r="F38" s="2777"/>
      <c r="G38" s="2778"/>
      <c r="I38" s="2794">
        <v>25</v>
      </c>
      <c r="J38" s="2794">
        <v>89.3</v>
      </c>
      <c r="K38" s="2794">
        <f t="shared" si="3"/>
        <v>5.7000000000000028</v>
      </c>
      <c r="L38" s="2794" t="s">
        <v>2567</v>
      </c>
      <c r="M38" s="2794">
        <v>8</v>
      </c>
    </row>
    <row r="39" spans="1:13">
      <c r="A39" s="2776"/>
      <c r="B39" s="2777"/>
      <c r="C39" s="2777"/>
      <c r="D39" s="2777"/>
      <c r="E39" s="2777"/>
      <c r="F39" s="2777"/>
      <c r="G39" s="2778"/>
      <c r="I39" s="2794">
        <v>30</v>
      </c>
      <c r="J39" s="2794">
        <v>93.8</v>
      </c>
      <c r="K39" s="2794">
        <f t="shared" si="3"/>
        <v>4.5</v>
      </c>
      <c r="L39" s="2794" t="s">
        <v>2568</v>
      </c>
      <c r="M39" s="2794">
        <v>6</v>
      </c>
    </row>
    <row r="40" spans="1:13">
      <c r="A40" s="2779" t="s">
        <v>2539</v>
      </c>
      <c r="B40" s="2780"/>
      <c r="C40" s="2780"/>
      <c r="D40" s="2780"/>
      <c r="E40" s="2780"/>
      <c r="F40" s="2780"/>
      <c r="G40" s="2781"/>
      <c r="I40" s="2794">
        <v>35</v>
      </c>
      <c r="J40" s="2794">
        <v>97.2</v>
      </c>
      <c r="K40" s="2794">
        <f t="shared" si="3"/>
        <v>3.4000000000000057</v>
      </c>
      <c r="L40" s="2794" t="s">
        <v>2569</v>
      </c>
      <c r="M40" s="2794">
        <v>3</v>
      </c>
    </row>
    <row r="41" spans="1:13">
      <c r="A41" s="2782" t="s">
        <v>2540</v>
      </c>
      <c r="B41" s="2783" t="s">
        <v>2541</v>
      </c>
      <c r="C41" s="2784" t="s">
        <v>2542</v>
      </c>
      <c r="D41" s="2784" t="s">
        <v>2543</v>
      </c>
      <c r="E41" s="2785"/>
      <c r="F41" s="2786"/>
      <c r="G41" s="2787"/>
      <c r="I41" s="2794">
        <v>40</v>
      </c>
      <c r="J41" s="2794">
        <v>100</v>
      </c>
      <c r="K41" s="2794">
        <f t="shared" si="3"/>
        <v>2.7999999999999972</v>
      </c>
    </row>
    <row r="42" spans="1:13">
      <c r="A42" s="2782" t="s">
        <v>2544</v>
      </c>
      <c r="B42" s="2783" t="s">
        <v>2545</v>
      </c>
      <c r="C42" s="2784" t="s">
        <v>2546</v>
      </c>
      <c r="D42" s="2788" t="s">
        <v>2547</v>
      </c>
      <c r="E42" s="2780" t="s">
        <v>2548</v>
      </c>
      <c r="F42" s="2780"/>
      <c r="G42" s="2781"/>
    </row>
    <row r="43" spans="1:13">
      <c r="A43" s="2782" t="s">
        <v>2549</v>
      </c>
      <c r="B43" s="2783" t="s">
        <v>2550</v>
      </c>
      <c r="C43" s="2784" t="s">
        <v>2551</v>
      </c>
      <c r="D43" s="2784" t="s">
        <v>2552</v>
      </c>
      <c r="E43" s="2785" t="s">
        <v>2553</v>
      </c>
      <c r="F43" s="2786"/>
      <c r="G43" s="2787"/>
      <c r="I43" s="2794" t="s">
        <v>2561</v>
      </c>
      <c r="J43" s="2794" t="s">
        <v>2572</v>
      </c>
    </row>
    <row r="44" spans="1:13">
      <c r="A44" s="2782" t="s">
        <v>2554</v>
      </c>
      <c r="B44" s="2783" t="s">
        <v>2555</v>
      </c>
      <c r="C44" s="2784" t="s">
        <v>2556</v>
      </c>
      <c r="D44" s="2788">
        <v>0.5</v>
      </c>
      <c r="E44" s="2785" t="s">
        <v>2557</v>
      </c>
      <c r="F44" s="2786"/>
      <c r="G44" s="2787"/>
      <c r="I44" s="2794">
        <v>30</v>
      </c>
      <c r="J44" s="2794">
        <v>81.7</v>
      </c>
    </row>
    <row r="45" spans="1:13" ht="14.25" thickBot="1">
      <c r="A45" s="2789" t="s">
        <v>2558</v>
      </c>
      <c r="B45" s="2790" t="s">
        <v>2545</v>
      </c>
      <c r="C45" s="2791" t="s">
        <v>2545</v>
      </c>
      <c r="D45" s="2791" t="s">
        <v>2559</v>
      </c>
      <c r="E45" s="2792" t="s">
        <v>2560</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4"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2165</v>
      </c>
      <c r="B1" s="3291" t="str">
        <f>IF(B10="北京市","北京市",C10)&amp;F10&amp;IF(结果表!G1="在建","出让国有建设用地使用权及在建建筑物",IF(结果表!G1="土地","出让国有建设用地使用权",))&amp;B9&amp;"预评估"</f>
        <v>北京市房地产市场价值预评估</v>
      </c>
      <c r="C1" s="3292"/>
      <c r="D1" s="3292"/>
      <c r="E1" s="3292"/>
      <c r="F1" s="3292"/>
      <c r="G1" s="3292"/>
      <c r="H1" s="3292"/>
      <c r="I1" s="3293"/>
      <c r="J1" s="2240"/>
      <c r="K1" s="2178"/>
      <c r="L1" s="2179"/>
      <c r="M1" s="2179"/>
      <c r="N1" s="2177"/>
      <c r="O1" s="1462"/>
      <c r="P1" s="2177"/>
      <c r="Q1" s="2177"/>
      <c r="R1" s="2177"/>
      <c r="S1" s="1556" t="str">
        <f>IF(B10="北京市","北京市",C10)&amp;F10&amp;IF(结果表!G1="在建","出让国有建设用地使用权及在建建筑物房地产抵押价值",IF(结果表!G1="土地","出让国有建设用地使用权抵押价值",B9))</f>
        <v>北京市房地产市场价值</v>
      </c>
      <c r="T1" s="1613"/>
      <c r="U1" s="1613"/>
      <c r="V1" s="1613"/>
      <c r="W1" s="1613"/>
      <c r="X1" s="1613"/>
      <c r="Y1" s="1613"/>
      <c r="Z1" s="1613"/>
      <c r="AA1" s="1613"/>
      <c r="AB1" s="1613"/>
    </row>
    <row r="2" spans="1:30">
      <c r="A2" s="2177" t="s">
        <v>2166</v>
      </c>
      <c r="B2" s="121"/>
      <c r="D2" s="2442"/>
      <c r="E2" s="2435"/>
      <c r="F2" s="2435"/>
      <c r="G2" s="2436"/>
      <c r="H2" s="2436"/>
      <c r="I2" s="2436"/>
      <c r="J2" s="2240"/>
      <c r="K2" s="2178"/>
      <c r="L2" s="2179"/>
      <c r="M2" s="2179"/>
      <c r="N2" s="2177"/>
      <c r="O2" s="1462"/>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3" t="s">
        <v>2167</v>
      </c>
      <c r="B3" s="2180">
        <v>45467</v>
      </c>
      <c r="C3" s="2181" t="s">
        <v>2168</v>
      </c>
      <c r="D3" s="2180">
        <f>B3</f>
        <v>45467</v>
      </c>
      <c r="E3" s="2436"/>
      <c r="F3" s="2436"/>
      <c r="G3" s="2436"/>
      <c r="H3" s="2436"/>
      <c r="I3" s="2436"/>
      <c r="J3" s="2240"/>
      <c r="K3" s="2178"/>
      <c r="L3" s="2179"/>
      <c r="M3" s="2179"/>
      <c r="N3" s="2177"/>
      <c r="O3" s="1462"/>
      <c r="P3" s="2177"/>
      <c r="Q3" s="2177"/>
      <c r="R3" s="2177"/>
      <c r="S3" s="1556"/>
      <c r="T3" s="1613"/>
      <c r="U3" s="1613"/>
      <c r="V3" s="1613"/>
      <c r="W3" s="1613"/>
      <c r="X3" s="1613"/>
      <c r="Y3" s="1613"/>
      <c r="Z3" s="1613"/>
      <c r="AA3" s="1613"/>
      <c r="AB3" s="1613"/>
    </row>
    <row r="4" spans="1:30" ht="13.5" thickBot="1">
      <c r="A4" s="1023"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2"/>
      <c r="P4" s="2177"/>
      <c r="Q4" s="2177"/>
      <c r="R4" s="2177"/>
      <c r="S4" s="1556"/>
      <c r="T4" s="1613"/>
      <c r="U4" s="1613"/>
      <c r="V4" s="1613"/>
      <c r="W4" s="1613"/>
      <c r="X4" s="1613"/>
      <c r="Y4" s="1613"/>
      <c r="Z4" s="1613"/>
      <c r="AA4" s="1613"/>
      <c r="AB4" s="1613"/>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2"/>
      <c r="P5" s="2177"/>
      <c r="Q5" s="2177"/>
      <c r="R5" s="2177"/>
      <c r="S5" s="1613"/>
      <c r="T5" s="1613"/>
      <c r="U5" s="1613"/>
      <c r="V5" s="1613"/>
      <c r="W5" s="1613"/>
      <c r="X5" s="1613"/>
      <c r="Y5" s="1613"/>
      <c r="Z5" s="1613"/>
      <c r="AA5" s="1613"/>
      <c r="AB5" s="1613"/>
    </row>
    <row r="6" spans="1:30">
      <c r="A6" s="2189" t="s">
        <v>2171</v>
      </c>
      <c r="B6" s="2190"/>
      <c r="C6" s="2191"/>
      <c r="D6" s="2192"/>
      <c r="E6" s="2435"/>
      <c r="F6" s="2436"/>
      <c r="G6" s="2436"/>
      <c r="H6" s="2436"/>
      <c r="I6" s="2436"/>
      <c r="J6" s="2240"/>
      <c r="K6" s="2395" t="str">
        <f>IF(COUNTIF(B6,"*上海银行*"),"上海银行","")</f>
        <v/>
      </c>
      <c r="L6" s="2393"/>
      <c r="M6" s="2393"/>
      <c r="N6" s="2240"/>
      <c r="O6" s="1665"/>
      <c r="P6" s="2240"/>
      <c r="Q6" s="2240"/>
      <c r="R6" s="2240"/>
    </row>
    <row r="7" spans="1:30">
      <c r="A7" s="2189" t="s">
        <v>2172</v>
      </c>
      <c r="B7" s="2193"/>
      <c r="C7" s="2191"/>
      <c r="D7" s="2192"/>
      <c r="E7" s="2435"/>
      <c r="F7" s="2436"/>
      <c r="G7" s="2436"/>
      <c r="H7" s="2436"/>
      <c r="I7" s="2436"/>
      <c r="J7" s="2240"/>
      <c r="K7" s="2396"/>
      <c r="L7" s="2393"/>
      <c r="M7" s="2393"/>
      <c r="N7" s="2240"/>
      <c r="O7" s="1665"/>
      <c r="P7" s="2240"/>
      <c r="Q7" s="2240"/>
      <c r="R7" s="2240"/>
    </row>
    <row r="8" spans="1:30">
      <c r="A8" s="2194" t="s">
        <v>2173</v>
      </c>
      <c r="B8" s="2195" t="s">
        <v>3562</v>
      </c>
      <c r="C8" s="2196"/>
      <c r="D8" s="3294" t="s">
        <v>2174</v>
      </c>
      <c r="E8" s="2197"/>
      <c r="F8" s="2198"/>
      <c r="G8" s="2436"/>
      <c r="H8" s="2436"/>
      <c r="I8" s="2436"/>
      <c r="J8" s="2240"/>
      <c r="K8" s="2394"/>
      <c r="L8" s="2393"/>
      <c r="M8" s="2393"/>
      <c r="N8" s="2240"/>
      <c r="O8" s="1665"/>
      <c r="P8" s="2240"/>
      <c r="Q8" s="2240"/>
      <c r="R8" s="2240"/>
    </row>
    <row r="9" spans="1:30" ht="13.5" thickBot="1">
      <c r="A9" s="2199" t="s">
        <v>2175</v>
      </c>
      <c r="B9" s="2200" t="s">
        <v>3563</v>
      </c>
      <c r="C9" s="2201"/>
      <c r="D9" s="3295"/>
      <c r="E9" s="2200"/>
      <c r="F9" s="2202"/>
      <c r="G9" s="2437"/>
      <c r="H9" s="2437"/>
      <c r="I9" s="2437"/>
      <c r="J9" s="2240"/>
      <c r="K9" s="2396"/>
      <c r="L9" s="2393"/>
      <c r="M9" s="2393"/>
      <c r="N9" s="2240"/>
      <c r="O9" s="1665"/>
      <c r="P9" s="2240"/>
      <c r="Q9" s="2240"/>
      <c r="R9" s="2240"/>
    </row>
    <row r="10" spans="1:30" ht="13.5" thickTop="1">
      <c r="A10" s="2203" t="s">
        <v>2176</v>
      </c>
      <c r="B10" s="2204" t="s">
        <v>3561</v>
      </c>
      <c r="C10" s="2205"/>
      <c r="D10" s="2188"/>
      <c r="E10" s="2206" t="s">
        <v>2177</v>
      </c>
      <c r="F10" s="2438"/>
      <c r="G10" s="2439"/>
      <c r="H10" s="2440"/>
      <c r="I10" s="2441"/>
      <c r="J10" s="2240"/>
      <c r="K10" s="2396"/>
      <c r="L10" s="2393"/>
      <c r="M10" s="2393"/>
      <c r="N10" s="2240"/>
      <c r="O10" s="1665"/>
      <c r="P10" s="2240"/>
      <c r="Q10" s="2240"/>
      <c r="R10" s="2240"/>
    </row>
    <row r="11" spans="1:30">
      <c r="A11" s="2207" t="s">
        <v>2178</v>
      </c>
      <c r="B11" s="2208" t="s">
        <v>3560</v>
      </c>
      <c r="C11" s="2209"/>
      <c r="D11" s="2210"/>
      <c r="E11" s="2177"/>
      <c r="F11" s="2177"/>
      <c r="G11" s="2177"/>
      <c r="H11" s="2177"/>
      <c r="I11" s="2177"/>
      <c r="J11" s="2796"/>
      <c r="K11" s="2393"/>
      <c r="L11" s="2393"/>
      <c r="M11" s="2393"/>
      <c r="N11" s="2240"/>
      <c r="O11" s="1665"/>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2573</v>
      </c>
      <c r="J12" s="2797"/>
      <c r="K12" s="2393"/>
      <c r="L12" s="2393"/>
      <c r="M12" s="2240"/>
      <c r="N12" s="1665"/>
      <c r="O12" s="2240"/>
      <c r="P12" s="2240"/>
      <c r="Q12" s="2240"/>
      <c r="AD12" s="1613"/>
    </row>
    <row r="13" spans="1:30">
      <c r="A13" s="3116" t="s">
        <v>3331</v>
      </c>
      <c r="B13" s="2213" t="s">
        <v>2187</v>
      </c>
      <c r="C13" s="799"/>
      <c r="D13" s="799">
        <v>52240</v>
      </c>
      <c r="E13" s="799"/>
      <c r="F13" s="799"/>
      <c r="G13" s="799"/>
      <c r="H13" s="799"/>
      <c r="I13" s="799"/>
      <c r="J13" s="2797"/>
      <c r="K13" s="2393"/>
      <c r="L13" s="2393"/>
      <c r="M13" s="2240"/>
      <c r="N13" s="1665"/>
      <c r="O13" s="2240"/>
      <c r="P13" s="2240"/>
      <c r="Q13" s="2240"/>
      <c r="AD13" s="1613"/>
    </row>
    <row r="14" spans="1:30">
      <c r="A14" s="1014"/>
      <c r="B14" s="2213" t="s">
        <v>2188</v>
      </c>
      <c r="C14" s="2214"/>
      <c r="D14" s="2214">
        <v>40</v>
      </c>
      <c r="E14" s="2214"/>
      <c r="F14" s="2214"/>
      <c r="G14" s="2214"/>
      <c r="H14" s="2214"/>
      <c r="I14" s="2214"/>
      <c r="J14" s="2798"/>
      <c r="K14" s="2393"/>
      <c r="L14" s="2393"/>
      <c r="M14" s="2240"/>
      <c r="N14" s="1665"/>
      <c r="O14" s="2240"/>
      <c r="P14" s="2240"/>
      <c r="Q14" s="2240"/>
      <c r="AD14" s="1613"/>
    </row>
    <row r="15" spans="1:30">
      <c r="A15" s="311"/>
      <c r="B15" s="2215" t="s">
        <v>2189</v>
      </c>
      <c r="C15" s="2216" t="str">
        <f>IF(A13="出让",IF(C13="","",ROUNDDOWN(MIN((C13-$D$3)/365,C14),2)),C14)</f>
        <v/>
      </c>
      <c r="D15" s="2216">
        <f>IF(A13="出让",IF(D13="","",ROUNDDOWN(MIN((D13-$D$3)/365,D14),2)),D14)</f>
        <v>18.55</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5"/>
      <c r="L15" s="1665"/>
      <c r="M15" s="2240"/>
      <c r="N15" s="1665"/>
      <c r="O15" s="2240"/>
      <c r="P15" s="2240"/>
      <c r="Q15" s="2240"/>
      <c r="AD15" s="1613"/>
    </row>
    <row r="16" spans="1:30">
      <c r="A16" s="2206" t="s">
        <v>2190</v>
      </c>
      <c r="B16" s="3301"/>
      <c r="C16" s="3302"/>
      <c r="D16" s="3303"/>
      <c r="E16" s="2217" t="s">
        <v>2191</v>
      </c>
      <c r="F16" s="3304"/>
      <c r="G16" s="3305"/>
      <c r="H16" s="3305"/>
      <c r="I16" s="3306"/>
      <c r="J16" s="2240"/>
      <c r="K16" s="2397"/>
      <c r="L16" s="1665"/>
      <c r="M16" s="1665"/>
      <c r="N16" s="2240"/>
      <c r="O16" s="1665"/>
      <c r="P16" s="2240"/>
      <c r="Q16" s="2240"/>
      <c r="R16" s="2240"/>
    </row>
    <row r="17" spans="1:28">
      <c r="A17" s="304" t="s">
        <v>2192</v>
      </c>
      <c r="B17" s="293" t="s">
        <v>2193</v>
      </c>
      <c r="C17" s="8">
        <f>'数据-汇总表'!E3</f>
        <v>1279.97</v>
      </c>
      <c r="D17" s="1252" t="s">
        <v>2194</v>
      </c>
      <c r="E17" s="3307" t="s">
        <v>2195</v>
      </c>
      <c r="F17" s="3308"/>
      <c r="G17" s="3308"/>
      <c r="H17" s="3308"/>
      <c r="I17" s="3309"/>
      <c r="J17" s="2240"/>
      <c r="K17" s="2398"/>
      <c r="L17" s="1665"/>
      <c r="M17" s="1665"/>
      <c r="N17" s="2240"/>
      <c r="O17" s="1665"/>
      <c r="P17" s="2240"/>
      <c r="Q17" s="2240"/>
      <c r="R17" s="2240"/>
      <c r="S17" s="2240"/>
      <c r="T17" s="2240"/>
      <c r="U17" s="2240"/>
      <c r="V17" s="2240"/>
    </row>
    <row r="18" spans="1:28" ht="24.75" thickBot="1">
      <c r="A18" s="2218" t="s">
        <v>2196</v>
      </c>
      <c r="B18" s="1023" t="s">
        <v>2197</v>
      </c>
      <c r="C18" s="2219" t="e">
        <f>'数据-汇总表'!D3</f>
        <v>#REF!</v>
      </c>
      <c r="D18" s="1025" t="s">
        <v>2198</v>
      </c>
      <c r="E18" s="3310" t="s">
        <v>2199</v>
      </c>
      <c r="F18" s="3311"/>
      <c r="G18" s="3311"/>
      <c r="H18" s="3311"/>
      <c r="I18" s="3312"/>
      <c r="J18" s="2240"/>
      <c r="K18" s="2398"/>
      <c r="L18" s="1665"/>
      <c r="M18" s="1665"/>
      <c r="N18" s="2240"/>
      <c r="O18" s="1665"/>
      <c r="P18" s="2240"/>
      <c r="Q18" s="2240"/>
      <c r="R18" s="2240"/>
      <c r="S18" s="2240"/>
      <c r="T18" s="2240"/>
      <c r="U18" s="2240"/>
      <c r="V18" s="2240"/>
    </row>
    <row r="19" spans="1:28" ht="37.5" thickTop="1" thickBot="1">
      <c r="A19" s="318" t="s">
        <v>1055</v>
      </c>
      <c r="B19" s="298" t="s">
        <v>2200</v>
      </c>
      <c r="C19" s="1451"/>
      <c r="D19" s="1452" t="s">
        <v>2201</v>
      </c>
      <c r="E19" s="1453"/>
      <c r="F19" s="1454" t="str">
        <f>IF(AND(C19="是",E19="否"),"是否提供他项权证或相关说明","")</f>
        <v/>
      </c>
      <c r="G19" s="1455"/>
      <c r="H19" s="2436"/>
      <c r="I19" s="2436"/>
      <c r="J19" s="2240"/>
      <c r="K19" s="2396"/>
      <c r="L19" s="2393"/>
      <c r="M19" s="2393"/>
      <c r="N19" s="2240"/>
      <c r="O19" s="1665"/>
      <c r="P19" s="2240"/>
      <c r="Q19" s="2240"/>
      <c r="R19" s="2240"/>
      <c r="S19" s="2240"/>
      <c r="T19" s="2240"/>
      <c r="U19" s="2240"/>
      <c r="V19" s="2240"/>
    </row>
    <row r="20" spans="1:28">
      <c r="A20" s="2411" t="s">
        <v>2202</v>
      </c>
      <c r="B20" s="3297" t="s">
        <v>2203</v>
      </c>
      <c r="C20" s="3298"/>
      <c r="D20" s="3299" t="s">
        <v>2204</v>
      </c>
      <c r="E20" s="3300"/>
      <c r="F20" s="2424" t="s">
        <v>1056</v>
      </c>
      <c r="G20" s="2436"/>
      <c r="H20" s="2436"/>
      <c r="I20" s="2436"/>
      <c r="J20" s="2240"/>
      <c r="K20" s="3296" t="s">
        <v>2205</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3"/>
      <c r="X20" s="1613"/>
      <c r="Y20" s="1613"/>
      <c r="Z20" s="1613"/>
      <c r="AA20" s="1613"/>
      <c r="AB20" s="1613"/>
    </row>
    <row r="21" spans="1:28" ht="24.75" thickBot="1">
      <c r="A21" s="2411"/>
      <c r="B21" s="2412" t="s">
        <v>2206</v>
      </c>
      <c r="C21" s="2290" t="s">
        <v>1057</v>
      </c>
      <c r="D21" s="1456" t="s">
        <v>2207</v>
      </c>
      <c r="E21" s="2413" t="s">
        <v>1057</v>
      </c>
      <c r="F21" s="2425"/>
      <c r="G21" s="2436"/>
      <c r="H21" s="2436"/>
      <c r="I21" s="2436"/>
      <c r="J21" s="2240"/>
      <c r="K21" s="3296"/>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3"/>
      <c r="X21" s="1613"/>
      <c r="Y21" s="1613"/>
      <c r="Z21" s="1613"/>
      <c r="AA21" s="1613"/>
      <c r="AB21" s="1613"/>
    </row>
    <row r="22" spans="1:28" ht="24.75" thickBot="1">
      <c r="A22" s="2411"/>
      <c r="B22" s="2414" t="s">
        <v>2208</v>
      </c>
      <c r="C22" s="2290" t="s">
        <v>1058</v>
      </c>
      <c r="D22" s="2436"/>
      <c r="E22" s="2436"/>
      <c r="F22" s="2436"/>
      <c r="G22" s="2436"/>
      <c r="H22" s="2436"/>
      <c r="I22" s="2436"/>
      <c r="J22" s="2240"/>
      <c r="K22" s="3296"/>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3"/>
      <c r="X22" s="1613"/>
      <c r="Y22" s="1613"/>
      <c r="Z22" s="1613"/>
      <c r="AA22" s="1613"/>
      <c r="AB22" s="1613"/>
    </row>
    <row r="23" spans="1:28">
      <c r="A23" s="2415" t="s">
        <v>2209</v>
      </c>
      <c r="B23" s="2287" t="s">
        <v>2210</v>
      </c>
      <c r="C23" s="2416"/>
      <c r="D23" s="2417" t="s">
        <v>2210</v>
      </c>
      <c r="E23" s="2418"/>
      <c r="F23" s="2436"/>
      <c r="G23" s="2436"/>
      <c r="H23" s="2436"/>
      <c r="I23" s="2436"/>
      <c r="J23" s="2240"/>
      <c r="K23" s="2395"/>
      <c r="L23" s="120"/>
      <c r="M23" s="2393"/>
      <c r="N23" s="2240"/>
      <c r="O23" s="1665"/>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5"/>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5"/>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5"/>
      <c r="P26" s="2240"/>
      <c r="Q26" s="2240"/>
      <c r="R26" s="2240"/>
      <c r="S26" s="2240"/>
      <c r="T26" s="2240"/>
      <c r="U26" s="2240"/>
      <c r="V26" s="2240"/>
    </row>
    <row r="27" spans="1:28" ht="13.5" thickTop="1">
      <c r="A27" s="3314" t="s">
        <v>2211</v>
      </c>
      <c r="B27" s="311" t="s">
        <v>2212</v>
      </c>
      <c r="C27" s="2220"/>
      <c r="D27" s="2221"/>
      <c r="E27" s="2436"/>
      <c r="F27" s="2436"/>
      <c r="G27" s="2436"/>
      <c r="H27" s="2436"/>
      <c r="I27" s="2436"/>
      <c r="J27" s="2240"/>
      <c r="K27" s="2397"/>
      <c r="L27" s="1665"/>
      <c r="M27" s="1665"/>
      <c r="N27" s="2240"/>
      <c r="O27" s="1665"/>
      <c r="P27" s="2240"/>
      <c r="Q27" s="2240"/>
      <c r="R27" s="2240"/>
      <c r="S27" s="2240"/>
      <c r="T27" s="2240"/>
      <c r="U27" s="2240"/>
      <c r="V27" s="2240"/>
    </row>
    <row r="28" spans="1:28">
      <c r="A28" s="3314"/>
      <c r="B28" s="293" t="s">
        <v>2213</v>
      </c>
      <c r="C28" s="2222"/>
      <c r="D28" s="2223"/>
      <c r="E28" s="2436"/>
      <c r="F28" s="2436"/>
      <c r="G28" s="2436"/>
      <c r="H28" s="2436"/>
      <c r="I28" s="2436"/>
      <c r="J28" s="2240"/>
      <c r="K28" s="2396"/>
      <c r="L28" s="2393"/>
      <c r="M28" s="2393"/>
      <c r="N28" s="2240"/>
      <c r="O28" s="1665"/>
      <c r="P28" s="2240"/>
      <c r="Q28" s="2240"/>
      <c r="R28" s="2240"/>
      <c r="S28" s="2240"/>
      <c r="T28" s="2240"/>
      <c r="U28" s="2240"/>
      <c r="V28" s="2240"/>
    </row>
    <row r="29" spans="1:28">
      <c r="A29" s="3314"/>
      <c r="B29" s="293" t="s">
        <v>2214</v>
      </c>
      <c r="C29" s="2224"/>
      <c r="D29" s="2225"/>
      <c r="E29" s="2436"/>
      <c r="F29" s="2436"/>
      <c r="G29" s="2436"/>
      <c r="H29" s="2436"/>
      <c r="I29" s="2436"/>
      <c r="J29" s="2240"/>
      <c r="K29" s="2396"/>
      <c r="L29" s="2393"/>
      <c r="M29" s="2393"/>
      <c r="N29" s="2240"/>
      <c r="O29" s="1665"/>
      <c r="P29" s="2240"/>
      <c r="Q29" s="2240"/>
      <c r="R29" s="2240"/>
      <c r="S29" s="2240"/>
      <c r="T29" s="2240"/>
      <c r="U29" s="2240"/>
      <c r="V29" s="2240"/>
    </row>
    <row r="30" spans="1:28">
      <c r="A30" s="3315"/>
      <c r="B30" s="293" t="s">
        <v>2215</v>
      </c>
      <c r="C30" s="3316"/>
      <c r="D30" s="3317"/>
      <c r="E30" s="2436"/>
      <c r="F30" s="2436"/>
      <c r="G30" s="2436"/>
      <c r="H30" s="2436"/>
      <c r="I30" s="2436"/>
      <c r="J30" s="2240"/>
      <c r="K30" s="2396"/>
      <c r="L30" s="2393"/>
      <c r="M30" s="2393"/>
      <c r="N30" s="2240"/>
      <c r="O30" s="1665"/>
      <c r="P30" s="2240"/>
      <c r="Q30" s="2240"/>
      <c r="R30" s="2240"/>
      <c r="S30" s="2240"/>
      <c r="T30" s="2240"/>
      <c r="U30" s="2240"/>
      <c r="V30" s="2240"/>
    </row>
    <row r="31" spans="1:28">
      <c r="A31" s="3318" t="s">
        <v>2216</v>
      </c>
      <c r="B31" s="2226"/>
      <c r="C31" s="12" t="str">
        <f>IF(B31="现房","成新及维护状况正常否",IF(B31="在建","工程状态是否正常",IF(B31="土地","是否闲置","-")))</f>
        <v>-</v>
      </c>
      <c r="D31" s="1277"/>
      <c r="E31" s="2227"/>
      <c r="F31" s="2436"/>
      <c r="G31" s="2436"/>
      <c r="H31" s="2436"/>
      <c r="I31" s="2436"/>
      <c r="J31" s="2240"/>
      <c r="K31" s="2395"/>
      <c r="L31" s="2393"/>
      <c r="M31" s="2393"/>
      <c r="N31" s="2240"/>
      <c r="O31" s="1665"/>
      <c r="P31" s="2240"/>
      <c r="Q31" s="2240"/>
      <c r="R31" s="2240"/>
      <c r="S31" s="2240"/>
      <c r="T31" s="2240"/>
      <c r="U31" s="2240"/>
      <c r="V31" s="2240"/>
    </row>
    <row r="32" spans="1:28">
      <c r="A32" s="3319"/>
      <c r="B32" s="2226"/>
      <c r="C32" s="12" t="str">
        <f>IF(B32="现房","成新及维护状况是否正常",IF(B32="在建","工程状态是否正常",IF(B32="土地","是否闲置","-")))</f>
        <v>-</v>
      </c>
      <c r="D32" s="1277"/>
      <c r="E32" s="2227"/>
      <c r="F32" s="2436"/>
      <c r="G32" s="2436"/>
      <c r="H32" s="2436"/>
      <c r="I32" s="2436"/>
      <c r="J32" s="2240"/>
      <c r="K32" s="2396"/>
      <c r="L32" s="2393"/>
      <c r="M32" s="2393"/>
      <c r="N32" s="2240"/>
      <c r="O32" s="1665"/>
      <c r="P32" s="2240"/>
      <c r="Q32" s="2240"/>
      <c r="R32" s="2240"/>
      <c r="S32" s="2240"/>
      <c r="T32" s="2240"/>
      <c r="U32" s="2240"/>
      <c r="V32" s="2240"/>
    </row>
    <row r="33" spans="1:30">
      <c r="A33" s="3319"/>
      <c r="B33" s="2229"/>
      <c r="C33" s="1474" t="str">
        <f>IF(B33="现房","成新及维护状况是否正常",IF(B33="在建","工程状态是否正常",IF(B33="土地","是否闲置","-")))</f>
        <v>-</v>
      </c>
      <c r="D33" s="1270"/>
      <c r="E33" s="2230"/>
      <c r="F33" s="2436"/>
      <c r="G33" s="2436"/>
      <c r="H33" s="2436"/>
      <c r="I33" s="2436"/>
      <c r="J33" s="2240"/>
      <c r="K33" s="2396"/>
      <c r="L33" s="2393"/>
      <c r="M33" s="2393"/>
      <c r="N33" s="2240"/>
      <c r="O33" s="1665"/>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313" t="s">
        <v>2225</v>
      </c>
      <c r="T34" s="314" t="str">
        <f>NUMBERSTRING(7-K34,1)&amp;"通"</f>
        <v>七通</v>
      </c>
      <c r="U34" s="2240"/>
      <c r="V34" s="2240"/>
    </row>
    <row r="35" spans="1:30">
      <c r="A35" s="2231"/>
      <c r="B35" s="3313" t="s">
        <v>2226</v>
      </c>
      <c r="C35" s="3313"/>
      <c r="D35" s="3313"/>
      <c r="E35" s="3313"/>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13"/>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2576</v>
      </c>
      <c r="G36" s="2436"/>
      <c r="H36" s="2436"/>
      <c r="I36" s="2436"/>
      <c r="J36" s="2240"/>
      <c r="K36" s="2396"/>
      <c r="L36" s="2393"/>
      <c r="M36" s="2393"/>
      <c r="N36" s="2240"/>
      <c r="O36" s="1665"/>
      <c r="P36" s="2240"/>
      <c r="Q36" s="2240"/>
      <c r="R36" s="2240"/>
      <c r="S36" s="2240"/>
      <c r="T36" s="2240"/>
      <c r="U36" s="2240"/>
      <c r="V36" s="2240"/>
    </row>
    <row r="37" spans="1:30">
      <c r="A37" s="2409" t="s">
        <v>2227</v>
      </c>
      <c r="B37" s="2232" t="s">
        <v>184</v>
      </c>
      <c r="C37" s="2232"/>
      <c r="D37" s="2232"/>
      <c r="E37" s="2232"/>
      <c r="F37" s="2232"/>
      <c r="G37" s="2436"/>
      <c r="H37" s="2436"/>
      <c r="I37" s="2436"/>
      <c r="J37" s="2240"/>
      <c r="K37" s="2396"/>
      <c r="L37" s="2393"/>
      <c r="M37" s="2393"/>
      <c r="N37" s="2240"/>
      <c r="O37" s="1665"/>
      <c r="P37" s="2240"/>
      <c r="Q37" s="2240"/>
      <c r="R37" s="2240"/>
      <c r="S37" s="2240"/>
      <c r="T37" s="2240"/>
      <c r="U37" s="2240"/>
      <c r="V37" s="2240"/>
    </row>
    <row r="38" spans="1:30" ht="13.5" thickBot="1">
      <c r="A38" s="2410" t="s">
        <v>2228</v>
      </c>
      <c r="B38" s="2233" t="s">
        <v>3564</v>
      </c>
      <c r="C38" s="2233"/>
      <c r="D38" s="2233"/>
      <c r="E38" s="2233"/>
      <c r="F38" s="2233"/>
      <c r="G38" s="2437"/>
      <c r="H38" s="2437"/>
      <c r="I38" s="2437"/>
      <c r="J38" s="2240"/>
      <c r="K38" s="2396"/>
      <c r="L38" s="2393"/>
      <c r="M38" s="2393"/>
      <c r="N38" s="2240"/>
      <c r="O38" s="1665"/>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2"/>
      <c r="J40" s="2240"/>
      <c r="K40" s="2395"/>
      <c r="L40" s="1665"/>
      <c r="M40" s="1665"/>
      <c r="N40" s="2240"/>
      <c r="O40" s="1665"/>
      <c r="P40" s="2240"/>
      <c r="Q40" s="2240"/>
      <c r="R40" s="2240"/>
      <c r="S40" s="2240"/>
      <c r="T40" s="2240"/>
      <c r="U40" s="2240"/>
      <c r="V40" s="2240"/>
    </row>
    <row r="41" spans="1:30">
      <c r="A41" s="2237" t="s">
        <v>2230</v>
      </c>
      <c r="B41" s="1622"/>
      <c r="C41" s="1277"/>
      <c r="D41" s="2177"/>
      <c r="E41" s="2177"/>
      <c r="F41" s="2177"/>
      <c r="G41" s="2177"/>
      <c r="H41" s="2177"/>
      <c r="I41" s="1462"/>
      <c r="J41" s="2240"/>
      <c r="K41" s="2396"/>
      <c r="L41" s="2393"/>
      <c r="M41" s="2393"/>
      <c r="N41" s="2240"/>
      <c r="O41" s="1665"/>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1" customFormat="1">
      <c r="A43" s="1458"/>
      <c r="B43" s="984"/>
      <c r="C43" s="984"/>
      <c r="D43" s="984"/>
      <c r="E43" s="984"/>
      <c r="F43" s="984"/>
      <c r="G43" s="984"/>
      <c r="H43" s="984"/>
      <c r="I43" s="984"/>
      <c r="J43" s="2238"/>
      <c r="K43" s="2239"/>
      <c r="L43" s="2239"/>
      <c r="M43" s="984"/>
      <c r="N43" s="984"/>
      <c r="O43" s="984"/>
      <c r="P43" s="984"/>
      <c r="Q43" s="984"/>
      <c r="R43" s="984"/>
      <c r="S43" s="2240"/>
      <c r="T43" s="2240"/>
      <c r="U43" s="2240"/>
      <c r="V43" s="2240"/>
    </row>
    <row r="44" spans="1:30" s="1611" customFormat="1">
      <c r="A44" s="1458"/>
      <c r="B44" s="1458"/>
      <c r="C44" s="984"/>
      <c r="D44" s="984"/>
      <c r="E44" s="984"/>
      <c r="F44" s="984"/>
      <c r="G44" s="984"/>
      <c r="H44" s="984"/>
      <c r="I44" s="984"/>
      <c r="J44" s="2238"/>
      <c r="K44" s="2239"/>
      <c r="L44" s="2239"/>
      <c r="M44" s="984"/>
      <c r="N44" s="984"/>
      <c r="O44" s="984"/>
      <c r="P44" s="984"/>
      <c r="Q44" s="984"/>
      <c r="R44" s="984"/>
      <c r="S44" s="2240"/>
      <c r="T44" s="2240"/>
      <c r="U44" s="2240"/>
      <c r="V44" s="2240"/>
    </row>
    <row r="45" spans="1:30" s="1611" customFormat="1">
      <c r="A45" s="1458"/>
      <c r="B45" s="1458"/>
      <c r="C45" s="984"/>
      <c r="D45" s="984"/>
      <c r="E45" s="984"/>
      <c r="F45" s="984"/>
      <c r="G45" s="984"/>
      <c r="H45" s="984"/>
      <c r="I45" s="984"/>
      <c r="J45" s="2238"/>
      <c r="K45" s="2239"/>
      <c r="L45" s="2239"/>
      <c r="M45" s="984"/>
      <c r="N45" s="984"/>
      <c r="O45" s="984"/>
      <c r="P45" s="984"/>
      <c r="Q45" s="984"/>
      <c r="R45" s="984"/>
      <c r="S45" s="2240"/>
      <c r="T45" s="2240"/>
      <c r="U45" s="2240"/>
      <c r="V45" s="2240"/>
    </row>
    <row r="46" spans="1:30" s="1611" customFormat="1">
      <c r="A46" s="1458"/>
      <c r="B46" s="1458"/>
      <c r="C46" s="984"/>
      <c r="D46" s="984"/>
      <c r="E46" s="984"/>
      <c r="F46" s="984"/>
      <c r="G46" s="984"/>
      <c r="H46" s="984"/>
      <c r="I46" s="984"/>
      <c r="J46" s="2238"/>
      <c r="K46" s="2239"/>
      <c r="L46" s="2239"/>
      <c r="M46" s="984"/>
      <c r="N46" s="984"/>
      <c r="O46" s="984"/>
      <c r="P46" s="984"/>
      <c r="Q46" s="984"/>
      <c r="R46" s="984"/>
      <c r="S46" s="2240"/>
      <c r="T46" s="2240"/>
      <c r="U46" s="2240"/>
      <c r="V46" s="2240"/>
    </row>
    <row r="47" spans="1:30" s="1611" customFormat="1">
      <c r="A47" s="1458"/>
      <c r="B47" s="1458"/>
      <c r="C47" s="984"/>
      <c r="D47" s="984"/>
      <c r="E47" s="984"/>
      <c r="F47" s="984"/>
      <c r="G47" s="984"/>
      <c r="H47" s="984"/>
      <c r="I47" s="984"/>
      <c r="J47" s="2238"/>
      <c r="K47" s="2239"/>
      <c r="L47" s="2239"/>
      <c r="M47" s="984"/>
      <c r="N47" s="984"/>
      <c r="O47" s="984"/>
      <c r="P47" s="984"/>
      <c r="Q47" s="984"/>
      <c r="R47" s="984"/>
      <c r="S47" s="2240"/>
      <c r="T47" s="2240"/>
      <c r="U47" s="2240"/>
      <c r="V47" s="2240"/>
    </row>
    <row r="48" spans="1:30" s="1611" customFormat="1">
      <c r="A48" s="1458"/>
      <c r="B48" s="1458"/>
      <c r="C48" s="984"/>
      <c r="D48" s="984"/>
      <c r="E48" s="984"/>
      <c r="F48" s="984"/>
      <c r="G48" s="984"/>
      <c r="H48" s="984"/>
      <c r="I48" s="984"/>
      <c r="J48" s="2238"/>
      <c r="K48" s="2239"/>
      <c r="L48" s="2239"/>
      <c r="M48" s="984"/>
      <c r="N48" s="984"/>
      <c r="O48" s="984"/>
      <c r="P48" s="984"/>
      <c r="Q48" s="984"/>
      <c r="R48" s="984"/>
      <c r="S48" s="2240"/>
      <c r="T48" s="2240"/>
      <c r="U48" s="2240"/>
      <c r="V48" s="2240"/>
    </row>
    <row r="49" spans="1:22" s="1611" customFormat="1">
      <c r="A49" s="1458"/>
      <c r="B49" s="1458"/>
      <c r="C49" s="984"/>
      <c r="D49" s="984"/>
      <c r="E49" s="984"/>
      <c r="F49" s="984"/>
      <c r="G49" s="984"/>
      <c r="H49" s="984"/>
      <c r="I49" s="984"/>
      <c r="J49" s="2238"/>
      <c r="K49" s="2239"/>
      <c r="L49" s="2239"/>
      <c r="M49" s="984"/>
      <c r="N49" s="984"/>
      <c r="O49" s="984"/>
      <c r="P49" s="984"/>
      <c r="Q49" s="984"/>
      <c r="R49" s="984"/>
      <c r="S49" s="2240"/>
      <c r="T49" s="2240"/>
      <c r="U49" s="2240"/>
      <c r="V49" s="2240"/>
    </row>
    <row r="50" spans="1:22" s="1611" customFormat="1">
      <c r="A50" s="1458"/>
      <c r="B50" s="1458"/>
      <c r="C50" s="984"/>
      <c r="D50" s="984"/>
      <c r="E50" s="984"/>
      <c r="F50" s="984"/>
      <c r="G50" s="984"/>
      <c r="H50" s="984"/>
      <c r="I50" s="984"/>
      <c r="J50" s="2238"/>
      <c r="K50" s="2239"/>
      <c r="L50" s="2239"/>
      <c r="M50" s="984"/>
      <c r="N50" s="984"/>
      <c r="O50" s="984"/>
      <c r="P50" s="984"/>
      <c r="Q50" s="984"/>
      <c r="R50" s="984"/>
      <c r="S50" s="2240"/>
      <c r="T50" s="2240"/>
      <c r="U50" s="2240"/>
      <c r="V50" s="2240"/>
    </row>
    <row r="51" spans="1:22" s="1611" customFormat="1">
      <c r="A51" s="1458"/>
      <c r="B51" s="1458"/>
      <c r="C51" s="984"/>
      <c r="D51" s="984"/>
      <c r="E51" s="984"/>
      <c r="F51" s="984"/>
      <c r="G51" s="984"/>
      <c r="H51" s="984"/>
      <c r="I51" s="984"/>
      <c r="J51" s="2238"/>
      <c r="K51" s="2239"/>
      <c r="L51" s="2239"/>
      <c r="M51" s="984"/>
      <c r="N51" s="984"/>
      <c r="O51" s="984"/>
      <c r="P51" s="984"/>
      <c r="Q51" s="984"/>
      <c r="R51" s="984"/>
    </row>
    <row r="52" spans="1:22" s="1611" customFormat="1">
      <c r="A52" s="1458"/>
      <c r="B52" s="1458"/>
      <c r="C52" s="1458"/>
      <c r="D52" s="1458"/>
      <c r="E52" s="1458"/>
      <c r="F52" s="984"/>
      <c r="G52" s="1458"/>
      <c r="H52" s="1458"/>
      <c r="I52" s="1458"/>
      <c r="J52" s="2241"/>
      <c r="K52" s="2239"/>
      <c r="L52" s="2239"/>
      <c r="M52" s="2239"/>
      <c r="N52" s="1458"/>
      <c r="O52" s="1458"/>
      <c r="P52" s="1458"/>
      <c r="Q52" s="1458"/>
      <c r="R52" s="1458"/>
    </row>
    <row r="53" spans="1:22" s="1611" customFormat="1">
      <c r="A53" s="1458"/>
      <c r="B53" s="1458"/>
      <c r="C53" s="1458"/>
      <c r="D53" s="1458"/>
      <c r="E53" s="1458"/>
      <c r="F53" s="984"/>
      <c r="G53" s="1458"/>
      <c r="H53" s="1458"/>
      <c r="I53" s="1458"/>
      <c r="J53" s="2241"/>
      <c r="K53" s="2239"/>
      <c r="L53" s="2239"/>
      <c r="M53" s="2239"/>
      <c r="N53" s="1458"/>
      <c r="O53" s="1458"/>
      <c r="P53" s="1458"/>
      <c r="Q53" s="1458"/>
      <c r="R53" s="1458"/>
    </row>
    <row r="54" spans="1:22" s="1611" customFormat="1">
      <c r="A54" s="1458"/>
      <c r="B54" s="1458"/>
      <c r="C54" s="1458"/>
      <c r="D54" s="1458"/>
      <c r="E54" s="1458"/>
      <c r="F54" s="984"/>
      <c r="G54" s="1458"/>
      <c r="H54" s="1458"/>
      <c r="I54" s="1458"/>
      <c r="J54" s="2241"/>
      <c r="K54" s="2239"/>
      <c r="L54" s="2239"/>
      <c r="M54" s="2239"/>
      <c r="N54" s="1458"/>
      <c r="O54" s="1458"/>
      <c r="P54" s="1458"/>
      <c r="Q54" s="1458"/>
      <c r="R54" s="1458"/>
    </row>
    <row r="55" spans="1:22" s="1611" customFormat="1">
      <c r="A55" s="1458"/>
      <c r="B55" s="1458"/>
      <c r="C55" s="1458"/>
      <c r="D55" s="1458"/>
      <c r="E55" s="1458"/>
      <c r="F55" s="984"/>
      <c r="G55" s="1458"/>
      <c r="H55" s="1458"/>
      <c r="I55" s="1458"/>
      <c r="J55" s="2241"/>
      <c r="K55" s="2239"/>
      <c r="L55" s="2239"/>
      <c r="M55" s="2239"/>
      <c r="N55" s="1458"/>
      <c r="O55" s="1458"/>
      <c r="P55" s="1458"/>
      <c r="Q55" s="1458"/>
      <c r="R55" s="1458"/>
    </row>
    <row r="56" spans="1:22" s="1611" customFormat="1">
      <c r="A56" s="1458"/>
      <c r="B56" s="1458"/>
      <c r="C56" s="1458"/>
      <c r="D56" s="1458"/>
      <c r="E56" s="1458"/>
      <c r="F56" s="984"/>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59" customWidth="1"/>
    <col min="2" max="2" width="11" style="1459" customWidth="1"/>
    <col min="3" max="3" width="4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1" t="s">
        <v>1067</v>
      </c>
      <c r="AZ2" s="982"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t="e">
        <f>IF(C3="否",G5-AT5,G5)</f>
        <v>#REF!</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3"/>
      <c r="AZ3" s="984"/>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t="e">
        <f>SUM(G13:G587)</f>
        <v>#REF!</v>
      </c>
      <c r="H5" s="13" t="e">
        <f t="shared" ref="H5:AT5" si="0">SUM(H13:H656)</f>
        <v>#REF!</v>
      </c>
      <c r="I5" s="13" t="e">
        <f t="shared" si="0"/>
        <v>#REF!</v>
      </c>
      <c r="J5" s="13">
        <f t="shared" si="0"/>
        <v>0</v>
      </c>
      <c r="K5" s="13" t="e">
        <f t="shared" si="0"/>
        <v>#REF!</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1279.97</v>
      </c>
      <c r="BA5" s="15">
        <f t="shared" si="1"/>
        <v>1279.97</v>
      </c>
      <c r="BB5" s="15">
        <f t="shared" si="1"/>
        <v>1279.97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t="e">
        <f>H6+AC6+AT6</f>
        <v>#REF!</v>
      </c>
      <c r="F6" s="13" t="s">
        <v>0</v>
      </c>
      <c r="G6" s="13" t="s">
        <v>1</v>
      </c>
      <c r="H6" s="17" t="e">
        <f>SUMIF(I$12:AB$12,"总值",I6:AB6)</f>
        <v>#REF!</v>
      </c>
      <c r="I6" s="13" t="e">
        <f t="shared" ref="I6:AB6" si="2">ROUND($A$3*I5/$B$3,2)</f>
        <v>#REF!</v>
      </c>
      <c r="J6" s="13" t="e">
        <f t="shared" si="2"/>
        <v>#REF!</v>
      </c>
      <c r="K6" s="13" t="e">
        <f t="shared" si="2"/>
        <v>#REF!</v>
      </c>
      <c r="L6" s="13" t="e">
        <f t="shared" si="2"/>
        <v>#REF!</v>
      </c>
      <c r="M6" s="13" t="e">
        <f t="shared" si="2"/>
        <v>#REF!</v>
      </c>
      <c r="N6" s="13" t="e">
        <f t="shared" si="2"/>
        <v>#REF!</v>
      </c>
      <c r="O6" s="13" t="e">
        <f t="shared" si="2"/>
        <v>#REF!</v>
      </c>
      <c r="P6" s="13" t="e">
        <f t="shared" si="2"/>
        <v>#REF!</v>
      </c>
      <c r="Q6" s="13" t="e">
        <f t="shared" si="2"/>
        <v>#REF!</v>
      </c>
      <c r="R6" s="13" t="e">
        <f t="shared" si="2"/>
        <v>#REF!</v>
      </c>
      <c r="S6" s="13" t="e">
        <f t="shared" si="2"/>
        <v>#REF!</v>
      </c>
      <c r="T6" s="13" t="e">
        <f t="shared" si="2"/>
        <v>#REF!</v>
      </c>
      <c r="U6" s="13" t="e">
        <f t="shared" si="2"/>
        <v>#REF!</v>
      </c>
      <c r="V6" s="13" t="e">
        <f t="shared" si="2"/>
        <v>#REF!</v>
      </c>
      <c r="W6" s="13" t="e">
        <f t="shared" si="2"/>
        <v>#REF!</v>
      </c>
      <c r="X6" s="13" t="e">
        <f t="shared" si="2"/>
        <v>#REF!</v>
      </c>
      <c r="Y6" s="13" t="e">
        <f t="shared" si="2"/>
        <v>#REF!</v>
      </c>
      <c r="Z6" s="13" t="e">
        <f t="shared" si="2"/>
        <v>#REF!</v>
      </c>
      <c r="AA6" s="13" t="e">
        <f t="shared" si="2"/>
        <v>#REF!</v>
      </c>
      <c r="AB6" s="13" t="e">
        <f t="shared" si="2"/>
        <v>#REF!</v>
      </c>
      <c r="AC6" s="17" t="e">
        <f>SUMIF(AD$12:AS$12,"总值",AD6:AS6)</f>
        <v>#REF!</v>
      </c>
      <c r="AD6" s="13" t="e">
        <f t="shared" ref="AD6:AS6" si="3">ROUND($A$3*AD5/$B$3,2)</f>
        <v>#REF!</v>
      </c>
      <c r="AE6" s="13" t="e">
        <f t="shared" si="3"/>
        <v>#REF!</v>
      </c>
      <c r="AF6" s="13" t="e">
        <f t="shared" si="3"/>
        <v>#REF!</v>
      </c>
      <c r="AG6" s="13" t="e">
        <f t="shared" si="3"/>
        <v>#REF!</v>
      </c>
      <c r="AH6" s="13" t="e">
        <f t="shared" si="3"/>
        <v>#REF!</v>
      </c>
      <c r="AI6" s="13" t="e">
        <f t="shared" si="3"/>
        <v>#REF!</v>
      </c>
      <c r="AJ6" s="13" t="e">
        <f t="shared" si="3"/>
        <v>#REF!</v>
      </c>
      <c r="AK6" s="13" t="e">
        <f t="shared" si="3"/>
        <v>#REF!</v>
      </c>
      <c r="AL6" s="13" t="e">
        <f t="shared" si="3"/>
        <v>#REF!</v>
      </c>
      <c r="AM6" s="13" t="e">
        <f t="shared" si="3"/>
        <v>#REF!</v>
      </c>
      <c r="AN6" s="13" t="e">
        <f t="shared" si="3"/>
        <v>#REF!</v>
      </c>
      <c r="AO6" s="13" t="e">
        <f t="shared" si="3"/>
        <v>#REF!</v>
      </c>
      <c r="AP6" s="13" t="e">
        <f t="shared" si="3"/>
        <v>#REF!</v>
      </c>
      <c r="AQ6" s="13" t="e">
        <f t="shared" si="3"/>
        <v>#REF!</v>
      </c>
      <c r="AR6" s="13" t="e">
        <f t="shared" si="3"/>
        <v>#REF!</v>
      </c>
      <c r="AS6" s="13" t="e">
        <f t="shared" si="3"/>
        <v>#REF!</v>
      </c>
      <c r="AT6" s="17">
        <f>IF(C3="是",ROUND($A$3*AT5/$B$3,2),0)</f>
        <v>0</v>
      </c>
      <c r="AU6" s="1472"/>
      <c r="AV6" s="12" t="s">
        <v>1072</v>
      </c>
      <c r="AW6" s="1470"/>
      <c r="AX6" s="1470"/>
      <c r="AY6" s="18" t="e">
        <f>IF(AY3&gt;0,AY3,ROUND($A$3*AZ5/$B$3,2))</f>
        <v>#REF!</v>
      </c>
      <c r="AZ6" s="13" t="s">
        <v>2</v>
      </c>
      <c r="BA6" s="13" t="e">
        <f>ROUND($AY$6*BA5/$AZ$5,2)</f>
        <v>#REF!</v>
      </c>
      <c r="BB6" s="13" t="e">
        <f>ROUND($AY$6*BB5/$AZ$5,2)</f>
        <v>#REF!</v>
      </c>
      <c r="BC6" s="13" t="e">
        <f t="shared" ref="BC6:BH6" si="4">ROUND($AY$6*BC5/$AZ$5,2)</f>
        <v>#REF!</v>
      </c>
      <c r="BD6" s="13" t="e">
        <f t="shared" si="4"/>
        <v>#REF!</v>
      </c>
      <c r="BE6" s="13" t="e">
        <f t="shared" si="4"/>
        <v>#REF!</v>
      </c>
      <c r="BF6" s="13" t="e">
        <f t="shared" si="4"/>
        <v>#REF!</v>
      </c>
      <c r="BG6" s="13" t="e">
        <f t="shared" si="4"/>
        <v>#REF!</v>
      </c>
      <c r="BH6" s="13" t="e">
        <f t="shared" si="4"/>
        <v>#REF!</v>
      </c>
      <c r="BI6" s="13" t="e">
        <f t="shared" ref="BI6:BT6" si="5">ROUND($AY$6*BI5/$AZ$5,2)</f>
        <v>#REF!</v>
      </c>
      <c r="BJ6" s="13" t="e">
        <f t="shared" si="5"/>
        <v>#REF!</v>
      </c>
      <c r="BK6" s="13" t="e">
        <f t="shared" si="5"/>
        <v>#REF!</v>
      </c>
      <c r="BL6" s="13" t="e">
        <f t="shared" si="5"/>
        <v>#REF!</v>
      </c>
      <c r="BM6" s="13" t="e">
        <f t="shared" si="5"/>
        <v>#REF!</v>
      </c>
      <c r="BN6" s="13" t="e">
        <f t="shared" si="5"/>
        <v>#REF!</v>
      </c>
      <c r="BO6" s="13" t="e">
        <f t="shared" si="5"/>
        <v>#REF!</v>
      </c>
      <c r="BP6" s="13" t="e">
        <f t="shared" si="5"/>
        <v>#REF!</v>
      </c>
      <c r="BQ6" s="13" t="e">
        <f t="shared" si="5"/>
        <v>#REF!</v>
      </c>
      <c r="BR6" s="13" t="e">
        <f t="shared" si="5"/>
        <v>#REF!</v>
      </c>
      <c r="BS6" s="13" t="e">
        <f t="shared" si="5"/>
        <v>#REF!</v>
      </c>
      <c r="BT6" s="19" t="e">
        <f t="shared" si="5"/>
        <v>#REF!</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3565</v>
      </c>
      <c r="J9" s="757"/>
      <c r="K9" s="1487" t="s">
        <v>3570</v>
      </c>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673</v>
      </c>
      <c r="J10" s="757"/>
      <c r="K10" s="1493" t="s">
        <v>673</v>
      </c>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t="str">
        <f>K9</f>
        <v>地下</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3566</v>
      </c>
      <c r="J11" s="1499"/>
      <c r="K11" s="1498" t="s">
        <v>3566</v>
      </c>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商业</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底商</v>
      </c>
      <c r="BC12" s="1508" t="str">
        <f>K11</f>
        <v>底商</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38.25">
      <c r="A13" s="984"/>
      <c r="B13" s="984"/>
      <c r="C13" s="3152" t="s">
        <v>3626</v>
      </c>
      <c r="D13" s="1509" t="s">
        <v>3386</v>
      </c>
      <c r="E13" s="13" t="e">
        <f>IF($C$3="是",ROUND($A$3*G13/$B$3,2),ROUND($A$3*(G13-AT13)/$B$3,2))</f>
        <v>#REF!</v>
      </c>
      <c r="F13" s="29"/>
      <c r="G13" s="30">
        <f>H13+AC13+AT13</f>
        <v>94.89</v>
      </c>
      <c r="H13" s="17">
        <f>SUMIF(I$12:AB$12,"总值",I13:AB13)</f>
        <v>94.89</v>
      </c>
      <c r="I13" s="3633">
        <v>94.89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朝阳区新东路8号院5号楼1层1-028</v>
      </c>
      <c r="AY13" s="1256" t="e">
        <f>ROUND($AY$6*AZ13/$AZ$5,2)</f>
        <v>#REF!</v>
      </c>
      <c r="AZ13" s="13">
        <f>BA13+BL13</f>
        <v>94.89</v>
      </c>
      <c r="BA13" s="13">
        <f>SUM(BB13:BK13)</f>
        <v>94.89</v>
      </c>
      <c r="BB13" s="13">
        <f>IF($D13="是",I13-J13,0)</f>
        <v>94.89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38.25">
      <c r="A14" s="984"/>
      <c r="B14" s="984"/>
      <c r="C14" s="3152" t="s">
        <v>3627</v>
      </c>
      <c r="D14" s="1509" t="s">
        <v>3386</v>
      </c>
      <c r="E14" s="13" t="e">
        <f>IF($C$3="是",ROUND($A$3*G14/$B$3,2),ROUND($A$3*(G14-AT14)/$B$3,2))</f>
        <v>#REF!</v>
      </c>
      <c r="F14" s="29"/>
      <c r="G14" s="30">
        <f>H14+AC14+AT14</f>
        <v>247.88</v>
      </c>
      <c r="H14" s="17">
        <f>SUMIF(I$12:AB$12,"总值",I14:AB14)</f>
        <v>247.88</v>
      </c>
      <c r="I14" s="3633">
        <v>247.88</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朝阳区新东路8号院5号楼1层1-029</v>
      </c>
      <c r="AY14" s="1256" t="e">
        <f>ROUND($AY$6*AZ14/$AZ$5,2)</f>
        <v>#REF!</v>
      </c>
      <c r="AZ14" s="13">
        <f>BA14+BL14</f>
        <v>247.88</v>
      </c>
      <c r="BA14" s="13">
        <f>SUM(BB14:BK14)</f>
        <v>247.88</v>
      </c>
      <c r="BB14" s="13">
        <f>IF($D14="是",I14-J14,0)</f>
        <v>247.88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38.25">
      <c r="A15" s="984"/>
      <c r="B15" s="984"/>
      <c r="C15" s="3152" t="s">
        <v>3628</v>
      </c>
      <c r="D15" s="1509" t="s">
        <v>3386</v>
      </c>
      <c r="E15" s="13" t="e">
        <f>IF($C$3="是",ROUND($A$3*G15/$B$3,2),ROUND($A$3*(G15-AT15)/$B$3,2))</f>
        <v>#REF!</v>
      </c>
      <c r="F15" s="29"/>
      <c r="G15" s="30">
        <f>H15+AC15+AT15</f>
        <v>195.28</v>
      </c>
      <c r="H15" s="17">
        <f>SUMIF(I$12:AB$12,"总值",I15:AB15)</f>
        <v>195.28</v>
      </c>
      <c r="I15" s="3633">
        <v>195.28</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朝阳区新东路8号院5号楼1层1-030</v>
      </c>
      <c r="AY15" s="1256" t="e">
        <f>ROUND($AY$6*AZ15/$AZ$5,2)</f>
        <v>#REF!</v>
      </c>
      <c r="AZ15" s="13">
        <f>BA15+BL15</f>
        <v>195.28</v>
      </c>
      <c r="BA15" s="13">
        <f>SUM(BB15:BK15)</f>
        <v>195.28</v>
      </c>
      <c r="BB15" s="13">
        <f>IF($D15="是",I15-J15,0)</f>
        <v>195.28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38.25">
      <c r="A16" s="984"/>
      <c r="B16" s="984"/>
      <c r="C16" s="3152" t="s">
        <v>3629</v>
      </c>
      <c r="D16" s="1509" t="s">
        <v>3386</v>
      </c>
      <c r="E16" s="13" t="e">
        <f>IF($C$3="是",ROUND($A$3*G16/$B$3,2),ROUND($A$3*(G16-AT16)/$B$3,2))</f>
        <v>#REF!</v>
      </c>
      <c r="F16" s="29"/>
      <c r="G16" s="30">
        <f>H16+AC16+AT16</f>
        <v>245.01</v>
      </c>
      <c r="H16" s="17">
        <f>SUMIF(I$12:AB$12,"总值",I16:AB16)</f>
        <v>245.01</v>
      </c>
      <c r="I16" s="3633">
        <v>245.01</v>
      </c>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朝阳区新东路8号院5号楼1层1-032</v>
      </c>
      <c r="AY16" s="1256" t="e">
        <f>ROUND($AY$6*AZ16/$AZ$5,2)</f>
        <v>#REF!</v>
      </c>
      <c r="AZ16" s="13">
        <f>BA16+BL16</f>
        <v>245.01</v>
      </c>
      <c r="BA16" s="13">
        <f>SUM(BB16:BK16)</f>
        <v>245.01</v>
      </c>
      <c r="BB16" s="13">
        <f>IF($D16="是",I16-J16,0)</f>
        <v>245.01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38.25">
      <c r="A17" s="984"/>
      <c r="B17" s="984"/>
      <c r="C17" s="3152" t="s">
        <v>3630</v>
      </c>
      <c r="D17" s="1509" t="s">
        <v>3386</v>
      </c>
      <c r="E17" s="13" t="e">
        <f>IF($C$3="是",ROUND($A$3*G17/$B$3,2),ROUND($A$3*(G17-AT17)/$B$3,2))</f>
        <v>#REF!</v>
      </c>
      <c r="F17" s="29"/>
      <c r="G17" s="30">
        <f>H17+AC17+AT17</f>
        <v>98.08</v>
      </c>
      <c r="H17" s="17">
        <f>SUMIF(I$12:AB$12,"总值",I17:AB17)</f>
        <v>98.08</v>
      </c>
      <c r="I17" s="3633">
        <v>98.08</v>
      </c>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t="str">
        <f t="shared" si="6"/>
        <v>朝阳区新东路8号院5号楼1层1-033</v>
      </c>
      <c r="AY17" s="1256" t="e">
        <f>ROUND($AY$6*AZ17/$AZ$5,2)</f>
        <v>#REF!</v>
      </c>
      <c r="AZ17" s="13">
        <f>BA17+BL17</f>
        <v>98.08</v>
      </c>
      <c r="BA17" s="13">
        <f>SUM(BB17:BK17)</f>
        <v>98.08</v>
      </c>
      <c r="BB17" s="13">
        <f>IF($D17="是",I17-J17,0)</f>
        <v>98.08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57">
      <c r="A18" s="6"/>
      <c r="B18" s="31"/>
      <c r="C18" s="3152" t="s">
        <v>3631</v>
      </c>
      <c r="D18" s="1509" t="s">
        <v>3386</v>
      </c>
      <c r="E18" s="32" t="e">
        <f t="shared" ref="E18:E112" si="7">IF($C$3="是",ROUND($A$3*G18/$B$3,2),ROUND($A$3*(G18-AT18)/$B$3,2))</f>
        <v>#REF!</v>
      </c>
      <c r="F18" s="33"/>
      <c r="G18" s="34">
        <f t="shared" ref="G18:G109" si="8">H18+AC18+AT18</f>
        <v>80.900000000000006</v>
      </c>
      <c r="H18" s="35">
        <f t="shared" ref="H18:H109" si="9">SUMIF(I$12:AB$12,"总值",I18:AB18)</f>
        <v>80.900000000000006</v>
      </c>
      <c r="I18" s="3633">
        <v>80.900000000000006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9">
        <f t="shared" ref="AV18:AV112" si="11">A18</f>
        <v>0</v>
      </c>
      <c r="AW18" s="529">
        <f t="shared" ref="AW18:AW112" si="12">B18</f>
        <v>0</v>
      </c>
      <c r="AX18" s="529" t="str">
        <f t="shared" ref="AX18:AX112" si="13">C18</f>
        <v>朝阳区新东路8号院5号楼1层1-035</v>
      </c>
      <c r="AY18" s="38" t="e">
        <f t="shared" ref="AY18:AY109" si="14">ROUND($AY$6*AZ18/$AZ$5,2)</f>
        <v>#REF!</v>
      </c>
      <c r="AZ18" s="32">
        <f t="shared" ref="AZ18:AZ109" si="15">BA18+BL18</f>
        <v>80.900000000000006</v>
      </c>
      <c r="BA18" s="32">
        <f t="shared" ref="BA18:BA109" si="16">SUM(BB18:BK18)</f>
        <v>80.900000000000006</v>
      </c>
      <c r="BB18" s="32">
        <f t="shared" ref="BB18:BB109" si="17">IF($D18="是",I18-J18,0)</f>
        <v>80.900000000000006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57">
      <c r="A19" s="6"/>
      <c r="B19" s="31"/>
      <c r="C19" s="3152" t="s">
        <v>3632</v>
      </c>
      <c r="D19" s="1509" t="s">
        <v>3386</v>
      </c>
      <c r="E19" s="32" t="e">
        <f t="shared" si="7"/>
        <v>#REF!</v>
      </c>
      <c r="F19" s="33"/>
      <c r="G19" s="34">
        <f t="shared" si="8"/>
        <v>317.93</v>
      </c>
      <c r="H19" s="35">
        <f t="shared" si="9"/>
        <v>317.93</v>
      </c>
      <c r="I19" s="3633">
        <v>317.93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9">
        <f t="shared" si="11"/>
        <v>0</v>
      </c>
      <c r="AW19" s="529">
        <f t="shared" si="12"/>
        <v>0</v>
      </c>
      <c r="AX19" s="529" t="str">
        <f t="shared" si="13"/>
        <v>朝阳区新东路8号院5号楼1层1-036</v>
      </c>
      <c r="AY19" s="38" t="e">
        <f t="shared" si="14"/>
        <v>#REF!</v>
      </c>
      <c r="AZ19" s="32">
        <f t="shared" si="15"/>
        <v>317.93</v>
      </c>
      <c r="BA19" s="32">
        <f t="shared" si="16"/>
        <v>317.93</v>
      </c>
      <c r="BB19" s="32">
        <f t="shared" si="17"/>
        <v>317.93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71.25">
      <c r="A20" s="6"/>
      <c r="B20" s="31"/>
      <c r="C20" s="3220" t="s">
        <v>3657</v>
      </c>
      <c r="D20" s="1509" t="s">
        <v>3569</v>
      </c>
      <c r="E20" s="32" t="e">
        <f t="shared" si="7"/>
        <v>#REF!</v>
      </c>
      <c r="F20" s="33"/>
      <c r="G20" s="34">
        <f t="shared" si="8"/>
        <v>193.29</v>
      </c>
      <c r="H20" s="35">
        <f t="shared" si="9"/>
        <v>193.29</v>
      </c>
      <c r="I20" s="3220">
        <v>193.29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9">
        <f t="shared" si="11"/>
        <v>0</v>
      </c>
      <c r="AW20" s="529">
        <f t="shared" si="12"/>
        <v>0</v>
      </c>
      <c r="AX20" s="529" t="str">
        <f t="shared" si="13"/>
        <v>朝阳区新东路8号院1、2、3、4、5号楼-1-009</v>
      </c>
      <c r="AY20" s="38" t="e">
        <f t="shared" si="14"/>
        <v>#REF!</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71.25">
      <c r="A21" s="6"/>
      <c r="B21" s="31"/>
      <c r="C21" s="3220" t="s">
        <v>3655</v>
      </c>
      <c r="D21" s="1509" t="s">
        <v>3569</v>
      </c>
      <c r="E21" s="32" t="e">
        <f t="shared" si="7"/>
        <v>#REF!</v>
      </c>
      <c r="F21" s="33"/>
      <c r="G21" s="34">
        <f t="shared" si="8"/>
        <v>136.5</v>
      </c>
      <c r="H21" s="35">
        <f t="shared" si="9"/>
        <v>136.5</v>
      </c>
      <c r="I21" s="3220">
        <v>136.5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9">
        <f t="shared" si="11"/>
        <v>0</v>
      </c>
      <c r="AW21" s="529">
        <f t="shared" si="12"/>
        <v>0</v>
      </c>
      <c r="AX21" s="529" t="str">
        <f t="shared" si="13"/>
        <v>朝阳区新东路8号院1、2、3、4、5号楼-1-034</v>
      </c>
      <c r="AY21" s="38" t="e">
        <f t="shared" si="14"/>
        <v>#REF!</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71.25">
      <c r="A22" s="6"/>
      <c r="B22" s="31"/>
      <c r="C22" s="3220" t="s">
        <v>3656</v>
      </c>
      <c r="D22" s="1509" t="s">
        <v>3569</v>
      </c>
      <c r="E22" s="32" t="e">
        <f t="shared" si="7"/>
        <v>#REF!</v>
      </c>
      <c r="F22" s="33"/>
      <c r="G22" s="34">
        <f t="shared" si="8"/>
        <v>56.5</v>
      </c>
      <c r="H22" s="35">
        <f t="shared" si="9"/>
        <v>56.5</v>
      </c>
      <c r="I22" s="3220">
        <v>56.5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9">
        <f t="shared" si="11"/>
        <v>0</v>
      </c>
      <c r="AW22" s="529">
        <f t="shared" si="12"/>
        <v>0</v>
      </c>
      <c r="AX22" s="529" t="str">
        <f t="shared" si="13"/>
        <v>朝阳区新东路8号院1、2、3、4、5号楼-1-035</v>
      </c>
      <c r="AY22" s="38" t="e">
        <f t="shared" si="14"/>
        <v>#REF!</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57">
      <c r="A23" s="6"/>
      <c r="B23" s="31"/>
      <c r="C23" s="3219" t="s">
        <v>3388</v>
      </c>
      <c r="D23" s="1509" t="s">
        <v>3569</v>
      </c>
      <c r="E23" s="32" t="e">
        <f t="shared" si="7"/>
        <v>#REF!</v>
      </c>
      <c r="F23" s="33"/>
      <c r="G23" s="34" t="e">
        <f t="shared" si="8"/>
        <v>#REF!</v>
      </c>
      <c r="H23" s="35" t="e">
        <f t="shared" si="9"/>
        <v>#REF!</v>
      </c>
      <c r="I23" s="1510" t="e">
        <f>铂郡面积表!#REF!</f>
        <v>#REF!</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9">
        <f t="shared" si="11"/>
        <v>0</v>
      </c>
      <c r="AW23" s="529">
        <f t="shared" si="12"/>
        <v>0</v>
      </c>
      <c r="AX23" s="529" t="str">
        <f t="shared" si="13"/>
        <v>朝阳区新东路8号院3号楼1层1-012</v>
      </c>
      <c r="AY23" s="38" t="e">
        <f t="shared" si="14"/>
        <v>#REF!</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57">
      <c r="A24" s="6"/>
      <c r="B24" s="31"/>
      <c r="C24" s="3219" t="s">
        <v>3389</v>
      </c>
      <c r="D24" s="1509" t="s">
        <v>3569</v>
      </c>
      <c r="E24" s="32" t="e">
        <f t="shared" si="7"/>
        <v>#REF!</v>
      </c>
      <c r="F24" s="33"/>
      <c r="G24" s="34" t="e">
        <f t="shared" si="8"/>
        <v>#REF!</v>
      </c>
      <c r="H24" s="35" t="e">
        <f t="shared" si="9"/>
        <v>#REF!</v>
      </c>
      <c r="I24" s="1510" t="e">
        <f>铂郡面积表!#REF!</f>
        <v>#REF!</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9">
        <f t="shared" si="11"/>
        <v>0</v>
      </c>
      <c r="AW24" s="529">
        <f t="shared" si="12"/>
        <v>0</v>
      </c>
      <c r="AX24" s="529" t="str">
        <f t="shared" si="13"/>
        <v>朝阳区新东路8号院3号楼1层1-015</v>
      </c>
      <c r="AY24" s="38" t="e">
        <f t="shared" si="14"/>
        <v>#REF!</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57">
      <c r="A25" s="6"/>
      <c r="B25" s="31"/>
      <c r="C25" s="3219" t="s">
        <v>3390</v>
      </c>
      <c r="D25" s="1509" t="s">
        <v>3569</v>
      </c>
      <c r="E25" s="32" t="e">
        <f t="shared" si="7"/>
        <v>#REF!</v>
      </c>
      <c r="F25" s="33"/>
      <c r="G25" s="34" t="e">
        <f t="shared" si="8"/>
        <v>#REF!</v>
      </c>
      <c r="H25" s="35" t="e">
        <f t="shared" si="9"/>
        <v>#REF!</v>
      </c>
      <c r="I25" s="1510" t="e">
        <f>铂郡面积表!#REF!</f>
        <v>#REF!</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9">
        <f t="shared" si="11"/>
        <v>0</v>
      </c>
      <c r="AW25" s="529">
        <f t="shared" si="12"/>
        <v>0</v>
      </c>
      <c r="AX25" s="529" t="str">
        <f t="shared" si="13"/>
        <v>朝阳区新东路8号院3号楼1层1-016</v>
      </c>
      <c r="AY25" s="38" t="e">
        <f t="shared" si="14"/>
        <v>#REF!</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57">
      <c r="A26" s="6"/>
      <c r="B26" s="31"/>
      <c r="C26" s="3219" t="s">
        <v>3391</v>
      </c>
      <c r="D26" s="1509" t="s">
        <v>3569</v>
      </c>
      <c r="E26" s="32" t="e">
        <f t="shared" si="7"/>
        <v>#REF!</v>
      </c>
      <c r="F26" s="33"/>
      <c r="G26" s="34" t="e">
        <f t="shared" si="8"/>
        <v>#REF!</v>
      </c>
      <c r="H26" s="35" t="e">
        <f t="shared" si="9"/>
        <v>#REF!</v>
      </c>
      <c r="I26" s="1510" t="e">
        <f>铂郡面积表!#REF!</f>
        <v>#REF!</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9">
        <f t="shared" si="11"/>
        <v>0</v>
      </c>
      <c r="AW26" s="529">
        <f t="shared" si="12"/>
        <v>0</v>
      </c>
      <c r="AX26" s="529" t="str">
        <f t="shared" si="13"/>
        <v>朝阳区新东路8号院3号楼1层1-017</v>
      </c>
      <c r="AY26" s="38" t="e">
        <f t="shared" si="14"/>
        <v>#REF!</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57">
      <c r="A27" s="6"/>
      <c r="B27" s="31"/>
      <c r="C27" s="3219" t="s">
        <v>3392</v>
      </c>
      <c r="D27" s="1509" t="s">
        <v>3569</v>
      </c>
      <c r="E27" s="32" t="e">
        <f t="shared" si="7"/>
        <v>#REF!</v>
      </c>
      <c r="F27" s="33"/>
      <c r="G27" s="34" t="e">
        <f t="shared" si="8"/>
        <v>#REF!</v>
      </c>
      <c r="H27" s="35" t="e">
        <f t="shared" si="9"/>
        <v>#REF!</v>
      </c>
      <c r="I27" s="1510" t="e">
        <f>铂郡面积表!#REF!</f>
        <v>#REF!</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9">
        <f t="shared" si="11"/>
        <v>0</v>
      </c>
      <c r="AW27" s="529">
        <f t="shared" si="12"/>
        <v>0</v>
      </c>
      <c r="AX27" s="529" t="str">
        <f t="shared" si="13"/>
        <v>朝阳区新东路8号院3号楼1层1-018</v>
      </c>
      <c r="AY27" s="38" t="e">
        <f t="shared" si="14"/>
        <v>#REF!</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57">
      <c r="A28" s="6"/>
      <c r="B28" s="31"/>
      <c r="C28" s="3219" t="s">
        <v>3393</v>
      </c>
      <c r="D28" s="1509" t="s">
        <v>3569</v>
      </c>
      <c r="E28" s="32" t="e">
        <f t="shared" si="7"/>
        <v>#REF!</v>
      </c>
      <c r="F28" s="33"/>
      <c r="G28" s="34" t="e">
        <f t="shared" si="8"/>
        <v>#REF!</v>
      </c>
      <c r="H28" s="35" t="e">
        <f t="shared" si="9"/>
        <v>#REF!</v>
      </c>
      <c r="I28" s="1510" t="e">
        <f>铂郡面积表!#REF!</f>
        <v>#REF!</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9">
        <f t="shared" si="11"/>
        <v>0</v>
      </c>
      <c r="AW28" s="529">
        <f t="shared" si="12"/>
        <v>0</v>
      </c>
      <c r="AX28" s="529" t="str">
        <f t="shared" si="13"/>
        <v>朝阳区新东路8号院3号楼1层1-019</v>
      </c>
      <c r="AY28" s="38" t="e">
        <f t="shared" si="14"/>
        <v>#REF!</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57">
      <c r="A29" s="6"/>
      <c r="B29" s="31"/>
      <c r="C29" s="3219" t="s">
        <v>3394</v>
      </c>
      <c r="D29" s="1509" t="s">
        <v>3569</v>
      </c>
      <c r="E29" s="32" t="e">
        <f t="shared" si="7"/>
        <v>#REF!</v>
      </c>
      <c r="F29" s="33"/>
      <c r="G29" s="34" t="e">
        <f t="shared" si="8"/>
        <v>#REF!</v>
      </c>
      <c r="H29" s="35" t="e">
        <f t="shared" si="9"/>
        <v>#REF!</v>
      </c>
      <c r="I29" s="1510" t="e">
        <f>铂郡面积表!#REF!</f>
        <v>#REF!</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9">
        <f t="shared" si="11"/>
        <v>0</v>
      </c>
      <c r="AW29" s="529">
        <f t="shared" si="12"/>
        <v>0</v>
      </c>
      <c r="AX29" s="529" t="str">
        <f t="shared" si="13"/>
        <v>朝阳区新东路8号院3号楼1层1-020</v>
      </c>
      <c r="AY29" s="38" t="e">
        <f t="shared" si="14"/>
        <v>#REF!</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57">
      <c r="A30" s="6"/>
      <c r="B30" s="31"/>
      <c r="C30" s="3219" t="s">
        <v>3395</v>
      </c>
      <c r="D30" s="1509" t="s">
        <v>3569</v>
      </c>
      <c r="E30" s="32" t="e">
        <f t="shared" si="7"/>
        <v>#REF!</v>
      </c>
      <c r="F30" s="33"/>
      <c r="G30" s="34" t="e">
        <f t="shared" si="8"/>
        <v>#REF!</v>
      </c>
      <c r="H30" s="35" t="e">
        <f t="shared" si="9"/>
        <v>#REF!</v>
      </c>
      <c r="I30" s="1510" t="e">
        <f>铂郡面积表!#REF!</f>
        <v>#REF!</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9">
        <f t="shared" si="11"/>
        <v>0</v>
      </c>
      <c r="AW30" s="529">
        <f t="shared" si="12"/>
        <v>0</v>
      </c>
      <c r="AX30" s="529" t="str">
        <f t="shared" si="13"/>
        <v>朝阳区新东路8号院3号楼1层1-021</v>
      </c>
      <c r="AY30" s="38" t="e">
        <f t="shared" si="14"/>
        <v>#REF!</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57">
      <c r="A31" s="6"/>
      <c r="B31" s="31"/>
      <c r="C31" s="3219" t="s">
        <v>3396</v>
      </c>
      <c r="D31" s="1509" t="s">
        <v>3569</v>
      </c>
      <c r="E31" s="32" t="e">
        <f t="shared" si="7"/>
        <v>#REF!</v>
      </c>
      <c r="F31" s="33"/>
      <c r="G31" s="34" t="e">
        <f t="shared" si="8"/>
        <v>#REF!</v>
      </c>
      <c r="H31" s="35" t="e">
        <f t="shared" si="9"/>
        <v>#REF!</v>
      </c>
      <c r="I31" s="1510" t="e">
        <f>铂郡面积表!#REF!</f>
        <v>#REF!</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9">
        <f t="shared" si="11"/>
        <v>0</v>
      </c>
      <c r="AW31" s="529">
        <f t="shared" si="12"/>
        <v>0</v>
      </c>
      <c r="AX31" s="529" t="str">
        <f t="shared" si="13"/>
        <v>朝阳区新东路8号院4号楼1层1-037</v>
      </c>
      <c r="AY31" s="38" t="e">
        <f t="shared" si="14"/>
        <v>#REF!</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57">
      <c r="A32" s="6"/>
      <c r="B32" s="31"/>
      <c r="C32" s="3219" t="s">
        <v>3397</v>
      </c>
      <c r="D32" s="1509" t="s">
        <v>3569</v>
      </c>
      <c r="E32" s="32" t="e">
        <f t="shared" si="7"/>
        <v>#REF!</v>
      </c>
      <c r="F32" s="33"/>
      <c r="G32" s="34" t="e">
        <f t="shared" si="8"/>
        <v>#REF!</v>
      </c>
      <c r="H32" s="35" t="e">
        <f t="shared" si="9"/>
        <v>#REF!</v>
      </c>
      <c r="I32" s="1510" t="e">
        <f>铂郡面积表!#REF!</f>
        <v>#REF!</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9">
        <f t="shared" si="11"/>
        <v>0</v>
      </c>
      <c r="AW32" s="529">
        <f t="shared" si="12"/>
        <v>0</v>
      </c>
      <c r="AX32" s="529" t="str">
        <f t="shared" si="13"/>
        <v>朝阳区新东路8号院5号楼1层1-022</v>
      </c>
      <c r="AY32" s="38" t="e">
        <f t="shared" si="14"/>
        <v>#REF!</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57">
      <c r="A33" s="6"/>
      <c r="B33" s="31"/>
      <c r="C33" s="3219" t="s">
        <v>3398</v>
      </c>
      <c r="D33" s="1509" t="s">
        <v>3569</v>
      </c>
      <c r="E33" s="32" t="e">
        <f t="shared" si="7"/>
        <v>#REF!</v>
      </c>
      <c r="F33" s="33"/>
      <c r="G33" s="34" t="e">
        <f t="shared" si="8"/>
        <v>#REF!</v>
      </c>
      <c r="H33" s="35" t="e">
        <f t="shared" si="9"/>
        <v>#REF!</v>
      </c>
      <c r="I33" s="1510" t="e">
        <f>铂郡面积表!#REF!</f>
        <v>#REF!</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9">
        <f t="shared" si="11"/>
        <v>0</v>
      </c>
      <c r="AW33" s="529">
        <f t="shared" si="12"/>
        <v>0</v>
      </c>
      <c r="AX33" s="529" t="str">
        <f t="shared" si="13"/>
        <v>朝阳区新东路8号院5号楼1层1-023</v>
      </c>
      <c r="AY33" s="38" t="e">
        <f t="shared" si="14"/>
        <v>#REF!</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ht="57">
      <c r="A34" s="6"/>
      <c r="B34" s="31"/>
      <c r="C34" s="3152" t="s">
        <v>3399</v>
      </c>
      <c r="D34" s="1509" t="s">
        <v>3569</v>
      </c>
      <c r="E34" s="32" t="e">
        <f t="shared" si="7"/>
        <v>#REF!</v>
      </c>
      <c r="F34" s="33"/>
      <c r="G34" s="34">
        <f t="shared" si="8"/>
        <v>94.89</v>
      </c>
      <c r="H34" s="35">
        <f t="shared" si="9"/>
        <v>94.89</v>
      </c>
      <c r="I34" s="1510">
        <f>铂郡面积表!E4</f>
        <v>94.89</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9">
        <f t="shared" si="11"/>
        <v>0</v>
      </c>
      <c r="AW34" s="529">
        <f t="shared" si="12"/>
        <v>0</v>
      </c>
      <c r="AX34" s="529" t="str">
        <f t="shared" si="13"/>
        <v>朝阳区新东路8号院5号楼1-028</v>
      </c>
      <c r="AY34" s="38" t="e">
        <f t="shared" si="14"/>
        <v>#REF!</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ht="57">
      <c r="A35" s="6"/>
      <c r="B35" s="31"/>
      <c r="C35" s="3152" t="s">
        <v>3402</v>
      </c>
      <c r="D35" s="1509" t="s">
        <v>3569</v>
      </c>
      <c r="E35" s="32" t="e">
        <f t="shared" si="7"/>
        <v>#REF!</v>
      </c>
      <c r="F35" s="33"/>
      <c r="G35" s="34">
        <f t="shared" si="8"/>
        <v>247.88</v>
      </c>
      <c r="H35" s="35">
        <f t="shared" si="9"/>
        <v>247.88</v>
      </c>
      <c r="I35" s="1510">
        <f>铂郡面积表!E5</f>
        <v>247.88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9">
        <f t="shared" si="11"/>
        <v>0</v>
      </c>
      <c r="AW35" s="529">
        <f t="shared" si="12"/>
        <v>0</v>
      </c>
      <c r="AX35" s="529" t="str">
        <f t="shared" si="13"/>
        <v>朝阳区新东路8号院5号楼1-029</v>
      </c>
      <c r="AY35" s="38" t="e">
        <f t="shared" si="14"/>
        <v>#REF!</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ht="57">
      <c r="A36" s="6"/>
      <c r="B36" s="31"/>
      <c r="C36" s="3152" t="s">
        <v>3403</v>
      </c>
      <c r="D36" s="1509" t="s">
        <v>3569</v>
      </c>
      <c r="E36" s="32" t="e">
        <f t="shared" si="7"/>
        <v>#REF!</v>
      </c>
      <c r="F36" s="33"/>
      <c r="G36" s="34">
        <f t="shared" si="8"/>
        <v>195.28</v>
      </c>
      <c r="H36" s="35">
        <f t="shared" si="9"/>
        <v>195.28</v>
      </c>
      <c r="I36" s="1510">
        <f>铂郡面积表!E6</f>
        <v>195.28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9">
        <f t="shared" si="11"/>
        <v>0</v>
      </c>
      <c r="AW36" s="529">
        <f t="shared" si="12"/>
        <v>0</v>
      </c>
      <c r="AX36" s="529" t="str">
        <f t="shared" si="13"/>
        <v>朝阳区新东路8号院5号楼1-030</v>
      </c>
      <c r="AY36" s="38" t="e">
        <f t="shared" si="14"/>
        <v>#REF!</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ht="57">
      <c r="A37" s="6"/>
      <c r="B37" s="31"/>
      <c r="C37" s="3152" t="s">
        <v>3404</v>
      </c>
      <c r="D37" s="1509" t="s">
        <v>3569</v>
      </c>
      <c r="E37" s="32" t="e">
        <f t="shared" si="7"/>
        <v>#REF!</v>
      </c>
      <c r="F37" s="33"/>
      <c r="G37" s="34">
        <f t="shared" si="8"/>
        <v>245.01</v>
      </c>
      <c r="H37" s="35">
        <f t="shared" si="9"/>
        <v>245.01</v>
      </c>
      <c r="I37" s="1510">
        <f>铂郡面积表!E7</f>
        <v>245.01</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9">
        <f t="shared" si="11"/>
        <v>0</v>
      </c>
      <c r="AW37" s="529">
        <f t="shared" si="12"/>
        <v>0</v>
      </c>
      <c r="AX37" s="529" t="str">
        <f t="shared" si="13"/>
        <v>朝阳区新东路8号院5号楼1-032</v>
      </c>
      <c r="AY37" s="38" t="e">
        <f t="shared" si="14"/>
        <v>#REF!</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ht="57">
      <c r="A38" s="6"/>
      <c r="B38" s="31"/>
      <c r="C38" s="3152" t="s">
        <v>3405</v>
      </c>
      <c r="D38" s="1509" t="s">
        <v>3569</v>
      </c>
      <c r="E38" s="32" t="e">
        <f t="shared" si="7"/>
        <v>#REF!</v>
      </c>
      <c r="F38" s="33"/>
      <c r="G38" s="34">
        <f t="shared" si="8"/>
        <v>98.08</v>
      </c>
      <c r="H38" s="35">
        <f t="shared" si="9"/>
        <v>98.08</v>
      </c>
      <c r="I38" s="1510">
        <f>铂郡面积表!E8</f>
        <v>98.08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9">
        <f t="shared" si="11"/>
        <v>0</v>
      </c>
      <c r="AW38" s="529">
        <f t="shared" si="12"/>
        <v>0</v>
      </c>
      <c r="AX38" s="529" t="str">
        <f t="shared" si="13"/>
        <v>朝阳区新东路8号院5号楼1-033</v>
      </c>
      <c r="AY38" s="38" t="e">
        <f t="shared" si="14"/>
        <v>#REF!</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ht="57">
      <c r="A39" s="6"/>
      <c r="B39" s="31"/>
      <c r="C39" s="3152" t="s">
        <v>3406</v>
      </c>
      <c r="D39" s="1509" t="s">
        <v>3569</v>
      </c>
      <c r="E39" s="32" t="e">
        <f t="shared" si="7"/>
        <v>#REF!</v>
      </c>
      <c r="F39" s="33"/>
      <c r="G39" s="34">
        <f t="shared" si="8"/>
        <v>80.900000000000006</v>
      </c>
      <c r="H39" s="35">
        <f t="shared" si="9"/>
        <v>80.900000000000006</v>
      </c>
      <c r="I39" s="1510">
        <f>铂郡面积表!E9</f>
        <v>80.900000000000006</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9">
        <f t="shared" si="11"/>
        <v>0</v>
      </c>
      <c r="AW39" s="529">
        <f t="shared" si="12"/>
        <v>0</v>
      </c>
      <c r="AX39" s="529" t="str">
        <f t="shared" si="13"/>
        <v>朝阳区新东路8号院5号楼1-035</v>
      </c>
      <c r="AY39" s="38" t="e">
        <f t="shared" si="14"/>
        <v>#REF!</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ht="57">
      <c r="A40" s="6"/>
      <c r="B40" s="31"/>
      <c r="C40" s="3152" t="s">
        <v>3407</v>
      </c>
      <c r="D40" s="1509" t="s">
        <v>3569</v>
      </c>
      <c r="E40" s="32" t="e">
        <f t="shared" si="7"/>
        <v>#REF!</v>
      </c>
      <c r="F40" s="33"/>
      <c r="G40" s="34">
        <f t="shared" si="8"/>
        <v>317.93</v>
      </c>
      <c r="H40" s="35">
        <f t="shared" si="9"/>
        <v>317.93</v>
      </c>
      <c r="I40" s="1510">
        <f>铂郡面积表!E10</f>
        <v>317.93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9">
        <f t="shared" si="11"/>
        <v>0</v>
      </c>
      <c r="AW40" s="529">
        <f t="shared" si="12"/>
        <v>0</v>
      </c>
      <c r="AX40" s="529" t="str">
        <f t="shared" si="13"/>
        <v>朝阳区新东路8号院5号楼1-036</v>
      </c>
      <c r="AY40" s="38" t="e">
        <f t="shared" si="14"/>
        <v>#REF!</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ht="85.5">
      <c r="A41" s="6"/>
      <c r="B41" s="31"/>
      <c r="C41" s="3220" t="s">
        <v>3408</v>
      </c>
      <c r="D41" s="1509" t="s">
        <v>3569</v>
      </c>
      <c r="E41" s="32" t="e">
        <f t="shared" ca="1" si="7"/>
        <v>#REF!</v>
      </c>
      <c r="F41" s="33"/>
      <c r="G41" s="34">
        <f t="shared" ca="1" si="8"/>
        <v>0</v>
      </c>
      <c r="H41" s="35">
        <f t="shared" ref="H41:H64" ca="1" si="36">SUMIF(I$12:AB$12,"总值",J41:AB41)</f>
        <v>0</v>
      </c>
      <c r="I41" s="40"/>
      <c r="J41" s="36"/>
      <c r="K41" s="1510">
        <f>铂郡面积表!E11</f>
        <v>193.29</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9">
        <f t="shared" si="11"/>
        <v>0</v>
      </c>
      <c r="AW41" s="529">
        <f t="shared" si="12"/>
        <v>0</v>
      </c>
      <c r="AX41" s="529" t="str">
        <f t="shared" si="13"/>
        <v>朝阳区新东路8号院1、2、3、4、5号楼地下室-1层-1-001</v>
      </c>
      <c r="AY41" s="38" t="e">
        <f t="shared" si="14"/>
        <v>#REF!</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ht="85.5">
      <c r="A42" s="6"/>
      <c r="B42" s="31"/>
      <c r="C42" s="3220" t="s">
        <v>3411</v>
      </c>
      <c r="D42" s="1509" t="s">
        <v>3569</v>
      </c>
      <c r="E42" s="32" t="e">
        <f t="shared" ca="1" si="7"/>
        <v>#REF!</v>
      </c>
      <c r="F42" s="33"/>
      <c r="G42" s="34">
        <f t="shared" ca="1" si="8"/>
        <v>0</v>
      </c>
      <c r="H42" s="35">
        <f t="shared" ca="1" si="36"/>
        <v>0</v>
      </c>
      <c r="I42" s="40"/>
      <c r="J42" s="36"/>
      <c r="K42" s="1510">
        <f>铂郡面积表!E12</f>
        <v>136.5</v>
      </c>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9">
        <f t="shared" si="11"/>
        <v>0</v>
      </c>
      <c r="AW42" s="529">
        <f t="shared" si="12"/>
        <v>0</v>
      </c>
      <c r="AX42" s="529" t="str">
        <f t="shared" si="13"/>
        <v>朝阳区新东路8号院1、2、3、4、5号楼地下室-1层-1-002</v>
      </c>
      <c r="AY42" s="38" t="e">
        <f t="shared" si="14"/>
        <v>#REF!</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ht="85.5">
      <c r="A43" s="6"/>
      <c r="B43" s="31"/>
      <c r="C43" s="3220" t="s">
        <v>3412</v>
      </c>
      <c r="D43" s="1509" t="s">
        <v>3569</v>
      </c>
      <c r="E43" s="32" t="e">
        <f t="shared" ca="1" si="7"/>
        <v>#REF!</v>
      </c>
      <c r="F43" s="33"/>
      <c r="G43" s="34">
        <f t="shared" ca="1" si="8"/>
        <v>0</v>
      </c>
      <c r="H43" s="35">
        <f t="shared" ca="1" si="36"/>
        <v>0</v>
      </c>
      <c r="I43" s="40"/>
      <c r="J43" s="36"/>
      <c r="K43" s="1510">
        <f>铂郡面积表!E13</f>
        <v>56.5</v>
      </c>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9">
        <f t="shared" si="11"/>
        <v>0</v>
      </c>
      <c r="AW43" s="529">
        <f t="shared" si="12"/>
        <v>0</v>
      </c>
      <c r="AX43" s="529" t="str">
        <f t="shared" si="13"/>
        <v>朝阳区新东路8号院1、2、3、4、5号楼地下室-1层-1-003</v>
      </c>
      <c r="AY43" s="38" t="e">
        <f t="shared" si="14"/>
        <v>#REF!</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ht="85.5">
      <c r="A44" s="6"/>
      <c r="B44" s="31"/>
      <c r="C44" s="3220" t="s">
        <v>3413</v>
      </c>
      <c r="D44" s="1509" t="s">
        <v>3569</v>
      </c>
      <c r="E44" s="32" t="e">
        <f t="shared" ca="1" si="7"/>
        <v>#REF!</v>
      </c>
      <c r="F44" s="33"/>
      <c r="G44" s="34">
        <f t="shared" ca="1" si="8"/>
        <v>0</v>
      </c>
      <c r="H44" s="35">
        <f t="shared" ca="1" si="36"/>
        <v>0</v>
      </c>
      <c r="I44" s="40"/>
      <c r="J44" s="36"/>
      <c r="K44" s="1510" t="e">
        <f>铂郡面积表!#REF!</f>
        <v>#REF!</v>
      </c>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9">
        <f t="shared" si="11"/>
        <v>0</v>
      </c>
      <c r="AW44" s="529">
        <f t="shared" si="12"/>
        <v>0</v>
      </c>
      <c r="AX44" s="529" t="str">
        <f t="shared" si="13"/>
        <v>朝阳区新东路8号院1、2、3、4、5号楼地下室-1层-1-005</v>
      </c>
      <c r="AY44" s="38" t="e">
        <f t="shared" si="14"/>
        <v>#REF!</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ht="85.5">
      <c r="A45" s="6"/>
      <c r="B45" s="31"/>
      <c r="C45" s="3220" t="s">
        <v>3414</v>
      </c>
      <c r="D45" s="1509" t="s">
        <v>3569</v>
      </c>
      <c r="E45" s="32" t="e">
        <f t="shared" ca="1" si="7"/>
        <v>#REF!</v>
      </c>
      <c r="F45" s="33"/>
      <c r="G45" s="34">
        <f t="shared" ca="1" si="8"/>
        <v>0</v>
      </c>
      <c r="H45" s="35">
        <f t="shared" ca="1" si="36"/>
        <v>0</v>
      </c>
      <c r="I45" s="40"/>
      <c r="J45" s="36"/>
      <c r="K45" s="1510" t="e">
        <f>铂郡面积表!#REF!</f>
        <v>#REF!</v>
      </c>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9">
        <f t="shared" si="11"/>
        <v>0</v>
      </c>
      <c r="AW45" s="529">
        <f t="shared" si="12"/>
        <v>0</v>
      </c>
      <c r="AX45" s="529" t="str">
        <f t="shared" si="13"/>
        <v>朝阳区新东路8号院1、2、3、4、5号楼地下室-1层-1-006</v>
      </c>
      <c r="AY45" s="38" t="e">
        <f t="shared" si="14"/>
        <v>#REF!</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ht="85.5">
      <c r="A46" s="6"/>
      <c r="B46" s="31"/>
      <c r="C46" s="3220" t="s">
        <v>3415</v>
      </c>
      <c r="D46" s="1509" t="s">
        <v>3569</v>
      </c>
      <c r="E46" s="32" t="e">
        <f t="shared" ca="1" si="7"/>
        <v>#REF!</v>
      </c>
      <c r="F46" s="33"/>
      <c r="G46" s="34">
        <f t="shared" ca="1" si="8"/>
        <v>0</v>
      </c>
      <c r="H46" s="35">
        <f t="shared" ca="1" si="36"/>
        <v>0</v>
      </c>
      <c r="I46" s="40"/>
      <c r="J46" s="36"/>
      <c r="K46" s="1510" t="e">
        <f>铂郡面积表!#REF!</f>
        <v>#REF!</v>
      </c>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9">
        <f t="shared" si="11"/>
        <v>0</v>
      </c>
      <c r="AW46" s="529">
        <f t="shared" si="12"/>
        <v>0</v>
      </c>
      <c r="AX46" s="529" t="str">
        <f t="shared" si="13"/>
        <v>朝阳区新东路8号院1、2、3、4、5号楼地下室-1层-1-007</v>
      </c>
      <c r="AY46" s="38" t="e">
        <f t="shared" si="14"/>
        <v>#REF!</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ht="85.5">
      <c r="A47" s="6"/>
      <c r="B47" s="31"/>
      <c r="C47" s="3220" t="s">
        <v>3416</v>
      </c>
      <c r="D47" s="1509" t="s">
        <v>3569</v>
      </c>
      <c r="E47" s="32" t="e">
        <f t="shared" ca="1" si="7"/>
        <v>#REF!</v>
      </c>
      <c r="F47" s="33"/>
      <c r="G47" s="34">
        <f t="shared" ca="1" si="8"/>
        <v>0</v>
      </c>
      <c r="H47" s="35">
        <f t="shared" ca="1" si="36"/>
        <v>0</v>
      </c>
      <c r="I47" s="40"/>
      <c r="J47" s="36"/>
      <c r="K47" s="1510" t="e">
        <f>铂郡面积表!#REF!</f>
        <v>#REF!</v>
      </c>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9">
        <f t="shared" si="11"/>
        <v>0</v>
      </c>
      <c r="AW47" s="529">
        <f t="shared" si="12"/>
        <v>0</v>
      </c>
      <c r="AX47" s="529" t="str">
        <f t="shared" si="13"/>
        <v>朝阳区新东路8号院1、2、3、4、5号楼地下室-1层-1-008</v>
      </c>
      <c r="AY47" s="38" t="e">
        <f t="shared" si="14"/>
        <v>#REF!</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ht="85.5">
      <c r="A48" s="6"/>
      <c r="B48" s="31"/>
      <c r="C48" s="3220" t="s">
        <v>3417</v>
      </c>
      <c r="D48" s="1509" t="s">
        <v>3569</v>
      </c>
      <c r="E48" s="32" t="e">
        <f t="shared" ca="1" si="7"/>
        <v>#REF!</v>
      </c>
      <c r="F48" s="33"/>
      <c r="G48" s="34">
        <f t="shared" ca="1" si="8"/>
        <v>0</v>
      </c>
      <c r="H48" s="35">
        <f t="shared" ca="1" si="36"/>
        <v>0</v>
      </c>
      <c r="I48" s="40"/>
      <c r="J48" s="36"/>
      <c r="K48" s="1510" t="e">
        <f>铂郡面积表!#REF!</f>
        <v>#REF!</v>
      </c>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9">
        <f t="shared" si="11"/>
        <v>0</v>
      </c>
      <c r="AW48" s="529">
        <f t="shared" si="12"/>
        <v>0</v>
      </c>
      <c r="AX48" s="529" t="str">
        <f t="shared" si="13"/>
        <v>朝阳区新东路8号院1、2、3、4、5号楼地下室-1层-1-010</v>
      </c>
      <c r="AY48" s="38" t="e">
        <f t="shared" si="14"/>
        <v>#REF!</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ht="85.5">
      <c r="A49" s="6"/>
      <c r="B49" s="31"/>
      <c r="C49" s="3220" t="s">
        <v>3418</v>
      </c>
      <c r="D49" s="1509" t="s">
        <v>3569</v>
      </c>
      <c r="E49" s="32" t="e">
        <f t="shared" ca="1" si="7"/>
        <v>#REF!</v>
      </c>
      <c r="F49" s="33"/>
      <c r="G49" s="34">
        <f t="shared" ca="1" si="8"/>
        <v>0</v>
      </c>
      <c r="H49" s="35">
        <f t="shared" ca="1" si="36"/>
        <v>0</v>
      </c>
      <c r="I49" s="40"/>
      <c r="J49" s="36"/>
      <c r="K49" s="1510" t="e">
        <f>铂郡面积表!#REF!</f>
        <v>#REF!</v>
      </c>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9">
        <f t="shared" si="11"/>
        <v>0</v>
      </c>
      <c r="AW49" s="529">
        <f t="shared" si="12"/>
        <v>0</v>
      </c>
      <c r="AX49" s="529" t="str">
        <f t="shared" si="13"/>
        <v>朝阳区新东路8号院1、2、3、4、5号楼地下室-1层-1-011</v>
      </c>
      <c r="AY49" s="38" t="e">
        <f t="shared" si="14"/>
        <v>#REF!</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ht="85.5">
      <c r="A50" s="6"/>
      <c r="B50" s="31"/>
      <c r="C50" s="3220" t="s">
        <v>3419</v>
      </c>
      <c r="D50" s="1509" t="s">
        <v>3569</v>
      </c>
      <c r="E50" s="32" t="e">
        <f t="shared" ca="1" si="7"/>
        <v>#REF!</v>
      </c>
      <c r="F50" s="33"/>
      <c r="G50" s="34">
        <f t="shared" ca="1" si="8"/>
        <v>0</v>
      </c>
      <c r="H50" s="35">
        <f t="shared" ca="1" si="36"/>
        <v>0</v>
      </c>
      <c r="I50" s="40"/>
      <c r="J50" s="36"/>
      <c r="K50" s="1510" t="e">
        <f>铂郡面积表!#REF!</f>
        <v>#REF!</v>
      </c>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9">
        <f t="shared" si="11"/>
        <v>0</v>
      </c>
      <c r="AW50" s="529">
        <f t="shared" si="12"/>
        <v>0</v>
      </c>
      <c r="AX50" s="529" t="str">
        <f t="shared" si="13"/>
        <v>朝阳区新东路8号院1、2、3、4、5号楼地下室-1层-1-012</v>
      </c>
      <c r="AY50" s="38" t="e">
        <f t="shared" si="14"/>
        <v>#REF!</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ht="85.5">
      <c r="A51" s="6"/>
      <c r="B51" s="31"/>
      <c r="C51" s="3220" t="s">
        <v>3420</v>
      </c>
      <c r="D51" s="1509" t="s">
        <v>3569</v>
      </c>
      <c r="E51" s="32" t="e">
        <f t="shared" ca="1" si="7"/>
        <v>#REF!</v>
      </c>
      <c r="F51" s="33"/>
      <c r="G51" s="34">
        <f t="shared" ca="1" si="8"/>
        <v>0</v>
      </c>
      <c r="H51" s="35">
        <f t="shared" ca="1" si="36"/>
        <v>0</v>
      </c>
      <c r="I51" s="40"/>
      <c r="J51" s="36"/>
      <c r="K51" s="1510" t="e">
        <f>铂郡面积表!#REF!</f>
        <v>#REF!</v>
      </c>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9">
        <f t="shared" si="11"/>
        <v>0</v>
      </c>
      <c r="AW51" s="529">
        <f t="shared" si="12"/>
        <v>0</v>
      </c>
      <c r="AX51" s="529" t="str">
        <f t="shared" si="13"/>
        <v>朝阳区新东路8号院1、2、3、4、5号楼地下室-1层-1-015</v>
      </c>
      <c r="AY51" s="38" t="e">
        <f t="shared" si="14"/>
        <v>#REF!</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ht="85.5">
      <c r="A52" s="6"/>
      <c r="B52" s="31"/>
      <c r="C52" s="3220" t="s">
        <v>3421</v>
      </c>
      <c r="D52" s="1509" t="s">
        <v>3569</v>
      </c>
      <c r="E52" s="32" t="e">
        <f t="shared" ca="1" si="7"/>
        <v>#REF!</v>
      </c>
      <c r="F52" s="33"/>
      <c r="G52" s="34">
        <f t="shared" ca="1" si="8"/>
        <v>0</v>
      </c>
      <c r="H52" s="35">
        <f t="shared" ca="1" si="36"/>
        <v>0</v>
      </c>
      <c r="I52" s="40"/>
      <c r="J52" s="36"/>
      <c r="K52" s="1510" t="e">
        <f>铂郡面积表!#REF!</f>
        <v>#REF!</v>
      </c>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9">
        <f t="shared" si="11"/>
        <v>0</v>
      </c>
      <c r="AW52" s="529">
        <f t="shared" si="12"/>
        <v>0</v>
      </c>
      <c r="AX52" s="529" t="str">
        <f t="shared" si="13"/>
        <v>朝阳区新东路8号院1、2、3、4、5号楼地下室-1层-1-016</v>
      </c>
      <c r="AY52" s="38" t="e">
        <f t="shared" si="14"/>
        <v>#REF!</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ht="85.5">
      <c r="A53" s="6"/>
      <c r="B53" s="31"/>
      <c r="C53" s="3220" t="s">
        <v>3422</v>
      </c>
      <c r="D53" s="1509" t="s">
        <v>3569</v>
      </c>
      <c r="E53" s="32" t="e">
        <f t="shared" ca="1" si="7"/>
        <v>#REF!</v>
      </c>
      <c r="F53" s="33"/>
      <c r="G53" s="34">
        <f t="shared" ca="1" si="8"/>
        <v>0</v>
      </c>
      <c r="H53" s="35">
        <f t="shared" ca="1" si="36"/>
        <v>0</v>
      </c>
      <c r="I53" s="40"/>
      <c r="J53" s="36"/>
      <c r="K53" s="1510" t="e">
        <f>铂郡面积表!#REF!</f>
        <v>#REF!</v>
      </c>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9">
        <f t="shared" si="11"/>
        <v>0</v>
      </c>
      <c r="AW53" s="529">
        <f t="shared" si="12"/>
        <v>0</v>
      </c>
      <c r="AX53" s="529" t="str">
        <f t="shared" si="13"/>
        <v>朝阳区新东路8号院1、2、3、4、5号楼地下室-1层-1-017</v>
      </c>
      <c r="AY53" s="38" t="e">
        <f t="shared" si="14"/>
        <v>#REF!</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ht="85.5">
      <c r="A54" s="6"/>
      <c r="B54" s="31"/>
      <c r="C54" s="3220" t="s">
        <v>3423</v>
      </c>
      <c r="D54" s="1509" t="s">
        <v>3569</v>
      </c>
      <c r="E54" s="32" t="e">
        <f t="shared" ca="1" si="7"/>
        <v>#REF!</v>
      </c>
      <c r="F54" s="33"/>
      <c r="G54" s="34">
        <f t="shared" ca="1" si="8"/>
        <v>0</v>
      </c>
      <c r="H54" s="35">
        <f t="shared" ca="1" si="36"/>
        <v>0</v>
      </c>
      <c r="I54" s="40"/>
      <c r="J54" s="36"/>
      <c r="K54" s="1510" t="e">
        <f>铂郡面积表!#REF!</f>
        <v>#REF!</v>
      </c>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9">
        <f t="shared" si="11"/>
        <v>0</v>
      </c>
      <c r="AW54" s="529">
        <f t="shared" si="12"/>
        <v>0</v>
      </c>
      <c r="AX54" s="529" t="str">
        <f t="shared" si="13"/>
        <v>朝阳区新东路8号院1、2、3、4、5号楼地下室-1层-1-018</v>
      </c>
      <c r="AY54" s="38" t="e">
        <f t="shared" si="14"/>
        <v>#REF!</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ht="85.5">
      <c r="A55" s="6"/>
      <c r="B55" s="31"/>
      <c r="C55" s="3220" t="s">
        <v>3424</v>
      </c>
      <c r="D55" s="1509" t="s">
        <v>3569</v>
      </c>
      <c r="E55" s="32" t="e">
        <f t="shared" ca="1" si="7"/>
        <v>#REF!</v>
      </c>
      <c r="F55" s="33"/>
      <c r="G55" s="34">
        <f t="shared" ca="1" si="8"/>
        <v>0</v>
      </c>
      <c r="H55" s="35">
        <f t="shared" ca="1" si="36"/>
        <v>0</v>
      </c>
      <c r="I55" s="40"/>
      <c r="J55" s="36"/>
      <c r="K55" s="1510" t="e">
        <f>铂郡面积表!#REF!</f>
        <v>#REF!</v>
      </c>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9">
        <f t="shared" si="11"/>
        <v>0</v>
      </c>
      <c r="AW55" s="529">
        <f t="shared" si="12"/>
        <v>0</v>
      </c>
      <c r="AX55" s="529" t="str">
        <f t="shared" si="13"/>
        <v>朝阳区新东路8号院1、2、3、4、5号楼地下室-1层-1-019</v>
      </c>
      <c r="AY55" s="38" t="e">
        <f t="shared" si="14"/>
        <v>#REF!</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ht="85.5">
      <c r="A56" s="6"/>
      <c r="B56" s="31"/>
      <c r="C56" s="3220" t="s">
        <v>3425</v>
      </c>
      <c r="D56" s="1509" t="s">
        <v>3569</v>
      </c>
      <c r="E56" s="32" t="e">
        <f t="shared" ca="1" si="7"/>
        <v>#REF!</v>
      </c>
      <c r="F56" s="33"/>
      <c r="G56" s="34">
        <f t="shared" ca="1" si="8"/>
        <v>0</v>
      </c>
      <c r="H56" s="35">
        <f t="shared" ca="1" si="36"/>
        <v>0</v>
      </c>
      <c r="I56" s="40"/>
      <c r="J56" s="36"/>
      <c r="K56" s="1510" t="e">
        <f>铂郡面积表!#REF!</f>
        <v>#REF!</v>
      </c>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9">
        <f t="shared" si="11"/>
        <v>0</v>
      </c>
      <c r="AW56" s="529">
        <f t="shared" si="12"/>
        <v>0</v>
      </c>
      <c r="AX56" s="529" t="str">
        <f t="shared" si="13"/>
        <v>朝阳区新东路8号院1、2、3、4、5号楼地下室-1层-1-020</v>
      </c>
      <c r="AY56" s="38" t="e">
        <f t="shared" si="14"/>
        <v>#REF!</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ht="85.5">
      <c r="A57" s="6"/>
      <c r="B57" s="31"/>
      <c r="C57" s="3220" t="s">
        <v>3426</v>
      </c>
      <c r="D57" s="1509" t="s">
        <v>3569</v>
      </c>
      <c r="E57" s="32" t="e">
        <f t="shared" ca="1" si="7"/>
        <v>#REF!</v>
      </c>
      <c r="F57" s="33"/>
      <c r="G57" s="34">
        <f t="shared" ca="1" si="8"/>
        <v>0</v>
      </c>
      <c r="H57" s="35">
        <f t="shared" ca="1" si="36"/>
        <v>0</v>
      </c>
      <c r="I57" s="40"/>
      <c r="J57" s="36"/>
      <c r="K57" s="1510" t="e">
        <f>铂郡面积表!#REF!</f>
        <v>#REF!</v>
      </c>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9">
        <f t="shared" si="11"/>
        <v>0</v>
      </c>
      <c r="AW57" s="529">
        <f t="shared" si="12"/>
        <v>0</v>
      </c>
      <c r="AX57" s="529" t="str">
        <f t="shared" si="13"/>
        <v>朝阳区新东路8号院1、2、3、4、5号楼地下室-1层-1-021</v>
      </c>
      <c r="AY57" s="38" t="e">
        <f t="shared" si="14"/>
        <v>#REF!</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ht="85.5">
      <c r="A58" s="6"/>
      <c r="B58" s="31"/>
      <c r="C58" s="3220" t="s">
        <v>3427</v>
      </c>
      <c r="D58" s="1509" t="s">
        <v>3569</v>
      </c>
      <c r="E58" s="32" t="e">
        <f t="shared" ca="1" si="7"/>
        <v>#REF!</v>
      </c>
      <c r="F58" s="33"/>
      <c r="G58" s="34">
        <f t="shared" ca="1" si="8"/>
        <v>0</v>
      </c>
      <c r="H58" s="35">
        <f t="shared" ca="1" si="36"/>
        <v>0</v>
      </c>
      <c r="I58" s="40"/>
      <c r="J58" s="36"/>
      <c r="K58" s="1510" t="e">
        <f>铂郡面积表!#REF!</f>
        <v>#REF!</v>
      </c>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9">
        <f t="shared" si="11"/>
        <v>0</v>
      </c>
      <c r="AW58" s="529">
        <f t="shared" si="12"/>
        <v>0</v>
      </c>
      <c r="AX58" s="529" t="str">
        <f t="shared" si="13"/>
        <v>朝阳区新东路8号院1、2、3、4、5号楼地下室-1层-1-022</v>
      </c>
      <c r="AY58" s="38" t="e">
        <f t="shared" si="14"/>
        <v>#REF!</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ht="85.5">
      <c r="A59" s="6"/>
      <c r="B59" s="31"/>
      <c r="C59" s="3220" t="s">
        <v>3428</v>
      </c>
      <c r="D59" s="1509" t="s">
        <v>3569</v>
      </c>
      <c r="E59" s="32" t="e">
        <f t="shared" ca="1" si="7"/>
        <v>#REF!</v>
      </c>
      <c r="F59" s="33"/>
      <c r="G59" s="34">
        <f t="shared" ca="1" si="8"/>
        <v>0</v>
      </c>
      <c r="H59" s="35">
        <f t="shared" ca="1" si="36"/>
        <v>0</v>
      </c>
      <c r="I59" s="40"/>
      <c r="J59" s="36"/>
      <c r="K59" s="1510" t="e">
        <f>铂郡面积表!#REF!</f>
        <v>#REF!</v>
      </c>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9">
        <f t="shared" si="11"/>
        <v>0</v>
      </c>
      <c r="AW59" s="529">
        <f t="shared" si="12"/>
        <v>0</v>
      </c>
      <c r="AX59" s="529" t="str">
        <f t="shared" si="13"/>
        <v>朝阳区新东路8号院1、2、3、4、5号楼地下室-1层-1-023</v>
      </c>
      <c r="AY59" s="38" t="e">
        <f t="shared" si="14"/>
        <v>#REF!</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ht="85.5">
      <c r="A60" s="6"/>
      <c r="B60" s="31"/>
      <c r="C60" s="3220" t="s">
        <v>3429</v>
      </c>
      <c r="D60" s="1509" t="s">
        <v>3569</v>
      </c>
      <c r="E60" s="32" t="e">
        <f t="shared" ca="1" si="7"/>
        <v>#REF!</v>
      </c>
      <c r="F60" s="33"/>
      <c r="G60" s="34">
        <f t="shared" ca="1" si="8"/>
        <v>0</v>
      </c>
      <c r="H60" s="35">
        <f t="shared" ca="1" si="36"/>
        <v>0</v>
      </c>
      <c r="I60" s="40"/>
      <c r="J60" s="36"/>
      <c r="K60" s="1510" t="e">
        <f>铂郡面积表!#REF!</f>
        <v>#REF!</v>
      </c>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9">
        <f t="shared" si="11"/>
        <v>0</v>
      </c>
      <c r="AW60" s="529">
        <f t="shared" si="12"/>
        <v>0</v>
      </c>
      <c r="AX60" s="529" t="str">
        <f t="shared" si="13"/>
        <v>朝阳区新东路8号院1、2、3、4、5号楼地下室-1层-1-025</v>
      </c>
      <c r="AY60" s="38" t="e">
        <f t="shared" si="14"/>
        <v>#REF!</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ht="85.5">
      <c r="A61" s="6"/>
      <c r="B61" s="31"/>
      <c r="C61" s="3220" t="s">
        <v>3430</v>
      </c>
      <c r="D61" s="1509" t="s">
        <v>3569</v>
      </c>
      <c r="E61" s="32" t="e">
        <f t="shared" ca="1" si="7"/>
        <v>#REF!</v>
      </c>
      <c r="F61" s="33"/>
      <c r="G61" s="34">
        <f t="shared" ca="1" si="8"/>
        <v>0</v>
      </c>
      <c r="H61" s="35">
        <f t="shared" ca="1" si="36"/>
        <v>0</v>
      </c>
      <c r="I61" s="40"/>
      <c r="J61" s="36"/>
      <c r="K61" s="1510" t="e">
        <f>铂郡面积表!#REF!</f>
        <v>#REF!</v>
      </c>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9">
        <f t="shared" si="11"/>
        <v>0</v>
      </c>
      <c r="AW61" s="529">
        <f t="shared" si="12"/>
        <v>0</v>
      </c>
      <c r="AX61" s="529" t="str">
        <f t="shared" si="13"/>
        <v>朝阳区新东路8号院1、2、3、4、5号楼地下室-1层-1-026</v>
      </c>
      <c r="AY61" s="38" t="e">
        <f t="shared" si="14"/>
        <v>#REF!</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ht="85.5">
      <c r="A62" s="6"/>
      <c r="B62" s="31"/>
      <c r="C62" s="3220" t="s">
        <v>3431</v>
      </c>
      <c r="D62" s="1509" t="s">
        <v>3569</v>
      </c>
      <c r="E62" s="32" t="e">
        <f t="shared" ca="1" si="7"/>
        <v>#REF!</v>
      </c>
      <c r="F62" s="33"/>
      <c r="G62" s="34">
        <f t="shared" ca="1" si="8"/>
        <v>0</v>
      </c>
      <c r="H62" s="35">
        <f t="shared" ca="1" si="36"/>
        <v>0</v>
      </c>
      <c r="I62" s="40"/>
      <c r="J62" s="36"/>
      <c r="K62" s="1510" t="e">
        <f>铂郡面积表!#REF!</f>
        <v>#REF!</v>
      </c>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9">
        <f t="shared" si="11"/>
        <v>0</v>
      </c>
      <c r="AW62" s="529">
        <f t="shared" si="12"/>
        <v>0</v>
      </c>
      <c r="AX62" s="529" t="str">
        <f t="shared" si="13"/>
        <v>朝阳区新东路8号院1、2、3、4、5号楼地下室-1层-1-036</v>
      </c>
      <c r="AY62" s="38" t="e">
        <f t="shared" si="14"/>
        <v>#REF!</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ht="85.5">
      <c r="A63" s="6"/>
      <c r="B63" s="31"/>
      <c r="C63" s="3220" t="s">
        <v>3432</v>
      </c>
      <c r="D63" s="1509" t="s">
        <v>3569</v>
      </c>
      <c r="E63" s="32" t="e">
        <f t="shared" ca="1" si="7"/>
        <v>#REF!</v>
      </c>
      <c r="F63" s="33"/>
      <c r="G63" s="34">
        <f t="shared" ca="1" si="8"/>
        <v>0</v>
      </c>
      <c r="H63" s="35">
        <f t="shared" ca="1" si="36"/>
        <v>0</v>
      </c>
      <c r="I63" s="40"/>
      <c r="J63" s="36"/>
      <c r="K63" s="1510" t="e">
        <f>铂郡面积表!#REF!</f>
        <v>#REF!</v>
      </c>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9">
        <f t="shared" si="11"/>
        <v>0</v>
      </c>
      <c r="AW63" s="529">
        <f t="shared" si="12"/>
        <v>0</v>
      </c>
      <c r="AX63" s="529" t="str">
        <f t="shared" si="13"/>
        <v>朝阳区新东路8号院1、2、3、4、5号楼地下室-1层-1-037</v>
      </c>
      <c r="AY63" s="38" t="e">
        <f t="shared" si="14"/>
        <v>#REF!</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ht="99.75">
      <c r="A64" s="6"/>
      <c r="B64" s="31"/>
      <c r="C64" s="3221" t="s">
        <v>3433</v>
      </c>
      <c r="D64" s="1509" t="s">
        <v>3569</v>
      </c>
      <c r="E64" s="32" t="e">
        <f t="shared" ca="1" si="7"/>
        <v>#REF!</v>
      </c>
      <c r="F64" s="33"/>
      <c r="G64" s="34">
        <f t="shared" ca="1" si="8"/>
        <v>0</v>
      </c>
      <c r="H64" s="35">
        <f t="shared" ca="1" si="36"/>
        <v>0</v>
      </c>
      <c r="I64" s="40"/>
      <c r="J64" s="36"/>
      <c r="K64" s="1510" t="e">
        <f>铂郡面积表!#REF!</f>
        <v>#REF!</v>
      </c>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9">
        <f t="shared" si="11"/>
        <v>0</v>
      </c>
      <c r="AW64" s="529">
        <f t="shared" si="12"/>
        <v>0</v>
      </c>
      <c r="AX64" s="529" t="str">
        <f t="shared" si="13"/>
        <v>北京市朝阳区新东路12号院1、2、3、4号楼地下室-1层-1-026</v>
      </c>
      <c r="AY64" s="38" t="e">
        <f t="shared" si="14"/>
        <v>#REF!</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t="s">
        <v>3569</v>
      </c>
      <c r="E65" s="32" t="e">
        <f t="shared" si="7"/>
        <v>#REF!</v>
      </c>
      <c r="F65" s="33"/>
      <c r="G65" s="34">
        <f t="shared" si="8"/>
        <v>0</v>
      </c>
      <c r="H65" s="35">
        <f t="shared" si="9"/>
        <v>0</v>
      </c>
      <c r="I65" s="1510"/>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9">
        <f t="shared" si="11"/>
        <v>0</v>
      </c>
      <c r="AW65" s="529">
        <f t="shared" si="12"/>
        <v>0</v>
      </c>
      <c r="AX65" s="529">
        <f t="shared" si="13"/>
        <v>0</v>
      </c>
      <c r="AY65" s="38" t="e">
        <f t="shared" si="14"/>
        <v>#REF!</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t="s">
        <v>3569</v>
      </c>
      <c r="E66" s="32" t="e">
        <f t="shared" si="7"/>
        <v>#REF!</v>
      </c>
      <c r="F66" s="33"/>
      <c r="G66" s="34">
        <f t="shared" si="8"/>
        <v>0</v>
      </c>
      <c r="H66" s="35">
        <f t="shared" si="9"/>
        <v>0</v>
      </c>
      <c r="I66" s="1510"/>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9">
        <f t="shared" si="11"/>
        <v>0</v>
      </c>
      <c r="AW66" s="529">
        <f t="shared" si="12"/>
        <v>0</v>
      </c>
      <c r="AX66" s="529">
        <f t="shared" si="13"/>
        <v>0</v>
      </c>
      <c r="AY66" s="38" t="e">
        <f t="shared" si="14"/>
        <v>#REF!</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t="s">
        <v>3569</v>
      </c>
      <c r="E67" s="32" t="e">
        <f t="shared" si="7"/>
        <v>#REF!</v>
      </c>
      <c r="F67" s="33"/>
      <c r="G67" s="34">
        <f t="shared" si="8"/>
        <v>0</v>
      </c>
      <c r="H67" s="35">
        <f t="shared" si="9"/>
        <v>0</v>
      </c>
      <c r="I67" s="1510"/>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9">
        <f t="shared" si="11"/>
        <v>0</v>
      </c>
      <c r="AW67" s="529">
        <f t="shared" si="12"/>
        <v>0</v>
      </c>
      <c r="AX67" s="529">
        <f t="shared" si="13"/>
        <v>0</v>
      </c>
      <c r="AY67" s="38" t="e">
        <f t="shared" si="14"/>
        <v>#REF!</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t="s">
        <v>3569</v>
      </c>
      <c r="E68" s="32" t="e">
        <f t="shared" si="7"/>
        <v>#REF!</v>
      </c>
      <c r="F68" s="33"/>
      <c r="G68" s="34">
        <f t="shared" si="8"/>
        <v>0</v>
      </c>
      <c r="H68" s="35">
        <f t="shared" si="9"/>
        <v>0</v>
      </c>
      <c r="I68" s="1510">
        <f>铂郡面积表!E16</f>
        <v>0</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9">
        <f t="shared" si="11"/>
        <v>0</v>
      </c>
      <c r="AW68" s="529">
        <f t="shared" si="12"/>
        <v>0</v>
      </c>
      <c r="AX68" s="529">
        <f t="shared" si="13"/>
        <v>0</v>
      </c>
      <c r="AY68" s="38" t="e">
        <f t="shared" si="14"/>
        <v>#REF!</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t="s">
        <v>3569</v>
      </c>
      <c r="E69" s="32" t="e">
        <f t="shared" si="7"/>
        <v>#REF!</v>
      </c>
      <c r="F69" s="33"/>
      <c r="G69" s="34">
        <f t="shared" si="8"/>
        <v>0</v>
      </c>
      <c r="H69" s="35">
        <f t="shared" si="9"/>
        <v>0</v>
      </c>
      <c r="I69" s="1510">
        <f>铂郡面积表!E17</f>
        <v>0</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9">
        <f t="shared" si="11"/>
        <v>0</v>
      </c>
      <c r="AW69" s="529">
        <f t="shared" si="12"/>
        <v>0</v>
      </c>
      <c r="AX69" s="529">
        <f t="shared" si="13"/>
        <v>0</v>
      </c>
      <c r="AY69" s="38" t="e">
        <f t="shared" si="14"/>
        <v>#REF!</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t="s">
        <v>3569</v>
      </c>
      <c r="E70" s="32" t="e">
        <f t="shared" si="7"/>
        <v>#REF!</v>
      </c>
      <c r="F70" s="33"/>
      <c r="G70" s="34">
        <f t="shared" si="8"/>
        <v>0</v>
      </c>
      <c r="H70" s="35">
        <f t="shared" si="9"/>
        <v>0</v>
      </c>
      <c r="I70" s="1510">
        <f>铂郡面积表!E18</f>
        <v>0</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9">
        <f t="shared" si="11"/>
        <v>0</v>
      </c>
      <c r="AW70" s="529">
        <f t="shared" si="12"/>
        <v>0</v>
      </c>
      <c r="AX70" s="529">
        <f t="shared" si="13"/>
        <v>0</v>
      </c>
      <c r="AY70" s="38" t="e">
        <f t="shared" si="14"/>
        <v>#REF!</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t="s">
        <v>3569</v>
      </c>
      <c r="E71" s="32" t="e">
        <f t="shared" si="7"/>
        <v>#REF!</v>
      </c>
      <c r="F71" s="33"/>
      <c r="G71" s="34">
        <f t="shared" si="8"/>
        <v>0</v>
      </c>
      <c r="H71" s="35">
        <f t="shared" si="9"/>
        <v>0</v>
      </c>
      <c r="I71" s="1510">
        <f>铂郡面积表!E19</f>
        <v>0</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9">
        <f t="shared" si="11"/>
        <v>0</v>
      </c>
      <c r="AW71" s="529">
        <f t="shared" si="12"/>
        <v>0</v>
      </c>
      <c r="AX71" s="529">
        <f t="shared" si="13"/>
        <v>0</v>
      </c>
      <c r="AY71" s="38" t="e">
        <f t="shared" si="14"/>
        <v>#REF!</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t="s">
        <v>3569</v>
      </c>
      <c r="E72" s="32" t="e">
        <f t="shared" si="7"/>
        <v>#REF!</v>
      </c>
      <c r="F72" s="33"/>
      <c r="G72" s="34">
        <f t="shared" si="8"/>
        <v>0</v>
      </c>
      <c r="H72" s="35">
        <f t="shared" si="9"/>
        <v>0</v>
      </c>
      <c r="I72" s="1510" t="str">
        <f>铂郡面积表!E20</f>
        <v>0-100</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9">
        <f t="shared" si="11"/>
        <v>0</v>
      </c>
      <c r="AW72" s="529">
        <f t="shared" si="12"/>
        <v>0</v>
      </c>
      <c r="AX72" s="529">
        <f t="shared" si="13"/>
        <v>0</v>
      </c>
      <c r="AY72" s="38" t="e">
        <f t="shared" si="14"/>
        <v>#REF!</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t="s">
        <v>3569</v>
      </c>
      <c r="E73" s="32" t="e">
        <f t="shared" si="7"/>
        <v>#REF!</v>
      </c>
      <c r="F73" s="33"/>
      <c r="G73" s="34">
        <f t="shared" si="8"/>
        <v>100</v>
      </c>
      <c r="H73" s="35">
        <f t="shared" si="9"/>
        <v>100</v>
      </c>
      <c r="I73" s="1510">
        <f>铂郡面积表!E21</f>
        <v>100</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9">
        <f t="shared" si="11"/>
        <v>0</v>
      </c>
      <c r="AW73" s="529">
        <f t="shared" si="12"/>
        <v>0</v>
      </c>
      <c r="AX73" s="529">
        <f t="shared" si="13"/>
        <v>0</v>
      </c>
      <c r="AY73" s="38" t="e">
        <f t="shared" si="14"/>
        <v>#REF!</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t="s">
        <v>3569</v>
      </c>
      <c r="E74" s="32" t="e">
        <f t="shared" si="7"/>
        <v>#REF!</v>
      </c>
      <c r="F74" s="33"/>
      <c r="G74" s="34">
        <f t="shared" si="8"/>
        <v>0</v>
      </c>
      <c r="H74" s="35">
        <f t="shared" si="9"/>
        <v>0</v>
      </c>
      <c r="I74" s="1510">
        <f>铂郡面积表!E22</f>
        <v>0</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9">
        <f t="shared" si="11"/>
        <v>0</v>
      </c>
      <c r="AW74" s="529">
        <f t="shared" si="12"/>
        <v>0</v>
      </c>
      <c r="AX74" s="529">
        <f t="shared" si="13"/>
        <v>0</v>
      </c>
      <c r="AY74" s="38" t="e">
        <f t="shared" si="14"/>
        <v>#REF!</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t="s">
        <v>3569</v>
      </c>
      <c r="E75" s="32" t="e">
        <f t="shared" si="7"/>
        <v>#REF!</v>
      </c>
      <c r="F75" s="33"/>
      <c r="G75" s="34">
        <f t="shared" si="8"/>
        <v>0</v>
      </c>
      <c r="H75" s="35">
        <f t="shared" si="9"/>
        <v>0</v>
      </c>
      <c r="I75" s="1510">
        <f>铂郡面积表!E23</f>
        <v>0</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9">
        <f t="shared" si="11"/>
        <v>0</v>
      </c>
      <c r="AW75" s="529">
        <f t="shared" si="12"/>
        <v>0</v>
      </c>
      <c r="AX75" s="529">
        <f t="shared" si="13"/>
        <v>0</v>
      </c>
      <c r="AY75" s="38" t="e">
        <f t="shared" si="14"/>
        <v>#REF!</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t="s">
        <v>3569</v>
      </c>
      <c r="E76" s="32" t="e">
        <f t="shared" si="7"/>
        <v>#REF!</v>
      </c>
      <c r="F76" s="33"/>
      <c r="G76" s="34">
        <f t="shared" si="8"/>
        <v>0</v>
      </c>
      <c r="H76" s="35">
        <f t="shared" si="9"/>
        <v>0</v>
      </c>
      <c r="I76" s="1510">
        <f>铂郡面积表!E24</f>
        <v>0</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9">
        <f t="shared" si="11"/>
        <v>0</v>
      </c>
      <c r="AW76" s="529">
        <f t="shared" si="12"/>
        <v>0</v>
      </c>
      <c r="AX76" s="529">
        <f t="shared" si="13"/>
        <v>0</v>
      </c>
      <c r="AY76" s="38" t="e">
        <f t="shared" si="14"/>
        <v>#REF!</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t="s">
        <v>3569</v>
      </c>
      <c r="E77" s="32" t="e">
        <f t="shared" si="7"/>
        <v>#REF!</v>
      </c>
      <c r="F77" s="33"/>
      <c r="G77" s="34">
        <f t="shared" si="8"/>
        <v>0</v>
      </c>
      <c r="H77" s="35">
        <f t="shared" si="9"/>
        <v>0</v>
      </c>
      <c r="I77" s="1510">
        <f>铂郡面积表!E25</f>
        <v>0</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9">
        <f t="shared" si="11"/>
        <v>0</v>
      </c>
      <c r="AW77" s="529">
        <f t="shared" si="12"/>
        <v>0</v>
      </c>
      <c r="AX77" s="529">
        <f t="shared" si="13"/>
        <v>0</v>
      </c>
      <c r="AY77" s="38" t="e">
        <f t="shared" si="14"/>
        <v>#REF!</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t="s">
        <v>3569</v>
      </c>
      <c r="E78" s="32" t="e">
        <f t="shared" si="7"/>
        <v>#REF!</v>
      </c>
      <c r="F78" s="33"/>
      <c r="G78" s="34">
        <f t="shared" si="8"/>
        <v>0</v>
      </c>
      <c r="H78" s="35">
        <f t="shared" si="9"/>
        <v>0</v>
      </c>
      <c r="I78" s="1510">
        <f>铂郡面积表!E26</f>
        <v>0</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9">
        <f t="shared" si="11"/>
        <v>0</v>
      </c>
      <c r="AW78" s="529">
        <f t="shared" si="12"/>
        <v>0</v>
      </c>
      <c r="AX78" s="529">
        <f t="shared" si="13"/>
        <v>0</v>
      </c>
      <c r="AY78" s="38" t="e">
        <f t="shared" si="14"/>
        <v>#REF!</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t="s">
        <v>3569</v>
      </c>
      <c r="E79" s="32" t="e">
        <f t="shared" si="7"/>
        <v>#REF!</v>
      </c>
      <c r="F79" s="33"/>
      <c r="G79" s="34">
        <f t="shared" si="8"/>
        <v>0</v>
      </c>
      <c r="H79" s="35">
        <f t="shared" si="9"/>
        <v>0</v>
      </c>
      <c r="I79" s="1510">
        <f>铂郡面积表!E27</f>
        <v>0</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9">
        <f t="shared" si="11"/>
        <v>0</v>
      </c>
      <c r="AW79" s="529">
        <f t="shared" si="12"/>
        <v>0</v>
      </c>
      <c r="AX79" s="529">
        <f t="shared" si="13"/>
        <v>0</v>
      </c>
      <c r="AY79" s="38" t="e">
        <f t="shared" si="14"/>
        <v>#REF!</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t="s">
        <v>3569</v>
      </c>
      <c r="E80" s="32" t="e">
        <f t="shared" si="7"/>
        <v>#REF!</v>
      </c>
      <c r="F80" s="33"/>
      <c r="G80" s="34">
        <f t="shared" si="8"/>
        <v>0</v>
      </c>
      <c r="H80" s="35">
        <f t="shared" si="9"/>
        <v>0</v>
      </c>
      <c r="I80" s="1510">
        <f>铂郡面积表!E28</f>
        <v>0</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9">
        <f t="shared" si="11"/>
        <v>0</v>
      </c>
      <c r="AW80" s="529">
        <f t="shared" si="12"/>
        <v>0</v>
      </c>
      <c r="AX80" s="529">
        <f t="shared" si="13"/>
        <v>0</v>
      </c>
      <c r="AY80" s="38" t="e">
        <f t="shared" si="14"/>
        <v>#REF!</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t="s">
        <v>3569</v>
      </c>
      <c r="E81" s="32" t="e">
        <f t="shared" si="7"/>
        <v>#REF!</v>
      </c>
      <c r="F81" s="33"/>
      <c r="G81" s="34">
        <f t="shared" si="8"/>
        <v>0</v>
      </c>
      <c r="H81" s="35">
        <f t="shared" si="9"/>
        <v>0</v>
      </c>
      <c r="I81" s="1510">
        <f>铂郡面积表!E29</f>
        <v>0</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9">
        <f t="shared" si="11"/>
        <v>0</v>
      </c>
      <c r="AW81" s="529">
        <f t="shared" si="12"/>
        <v>0</v>
      </c>
      <c r="AX81" s="529">
        <f t="shared" si="13"/>
        <v>0</v>
      </c>
      <c r="AY81" s="38" t="e">
        <f t="shared" si="14"/>
        <v>#REF!</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t="s">
        <v>3569</v>
      </c>
      <c r="E82" s="32" t="e">
        <f t="shared" si="7"/>
        <v>#REF!</v>
      </c>
      <c r="F82" s="33"/>
      <c r="G82" s="34">
        <f t="shared" si="8"/>
        <v>0</v>
      </c>
      <c r="H82" s="35">
        <f t="shared" si="9"/>
        <v>0</v>
      </c>
      <c r="I82" s="1510">
        <f>铂郡面积表!E30</f>
        <v>0</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9">
        <f t="shared" si="11"/>
        <v>0</v>
      </c>
      <c r="AW82" s="529">
        <f t="shared" si="12"/>
        <v>0</v>
      </c>
      <c r="AX82" s="529">
        <f t="shared" si="13"/>
        <v>0</v>
      </c>
      <c r="AY82" s="38" t="e">
        <f t="shared" si="14"/>
        <v>#REF!</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t="s">
        <v>3569</v>
      </c>
      <c r="E83" s="32" t="e">
        <f t="shared" si="7"/>
        <v>#REF!</v>
      </c>
      <c r="F83" s="33"/>
      <c r="G83" s="34">
        <f t="shared" si="8"/>
        <v>0</v>
      </c>
      <c r="H83" s="35">
        <f t="shared" si="9"/>
        <v>0</v>
      </c>
      <c r="I83" s="1510">
        <f>铂郡面积表!E31</f>
        <v>0</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9">
        <f t="shared" si="11"/>
        <v>0</v>
      </c>
      <c r="AW83" s="529">
        <f t="shared" si="12"/>
        <v>0</v>
      </c>
      <c r="AX83" s="529">
        <f t="shared" si="13"/>
        <v>0</v>
      </c>
      <c r="AY83" s="38" t="e">
        <f t="shared" si="14"/>
        <v>#REF!</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t="s">
        <v>3569</v>
      </c>
      <c r="E84" s="32" t="e">
        <f t="shared" si="7"/>
        <v>#REF!</v>
      </c>
      <c r="F84" s="33"/>
      <c r="G84" s="34">
        <f t="shared" si="8"/>
        <v>0</v>
      </c>
      <c r="H84" s="35">
        <f t="shared" si="9"/>
        <v>0</v>
      </c>
      <c r="I84" s="1510">
        <f>铂郡面积表!E32</f>
        <v>0</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9">
        <f t="shared" si="11"/>
        <v>0</v>
      </c>
      <c r="AW84" s="529">
        <f t="shared" si="12"/>
        <v>0</v>
      </c>
      <c r="AX84" s="529">
        <f t="shared" si="13"/>
        <v>0</v>
      </c>
      <c r="AY84" s="38" t="e">
        <f t="shared" si="14"/>
        <v>#REF!</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t="s">
        <v>3569</v>
      </c>
      <c r="E85" s="32" t="e">
        <f t="shared" si="7"/>
        <v>#REF!</v>
      </c>
      <c r="F85" s="33"/>
      <c r="G85" s="34">
        <f t="shared" si="8"/>
        <v>0</v>
      </c>
      <c r="H85" s="35">
        <f t="shared" si="9"/>
        <v>0</v>
      </c>
      <c r="I85" s="1510">
        <f>铂郡面积表!E33</f>
        <v>0</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9">
        <f t="shared" si="11"/>
        <v>0</v>
      </c>
      <c r="AW85" s="529">
        <f t="shared" si="12"/>
        <v>0</v>
      </c>
      <c r="AX85" s="529">
        <f t="shared" si="13"/>
        <v>0</v>
      </c>
      <c r="AY85" s="38" t="e">
        <f t="shared" si="14"/>
        <v>#REF!</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t="s">
        <v>3569</v>
      </c>
      <c r="E86" s="32" t="e">
        <f t="shared" si="7"/>
        <v>#REF!</v>
      </c>
      <c r="F86" s="33"/>
      <c r="G86" s="34">
        <f t="shared" si="8"/>
        <v>0</v>
      </c>
      <c r="H86" s="35">
        <f t="shared" si="9"/>
        <v>0</v>
      </c>
      <c r="I86" s="1510">
        <f>铂郡面积表!E34</f>
        <v>0</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9">
        <f t="shared" si="11"/>
        <v>0</v>
      </c>
      <c r="AW86" s="529">
        <f t="shared" si="12"/>
        <v>0</v>
      </c>
      <c r="AX86" s="529">
        <f t="shared" si="13"/>
        <v>0</v>
      </c>
      <c r="AY86" s="38" t="e">
        <f t="shared" si="14"/>
        <v>#REF!</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t="s">
        <v>3569</v>
      </c>
      <c r="E87" s="32" t="e">
        <f t="shared" si="7"/>
        <v>#REF!</v>
      </c>
      <c r="F87" s="33"/>
      <c r="G87" s="34">
        <f t="shared" si="8"/>
        <v>0</v>
      </c>
      <c r="H87" s="35">
        <f t="shared" si="9"/>
        <v>0</v>
      </c>
      <c r="I87" s="1510">
        <f>铂郡面积表!E35</f>
        <v>0</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9">
        <f t="shared" si="11"/>
        <v>0</v>
      </c>
      <c r="AW87" s="529">
        <f t="shared" si="12"/>
        <v>0</v>
      </c>
      <c r="AX87" s="529">
        <f t="shared" si="13"/>
        <v>0</v>
      </c>
      <c r="AY87" s="38" t="e">
        <f t="shared" si="14"/>
        <v>#REF!</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t="s">
        <v>3569</v>
      </c>
      <c r="E88" s="32" t="e">
        <f t="shared" si="7"/>
        <v>#REF!</v>
      </c>
      <c r="F88" s="33"/>
      <c r="G88" s="34">
        <f t="shared" si="8"/>
        <v>0</v>
      </c>
      <c r="H88" s="35">
        <f t="shared" si="9"/>
        <v>0</v>
      </c>
      <c r="I88" s="1510">
        <f>铂郡面积表!E36</f>
        <v>0</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9">
        <f t="shared" si="11"/>
        <v>0</v>
      </c>
      <c r="AW88" s="529">
        <f t="shared" si="12"/>
        <v>0</v>
      </c>
      <c r="AX88" s="529">
        <f t="shared" si="13"/>
        <v>0</v>
      </c>
      <c r="AY88" s="38" t="e">
        <f t="shared" si="14"/>
        <v>#REF!</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t="s">
        <v>3569</v>
      </c>
      <c r="E89" s="32" t="e">
        <f t="shared" si="7"/>
        <v>#REF!</v>
      </c>
      <c r="F89" s="33"/>
      <c r="G89" s="34">
        <f t="shared" si="8"/>
        <v>0</v>
      </c>
      <c r="H89" s="35">
        <f t="shared" si="9"/>
        <v>0</v>
      </c>
      <c r="I89" s="1510">
        <f>铂郡面积表!E37</f>
        <v>0</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9">
        <f t="shared" si="11"/>
        <v>0</v>
      </c>
      <c r="AW89" s="529">
        <f t="shared" si="12"/>
        <v>0</v>
      </c>
      <c r="AX89" s="529">
        <f t="shared" si="13"/>
        <v>0</v>
      </c>
      <c r="AY89" s="38" t="e">
        <f t="shared" si="14"/>
        <v>#REF!</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t="s">
        <v>3569</v>
      </c>
      <c r="E90" s="32" t="e">
        <f t="shared" si="7"/>
        <v>#REF!</v>
      </c>
      <c r="F90" s="33"/>
      <c r="G90" s="34">
        <f t="shared" si="8"/>
        <v>0</v>
      </c>
      <c r="H90" s="35">
        <f t="shared" si="9"/>
        <v>0</v>
      </c>
      <c r="I90" s="1510">
        <f>铂郡面积表!E38</f>
        <v>0</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9">
        <f t="shared" si="11"/>
        <v>0</v>
      </c>
      <c r="AW90" s="529">
        <f t="shared" si="12"/>
        <v>0</v>
      </c>
      <c r="AX90" s="529">
        <f t="shared" si="13"/>
        <v>0</v>
      </c>
      <c r="AY90" s="38" t="e">
        <f t="shared" si="14"/>
        <v>#REF!</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t="s">
        <v>3569</v>
      </c>
      <c r="E91" s="32" t="e">
        <f t="shared" si="7"/>
        <v>#REF!</v>
      </c>
      <c r="F91" s="33"/>
      <c r="G91" s="34">
        <f t="shared" si="8"/>
        <v>0</v>
      </c>
      <c r="H91" s="35">
        <f t="shared" si="9"/>
        <v>0</v>
      </c>
      <c r="I91" s="1510">
        <f>铂郡面积表!E39</f>
        <v>0</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9">
        <f t="shared" si="11"/>
        <v>0</v>
      </c>
      <c r="AW91" s="529">
        <f t="shared" si="12"/>
        <v>0</v>
      </c>
      <c r="AX91" s="529">
        <f t="shared" si="13"/>
        <v>0</v>
      </c>
      <c r="AY91" s="38" t="e">
        <f t="shared" si="14"/>
        <v>#REF!</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t="s">
        <v>3569</v>
      </c>
      <c r="E92" s="32" t="e">
        <f t="shared" si="7"/>
        <v>#REF!</v>
      </c>
      <c r="F92" s="33"/>
      <c r="G92" s="34">
        <f t="shared" si="8"/>
        <v>0</v>
      </c>
      <c r="H92" s="35">
        <f t="shared" si="9"/>
        <v>0</v>
      </c>
      <c r="I92" s="1510">
        <f>铂郡面积表!E40</f>
        <v>0</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9">
        <f t="shared" si="11"/>
        <v>0</v>
      </c>
      <c r="AW92" s="529">
        <f t="shared" si="12"/>
        <v>0</v>
      </c>
      <c r="AX92" s="529">
        <f t="shared" si="13"/>
        <v>0</v>
      </c>
      <c r="AY92" s="38" t="e">
        <f t="shared" si="14"/>
        <v>#REF!</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t="s">
        <v>3569</v>
      </c>
      <c r="E93" s="32" t="e">
        <f t="shared" si="7"/>
        <v>#REF!</v>
      </c>
      <c r="F93" s="33"/>
      <c r="G93" s="34">
        <f t="shared" si="8"/>
        <v>0</v>
      </c>
      <c r="H93" s="35">
        <f t="shared" si="9"/>
        <v>0</v>
      </c>
      <c r="I93" s="1510">
        <f>铂郡面积表!E41</f>
        <v>0</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9">
        <f t="shared" si="11"/>
        <v>0</v>
      </c>
      <c r="AW93" s="529">
        <f t="shared" si="12"/>
        <v>0</v>
      </c>
      <c r="AX93" s="529">
        <f t="shared" si="13"/>
        <v>0</v>
      </c>
      <c r="AY93" s="38" t="e">
        <f t="shared" si="14"/>
        <v>#REF!</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t="s">
        <v>3569</v>
      </c>
      <c r="E94" s="32" t="e">
        <f t="shared" si="7"/>
        <v>#REF!</v>
      </c>
      <c r="F94" s="33"/>
      <c r="G94" s="34">
        <f t="shared" si="8"/>
        <v>0</v>
      </c>
      <c r="H94" s="35">
        <f t="shared" si="9"/>
        <v>0</v>
      </c>
      <c r="I94" s="1510">
        <f>铂郡面积表!E42</f>
        <v>0</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9">
        <f t="shared" si="11"/>
        <v>0</v>
      </c>
      <c r="AW94" s="529">
        <f t="shared" si="12"/>
        <v>0</v>
      </c>
      <c r="AX94" s="529">
        <f t="shared" si="13"/>
        <v>0</v>
      </c>
      <c r="AY94" s="38" t="e">
        <f t="shared" si="14"/>
        <v>#REF!</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t="s">
        <v>3569</v>
      </c>
      <c r="E95" s="32" t="e">
        <f t="shared" si="7"/>
        <v>#REF!</v>
      </c>
      <c r="F95" s="33"/>
      <c r="G95" s="34">
        <f t="shared" si="8"/>
        <v>0</v>
      </c>
      <c r="H95" s="35">
        <f t="shared" si="9"/>
        <v>0</v>
      </c>
      <c r="I95" s="1510">
        <f>铂郡面积表!E43</f>
        <v>0</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9">
        <f t="shared" si="11"/>
        <v>0</v>
      </c>
      <c r="AW95" s="529">
        <f t="shared" si="12"/>
        <v>0</v>
      </c>
      <c r="AX95" s="529">
        <f t="shared" si="13"/>
        <v>0</v>
      </c>
      <c r="AY95" s="38" t="e">
        <f t="shared" si="14"/>
        <v>#REF!</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t="s">
        <v>3569</v>
      </c>
      <c r="E96" s="32" t="e">
        <f t="shared" si="7"/>
        <v>#REF!</v>
      </c>
      <c r="F96" s="33"/>
      <c r="G96" s="34">
        <f t="shared" si="8"/>
        <v>0</v>
      </c>
      <c r="H96" s="35">
        <f t="shared" si="9"/>
        <v>0</v>
      </c>
      <c r="I96" s="1510">
        <f>铂郡面积表!E44</f>
        <v>0</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9">
        <f t="shared" si="11"/>
        <v>0</v>
      </c>
      <c r="AW96" s="529">
        <f t="shared" si="12"/>
        <v>0</v>
      </c>
      <c r="AX96" s="529">
        <f t="shared" si="13"/>
        <v>0</v>
      </c>
      <c r="AY96" s="38" t="e">
        <f t="shared" si="14"/>
        <v>#REF!</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t="s">
        <v>3569</v>
      </c>
      <c r="E97" s="32" t="e">
        <f t="shared" si="7"/>
        <v>#REF!</v>
      </c>
      <c r="F97" s="33"/>
      <c r="G97" s="34">
        <f t="shared" si="8"/>
        <v>0</v>
      </c>
      <c r="H97" s="35">
        <f t="shared" si="9"/>
        <v>0</v>
      </c>
      <c r="I97" s="1510">
        <f>铂郡面积表!E45</f>
        <v>0</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9">
        <f t="shared" si="11"/>
        <v>0</v>
      </c>
      <c r="AW97" s="529">
        <f t="shared" si="12"/>
        <v>0</v>
      </c>
      <c r="AX97" s="529">
        <f t="shared" si="13"/>
        <v>0</v>
      </c>
      <c r="AY97" s="38" t="e">
        <f t="shared" si="14"/>
        <v>#REF!</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t="s">
        <v>3569</v>
      </c>
      <c r="E98" s="32" t="e">
        <f t="shared" si="7"/>
        <v>#REF!</v>
      </c>
      <c r="F98" s="33"/>
      <c r="G98" s="34">
        <f t="shared" si="8"/>
        <v>0</v>
      </c>
      <c r="H98" s="35">
        <f t="shared" si="9"/>
        <v>0</v>
      </c>
      <c r="I98" s="1510">
        <f>铂郡面积表!E46</f>
        <v>0</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9">
        <f t="shared" si="11"/>
        <v>0</v>
      </c>
      <c r="AW98" s="529">
        <f t="shared" si="12"/>
        <v>0</v>
      </c>
      <c r="AX98" s="529">
        <f t="shared" si="13"/>
        <v>0</v>
      </c>
      <c r="AY98" s="38" t="e">
        <f t="shared" si="14"/>
        <v>#REF!</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t="s">
        <v>3569</v>
      </c>
      <c r="E99" s="32" t="e">
        <f t="shared" si="7"/>
        <v>#REF!</v>
      </c>
      <c r="F99" s="33"/>
      <c r="G99" s="34">
        <f t="shared" si="8"/>
        <v>0</v>
      </c>
      <c r="H99" s="35">
        <f t="shared" si="9"/>
        <v>0</v>
      </c>
      <c r="I99" s="1510">
        <f>铂郡面积表!E47</f>
        <v>0</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9">
        <f t="shared" si="11"/>
        <v>0</v>
      </c>
      <c r="AW99" s="529">
        <f t="shared" si="12"/>
        <v>0</v>
      </c>
      <c r="AX99" s="529">
        <f t="shared" si="13"/>
        <v>0</v>
      </c>
      <c r="AY99" s="38" t="e">
        <f t="shared" si="14"/>
        <v>#REF!</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t="s">
        <v>3569</v>
      </c>
      <c r="E100" s="32" t="e">
        <f t="shared" si="7"/>
        <v>#REF!</v>
      </c>
      <c r="F100" s="33"/>
      <c r="G100" s="34">
        <f t="shared" si="8"/>
        <v>0</v>
      </c>
      <c r="H100" s="35">
        <f t="shared" si="9"/>
        <v>0</v>
      </c>
      <c r="I100" s="1510">
        <f>铂郡面积表!E48</f>
        <v>0</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9">
        <f t="shared" si="11"/>
        <v>0</v>
      </c>
      <c r="AW100" s="529">
        <f t="shared" si="12"/>
        <v>0</v>
      </c>
      <c r="AX100" s="529">
        <f t="shared" si="13"/>
        <v>0</v>
      </c>
      <c r="AY100" s="38" t="e">
        <f t="shared" si="14"/>
        <v>#REF!</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t="s">
        <v>3569</v>
      </c>
      <c r="E101" s="32" t="e">
        <f t="shared" si="7"/>
        <v>#REF!</v>
      </c>
      <c r="F101" s="33"/>
      <c r="G101" s="34">
        <f t="shared" si="8"/>
        <v>0</v>
      </c>
      <c r="H101" s="35">
        <f t="shared" si="9"/>
        <v>0</v>
      </c>
      <c r="I101" s="1510">
        <f>铂郡面积表!E49</f>
        <v>0</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9">
        <f t="shared" si="11"/>
        <v>0</v>
      </c>
      <c r="AW101" s="529">
        <f t="shared" si="12"/>
        <v>0</v>
      </c>
      <c r="AX101" s="529">
        <f t="shared" si="13"/>
        <v>0</v>
      </c>
      <c r="AY101" s="38" t="e">
        <f t="shared" si="14"/>
        <v>#REF!</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t="s">
        <v>3569</v>
      </c>
      <c r="E102" s="32" t="e">
        <f t="shared" si="7"/>
        <v>#REF!</v>
      </c>
      <c r="F102" s="33"/>
      <c r="G102" s="34">
        <f t="shared" si="8"/>
        <v>0</v>
      </c>
      <c r="H102" s="35">
        <f t="shared" si="9"/>
        <v>0</v>
      </c>
      <c r="I102" s="1510">
        <f>铂郡面积表!E50</f>
        <v>0</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9">
        <f t="shared" si="11"/>
        <v>0</v>
      </c>
      <c r="AW102" s="529">
        <f t="shared" si="12"/>
        <v>0</v>
      </c>
      <c r="AX102" s="529">
        <f t="shared" si="13"/>
        <v>0</v>
      </c>
      <c r="AY102" s="38" t="e">
        <f t="shared" si="14"/>
        <v>#REF!</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t="s">
        <v>3569</v>
      </c>
      <c r="E103" s="32" t="e">
        <f t="shared" si="7"/>
        <v>#REF!</v>
      </c>
      <c r="F103" s="33"/>
      <c r="G103" s="34">
        <f t="shared" si="8"/>
        <v>0</v>
      </c>
      <c r="H103" s="35">
        <f t="shared" si="9"/>
        <v>0</v>
      </c>
      <c r="I103" s="1510">
        <f>铂郡面积表!E51</f>
        <v>0</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9">
        <f t="shared" si="11"/>
        <v>0</v>
      </c>
      <c r="AW103" s="529">
        <f t="shared" si="12"/>
        <v>0</v>
      </c>
      <c r="AX103" s="529">
        <f t="shared" si="13"/>
        <v>0</v>
      </c>
      <c r="AY103" s="38" t="e">
        <f t="shared" si="14"/>
        <v>#REF!</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t="s">
        <v>3569</v>
      </c>
      <c r="E104" s="32" t="e">
        <f t="shared" si="7"/>
        <v>#REF!</v>
      </c>
      <c r="F104" s="33"/>
      <c r="G104" s="34">
        <f t="shared" si="8"/>
        <v>0</v>
      </c>
      <c r="H104" s="35">
        <f t="shared" si="9"/>
        <v>0</v>
      </c>
      <c r="I104" s="1510">
        <f>铂郡面积表!E52</f>
        <v>0</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9">
        <f t="shared" si="11"/>
        <v>0</v>
      </c>
      <c r="AW104" s="529">
        <f t="shared" si="12"/>
        <v>0</v>
      </c>
      <c r="AX104" s="529">
        <f t="shared" si="13"/>
        <v>0</v>
      </c>
      <c r="AY104" s="38" t="e">
        <f t="shared" si="14"/>
        <v>#REF!</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t="s">
        <v>3569</v>
      </c>
      <c r="E105" s="32" t="e">
        <f t="shared" si="7"/>
        <v>#REF!</v>
      </c>
      <c r="F105" s="33"/>
      <c r="G105" s="34">
        <f t="shared" si="8"/>
        <v>0</v>
      </c>
      <c r="H105" s="35">
        <f t="shared" si="9"/>
        <v>0</v>
      </c>
      <c r="I105" s="1510">
        <f>铂郡面积表!E53</f>
        <v>0</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9">
        <f t="shared" si="11"/>
        <v>0</v>
      </c>
      <c r="AW105" s="529">
        <f t="shared" si="12"/>
        <v>0</v>
      </c>
      <c r="AX105" s="529">
        <f t="shared" si="13"/>
        <v>0</v>
      </c>
      <c r="AY105" s="38" t="e">
        <f t="shared" si="14"/>
        <v>#REF!</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t="s">
        <v>3569</v>
      </c>
      <c r="E106" s="32" t="e">
        <f t="shared" si="7"/>
        <v>#REF!</v>
      </c>
      <c r="F106" s="33"/>
      <c r="G106" s="34">
        <f t="shared" si="8"/>
        <v>0</v>
      </c>
      <c r="H106" s="35">
        <f t="shared" si="9"/>
        <v>0</v>
      </c>
      <c r="I106" s="1510">
        <f>铂郡面积表!E54</f>
        <v>0</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9">
        <f t="shared" si="11"/>
        <v>0</v>
      </c>
      <c r="AW106" s="529">
        <f t="shared" si="12"/>
        <v>0</v>
      </c>
      <c r="AX106" s="529">
        <f t="shared" si="13"/>
        <v>0</v>
      </c>
      <c r="AY106" s="38" t="e">
        <f t="shared" si="14"/>
        <v>#REF!</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t="s">
        <v>3569</v>
      </c>
      <c r="E107" s="32" t="e">
        <f t="shared" si="7"/>
        <v>#REF!</v>
      </c>
      <c r="F107" s="33"/>
      <c r="G107" s="34">
        <f t="shared" si="8"/>
        <v>0</v>
      </c>
      <c r="H107" s="35">
        <f t="shared" si="9"/>
        <v>0</v>
      </c>
      <c r="I107" s="1510">
        <f>铂郡面积表!E55</f>
        <v>0</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9">
        <f t="shared" si="11"/>
        <v>0</v>
      </c>
      <c r="AW107" s="529">
        <f t="shared" si="12"/>
        <v>0</v>
      </c>
      <c r="AX107" s="529">
        <f t="shared" si="13"/>
        <v>0</v>
      </c>
      <c r="AY107" s="38" t="e">
        <f t="shared" si="14"/>
        <v>#REF!</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t="s">
        <v>3569</v>
      </c>
      <c r="E108" s="32" t="e">
        <f t="shared" si="7"/>
        <v>#REF!</v>
      </c>
      <c r="F108" s="33"/>
      <c r="G108" s="34">
        <f t="shared" si="8"/>
        <v>0</v>
      </c>
      <c r="H108" s="35">
        <f t="shared" si="9"/>
        <v>0</v>
      </c>
      <c r="I108" s="1510">
        <f>铂郡面积表!E56</f>
        <v>0</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9">
        <f t="shared" si="11"/>
        <v>0</v>
      </c>
      <c r="AW108" s="529">
        <f t="shared" si="12"/>
        <v>0</v>
      </c>
      <c r="AX108" s="529">
        <f t="shared" si="13"/>
        <v>0</v>
      </c>
      <c r="AY108" s="38" t="e">
        <f t="shared" si="14"/>
        <v>#REF!</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t="s">
        <v>3569</v>
      </c>
      <c r="E109" s="32" t="e">
        <f t="shared" si="7"/>
        <v>#REF!</v>
      </c>
      <c r="F109" s="33"/>
      <c r="G109" s="34">
        <f t="shared" si="8"/>
        <v>0</v>
      </c>
      <c r="H109" s="35">
        <f t="shared" si="9"/>
        <v>0</v>
      </c>
      <c r="I109" s="1510">
        <f>铂郡面积表!E57</f>
        <v>0</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9">
        <f t="shared" si="11"/>
        <v>0</v>
      </c>
      <c r="AW109" s="529">
        <f t="shared" si="12"/>
        <v>0</v>
      </c>
      <c r="AX109" s="529">
        <f t="shared" si="13"/>
        <v>0</v>
      </c>
      <c r="AY109" s="38" t="e">
        <f t="shared" si="14"/>
        <v>#REF!</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t="s">
        <v>3569</v>
      </c>
      <c r="E110" s="32" t="e">
        <f t="shared" si="7"/>
        <v>#REF!</v>
      </c>
      <c r="F110" s="37"/>
      <c r="G110" s="34">
        <f t="shared" ref="G110:G141" si="38">H110+AC110+AT110</f>
        <v>0</v>
      </c>
      <c r="H110" s="35">
        <f t="shared" ref="H110:H141" si="39">SUMIF(I$12:AB$12,"总值",I110:AB110)</f>
        <v>0</v>
      </c>
      <c r="I110" s="1510">
        <f>铂郡面积表!E58</f>
        <v>0</v>
      </c>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9">
        <f t="shared" si="11"/>
        <v>0</v>
      </c>
      <c r="AW110" s="529">
        <f t="shared" si="12"/>
        <v>0</v>
      </c>
      <c r="AX110" s="529">
        <f t="shared" si="13"/>
        <v>0</v>
      </c>
      <c r="AY110" s="38" t="e">
        <f t="shared" ref="AY110:AY141" si="41">ROUND($AY$6*AZ110/$AZ$5,2)</f>
        <v>#REF!</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39">
        <f t="shared" ref="BT110:BT141" si="62">IF($D110="是",AR110-AS110,0)</f>
        <v>0</v>
      </c>
    </row>
    <row r="111" spans="1:72">
      <c r="A111" s="6"/>
      <c r="B111" s="6"/>
      <c r="C111" s="6"/>
      <c r="D111" s="1509" t="s">
        <v>3569</v>
      </c>
      <c r="E111" s="32" t="e">
        <f t="shared" si="7"/>
        <v>#REF!</v>
      </c>
      <c r="F111" s="37"/>
      <c r="G111" s="34">
        <f t="shared" si="38"/>
        <v>0</v>
      </c>
      <c r="H111" s="35">
        <f t="shared" si="39"/>
        <v>0</v>
      </c>
      <c r="I111" s="1510">
        <f>铂郡面积表!E59</f>
        <v>0</v>
      </c>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062"/>
      <c r="AV111" s="529">
        <f t="shared" si="11"/>
        <v>0</v>
      </c>
      <c r="AW111" s="529">
        <f t="shared" si="12"/>
        <v>0</v>
      </c>
      <c r="AX111" s="529">
        <f t="shared" si="13"/>
        <v>0</v>
      </c>
      <c r="AY111" s="38" t="e">
        <f t="shared" si="41"/>
        <v>#REF!</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39">
        <f t="shared" si="62"/>
        <v>0</v>
      </c>
    </row>
    <row r="112" spans="1:72">
      <c r="A112" s="6"/>
      <c r="B112" s="6"/>
      <c r="C112" s="6"/>
      <c r="D112" s="1509" t="s">
        <v>3569</v>
      </c>
      <c r="E112" s="32" t="e">
        <f t="shared" si="7"/>
        <v>#REF!</v>
      </c>
      <c r="F112" s="37"/>
      <c r="G112" s="34">
        <f t="shared" si="38"/>
        <v>0</v>
      </c>
      <c r="H112" s="35">
        <f t="shared" si="39"/>
        <v>0</v>
      </c>
      <c r="I112" s="1510">
        <f>铂郡面积表!E60</f>
        <v>0</v>
      </c>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062"/>
      <c r="AV112" s="529">
        <f t="shared" si="11"/>
        <v>0</v>
      </c>
      <c r="AW112" s="529">
        <f t="shared" si="12"/>
        <v>0</v>
      </c>
      <c r="AX112" s="529">
        <f t="shared" si="13"/>
        <v>0</v>
      </c>
      <c r="AY112" s="38" t="e">
        <f t="shared" si="41"/>
        <v>#REF!</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39">
        <f t="shared" si="62"/>
        <v>0</v>
      </c>
    </row>
    <row r="113" spans="1:72">
      <c r="A113" s="6"/>
      <c r="B113" s="31"/>
      <c r="C113" s="31"/>
      <c r="D113" s="1509" t="s">
        <v>3569</v>
      </c>
      <c r="E113" s="32" t="e">
        <f t="shared" ref="E113:E144" si="63">IF($C$3="是",ROUND($A$3*G113/$B$3,2),ROUND($A$3*(G113-AT113)/$B$3,2))</f>
        <v>#REF!</v>
      </c>
      <c r="F113" s="33"/>
      <c r="G113" s="34">
        <f t="shared" si="38"/>
        <v>0</v>
      </c>
      <c r="H113" s="35">
        <f t="shared" si="39"/>
        <v>0</v>
      </c>
      <c r="I113" s="1510">
        <f>铂郡面积表!E61</f>
        <v>0</v>
      </c>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3"/>
      <c r="AU113" s="1512"/>
      <c r="AV113" s="529">
        <f t="shared" ref="AV113:AV144" si="64">A113</f>
        <v>0</v>
      </c>
      <c r="AW113" s="529">
        <f t="shared" ref="AW113:AW144" si="65">B113</f>
        <v>0</v>
      </c>
      <c r="AX113" s="529">
        <f t="shared" ref="AX113:AX144" si="66">C113</f>
        <v>0</v>
      </c>
      <c r="AY113" s="38" t="e">
        <f t="shared" si="41"/>
        <v>#REF!</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39">
        <f t="shared" si="62"/>
        <v>0</v>
      </c>
    </row>
    <row r="114" spans="1:72">
      <c r="A114" s="6"/>
      <c r="B114" s="31"/>
      <c r="C114" s="31"/>
      <c r="D114" s="1509" t="s">
        <v>3569</v>
      </c>
      <c r="E114" s="32" t="e">
        <f t="shared" si="63"/>
        <v>#REF!</v>
      </c>
      <c r="F114" s="33"/>
      <c r="G114" s="34">
        <f t="shared" si="38"/>
        <v>0</v>
      </c>
      <c r="H114" s="35">
        <f t="shared" si="39"/>
        <v>0</v>
      </c>
      <c r="I114" s="1510">
        <f>铂郡面积表!E62</f>
        <v>0</v>
      </c>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3"/>
      <c r="AU114" s="1512"/>
      <c r="AV114" s="529">
        <f t="shared" si="64"/>
        <v>0</v>
      </c>
      <c r="AW114" s="529">
        <f t="shared" si="65"/>
        <v>0</v>
      </c>
      <c r="AX114" s="529">
        <f t="shared" si="66"/>
        <v>0</v>
      </c>
      <c r="AY114" s="38" t="e">
        <f t="shared" si="41"/>
        <v>#REF!</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39">
        <f t="shared" si="62"/>
        <v>0</v>
      </c>
    </row>
    <row r="115" spans="1:72">
      <c r="A115" s="6"/>
      <c r="B115" s="31"/>
      <c r="C115" s="31"/>
      <c r="D115" s="1509" t="s">
        <v>3569</v>
      </c>
      <c r="E115" s="32" t="e">
        <f t="shared" si="63"/>
        <v>#REF!</v>
      </c>
      <c r="F115" s="33"/>
      <c r="G115" s="34">
        <f t="shared" si="38"/>
        <v>0</v>
      </c>
      <c r="H115" s="35">
        <f t="shared" si="39"/>
        <v>0</v>
      </c>
      <c r="I115" s="1510">
        <f>铂郡面积表!E63</f>
        <v>0</v>
      </c>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3"/>
      <c r="AU115" s="1512"/>
      <c r="AV115" s="529">
        <f t="shared" si="64"/>
        <v>0</v>
      </c>
      <c r="AW115" s="529">
        <f t="shared" si="65"/>
        <v>0</v>
      </c>
      <c r="AX115" s="529">
        <f t="shared" si="66"/>
        <v>0</v>
      </c>
      <c r="AY115" s="38" t="e">
        <f t="shared" si="41"/>
        <v>#REF!</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39">
        <f t="shared" si="62"/>
        <v>0</v>
      </c>
    </row>
    <row r="116" spans="1:72">
      <c r="A116" s="6"/>
      <c r="B116" s="31"/>
      <c r="C116" s="31"/>
      <c r="D116" s="1509" t="s">
        <v>3569</v>
      </c>
      <c r="E116" s="32" t="e">
        <f t="shared" si="63"/>
        <v>#REF!</v>
      </c>
      <c r="F116" s="33"/>
      <c r="G116" s="34">
        <f t="shared" si="38"/>
        <v>0</v>
      </c>
      <c r="H116" s="35">
        <f t="shared" si="39"/>
        <v>0</v>
      </c>
      <c r="I116" s="1510">
        <f>铂郡面积表!E64</f>
        <v>0</v>
      </c>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3"/>
      <c r="AU116" s="1512"/>
      <c r="AV116" s="529">
        <f t="shared" si="64"/>
        <v>0</v>
      </c>
      <c r="AW116" s="529">
        <f t="shared" si="65"/>
        <v>0</v>
      </c>
      <c r="AX116" s="529">
        <f t="shared" si="66"/>
        <v>0</v>
      </c>
      <c r="AY116" s="38" t="e">
        <f t="shared" si="41"/>
        <v>#REF!</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39">
        <f t="shared" si="62"/>
        <v>0</v>
      </c>
    </row>
    <row r="117" spans="1:72">
      <c r="A117" s="6"/>
      <c r="B117" s="31"/>
      <c r="C117" s="31"/>
      <c r="D117" s="1509" t="s">
        <v>3569</v>
      </c>
      <c r="E117" s="32" t="e">
        <f t="shared" si="63"/>
        <v>#REF!</v>
      </c>
      <c r="F117" s="33"/>
      <c r="G117" s="34">
        <f t="shared" si="38"/>
        <v>0</v>
      </c>
      <c r="H117" s="35">
        <f t="shared" si="39"/>
        <v>0</v>
      </c>
      <c r="I117" s="1510">
        <f>铂郡面积表!E65</f>
        <v>0</v>
      </c>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3"/>
      <c r="AU117" s="1512"/>
      <c r="AV117" s="529">
        <f t="shared" si="64"/>
        <v>0</v>
      </c>
      <c r="AW117" s="529">
        <f t="shared" si="65"/>
        <v>0</v>
      </c>
      <c r="AX117" s="529">
        <f t="shared" si="66"/>
        <v>0</v>
      </c>
      <c r="AY117" s="38" t="e">
        <f t="shared" si="41"/>
        <v>#REF!</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39">
        <f t="shared" si="62"/>
        <v>0</v>
      </c>
    </row>
    <row r="118" spans="1:72">
      <c r="A118" s="6"/>
      <c r="B118" s="31"/>
      <c r="C118" s="31"/>
      <c r="D118" s="1509" t="s">
        <v>3569</v>
      </c>
      <c r="E118" s="32" t="e">
        <f t="shared" si="63"/>
        <v>#REF!</v>
      </c>
      <c r="F118" s="33"/>
      <c r="G118" s="34">
        <f t="shared" si="38"/>
        <v>0</v>
      </c>
      <c r="H118" s="35">
        <f t="shared" si="39"/>
        <v>0</v>
      </c>
      <c r="I118" s="1510">
        <f>铂郡面积表!E66</f>
        <v>0</v>
      </c>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3"/>
      <c r="AU118" s="1512"/>
      <c r="AV118" s="529">
        <f t="shared" si="64"/>
        <v>0</v>
      </c>
      <c r="AW118" s="529">
        <f t="shared" si="65"/>
        <v>0</v>
      </c>
      <c r="AX118" s="529">
        <f t="shared" si="66"/>
        <v>0</v>
      </c>
      <c r="AY118" s="38" t="e">
        <f t="shared" si="41"/>
        <v>#REF!</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39">
        <f t="shared" si="62"/>
        <v>0</v>
      </c>
    </row>
    <row r="119" spans="1:72">
      <c r="A119" s="6"/>
      <c r="B119" s="31"/>
      <c r="C119" s="31"/>
      <c r="D119" s="1509" t="s">
        <v>3569</v>
      </c>
      <c r="E119" s="32" t="e">
        <f t="shared" si="63"/>
        <v>#REF!</v>
      </c>
      <c r="F119" s="33"/>
      <c r="G119" s="34">
        <f t="shared" si="38"/>
        <v>0</v>
      </c>
      <c r="H119" s="35">
        <f t="shared" si="39"/>
        <v>0</v>
      </c>
      <c r="I119" s="1510">
        <f>铂郡面积表!E67</f>
        <v>0</v>
      </c>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3"/>
      <c r="AU119" s="1512"/>
      <c r="AV119" s="529">
        <f t="shared" si="64"/>
        <v>0</v>
      </c>
      <c r="AW119" s="529">
        <f t="shared" si="65"/>
        <v>0</v>
      </c>
      <c r="AX119" s="529">
        <f t="shared" si="66"/>
        <v>0</v>
      </c>
      <c r="AY119" s="38" t="e">
        <f t="shared" si="41"/>
        <v>#REF!</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39">
        <f t="shared" si="62"/>
        <v>0</v>
      </c>
    </row>
    <row r="120" spans="1:72">
      <c r="A120" s="6"/>
      <c r="B120" s="31"/>
      <c r="C120" s="31"/>
      <c r="D120" s="1509" t="s">
        <v>3569</v>
      </c>
      <c r="E120" s="32" t="e">
        <f t="shared" si="63"/>
        <v>#REF!</v>
      </c>
      <c r="F120" s="33"/>
      <c r="G120" s="34">
        <f t="shared" si="38"/>
        <v>0</v>
      </c>
      <c r="H120" s="35">
        <f t="shared" si="39"/>
        <v>0</v>
      </c>
      <c r="I120" s="1510">
        <f>铂郡面积表!E68</f>
        <v>0</v>
      </c>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3"/>
      <c r="AU120" s="1512"/>
      <c r="AV120" s="529">
        <f t="shared" si="64"/>
        <v>0</v>
      </c>
      <c r="AW120" s="529">
        <f t="shared" si="65"/>
        <v>0</v>
      </c>
      <c r="AX120" s="529">
        <f t="shared" si="66"/>
        <v>0</v>
      </c>
      <c r="AY120" s="38" t="e">
        <f t="shared" si="41"/>
        <v>#REF!</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39">
        <f t="shared" si="62"/>
        <v>0</v>
      </c>
    </row>
    <row r="121" spans="1:72">
      <c r="A121" s="6"/>
      <c r="B121" s="31"/>
      <c r="C121" s="31"/>
      <c r="D121" s="1509" t="s">
        <v>3569</v>
      </c>
      <c r="E121" s="32" t="e">
        <f t="shared" si="63"/>
        <v>#REF!</v>
      </c>
      <c r="F121" s="33"/>
      <c r="G121" s="34">
        <f t="shared" si="38"/>
        <v>0</v>
      </c>
      <c r="H121" s="35">
        <f t="shared" si="39"/>
        <v>0</v>
      </c>
      <c r="I121" s="1510">
        <f>铂郡面积表!E69</f>
        <v>0</v>
      </c>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3"/>
      <c r="AU121" s="1512"/>
      <c r="AV121" s="529">
        <f t="shared" si="64"/>
        <v>0</v>
      </c>
      <c r="AW121" s="529">
        <f t="shared" si="65"/>
        <v>0</v>
      </c>
      <c r="AX121" s="529">
        <f t="shared" si="66"/>
        <v>0</v>
      </c>
      <c r="AY121" s="38" t="e">
        <f t="shared" si="41"/>
        <v>#REF!</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39">
        <f t="shared" si="62"/>
        <v>0</v>
      </c>
    </row>
    <row r="122" spans="1:72">
      <c r="A122" s="6"/>
      <c r="B122" s="31"/>
      <c r="C122" s="31"/>
      <c r="D122" s="1509" t="s">
        <v>3569</v>
      </c>
      <c r="E122" s="32" t="e">
        <f t="shared" si="63"/>
        <v>#REF!</v>
      </c>
      <c r="F122" s="33"/>
      <c r="G122" s="34">
        <f t="shared" si="38"/>
        <v>0</v>
      </c>
      <c r="H122" s="35">
        <f t="shared" si="39"/>
        <v>0</v>
      </c>
      <c r="I122" s="1510">
        <f>铂郡面积表!E70</f>
        <v>0</v>
      </c>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3"/>
      <c r="AU122" s="1512"/>
      <c r="AV122" s="529">
        <f t="shared" si="64"/>
        <v>0</v>
      </c>
      <c r="AW122" s="529">
        <f t="shared" si="65"/>
        <v>0</v>
      </c>
      <c r="AX122" s="529">
        <f t="shared" si="66"/>
        <v>0</v>
      </c>
      <c r="AY122" s="38" t="e">
        <f t="shared" si="41"/>
        <v>#REF!</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39">
        <f t="shared" si="62"/>
        <v>0</v>
      </c>
    </row>
    <row r="123" spans="1:72">
      <c r="A123" s="6"/>
      <c r="B123" s="31"/>
      <c r="C123" s="31"/>
      <c r="D123" s="1509" t="s">
        <v>3569</v>
      </c>
      <c r="E123" s="32" t="e">
        <f t="shared" si="63"/>
        <v>#REF!</v>
      </c>
      <c r="F123" s="33"/>
      <c r="G123" s="34">
        <f t="shared" si="38"/>
        <v>0</v>
      </c>
      <c r="H123" s="35">
        <f t="shared" si="39"/>
        <v>0</v>
      </c>
      <c r="I123" s="1510">
        <f>铂郡面积表!E71</f>
        <v>0</v>
      </c>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3"/>
      <c r="AU123" s="1512"/>
      <c r="AV123" s="529">
        <f t="shared" si="64"/>
        <v>0</v>
      </c>
      <c r="AW123" s="529">
        <f t="shared" si="65"/>
        <v>0</v>
      </c>
      <c r="AX123" s="529">
        <f t="shared" si="66"/>
        <v>0</v>
      </c>
      <c r="AY123" s="38" t="e">
        <f t="shared" si="41"/>
        <v>#REF!</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39">
        <f t="shared" si="62"/>
        <v>0</v>
      </c>
    </row>
    <row r="124" spans="1:72">
      <c r="A124" s="6"/>
      <c r="B124" s="31"/>
      <c r="C124" s="31"/>
      <c r="D124" s="1509" t="s">
        <v>3569</v>
      </c>
      <c r="E124" s="32" t="e">
        <f t="shared" si="63"/>
        <v>#REF!</v>
      </c>
      <c r="F124" s="33"/>
      <c r="G124" s="34">
        <f t="shared" si="38"/>
        <v>0</v>
      </c>
      <c r="H124" s="35">
        <f t="shared" si="39"/>
        <v>0</v>
      </c>
      <c r="I124" s="1510">
        <f>铂郡面积表!E72</f>
        <v>0</v>
      </c>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3"/>
      <c r="AU124" s="1512"/>
      <c r="AV124" s="529">
        <f t="shared" si="64"/>
        <v>0</v>
      </c>
      <c r="AW124" s="529">
        <f t="shared" si="65"/>
        <v>0</v>
      </c>
      <c r="AX124" s="529">
        <f t="shared" si="66"/>
        <v>0</v>
      </c>
      <c r="AY124" s="38" t="e">
        <f t="shared" si="41"/>
        <v>#REF!</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39">
        <f t="shared" si="62"/>
        <v>0</v>
      </c>
    </row>
    <row r="125" spans="1:72">
      <c r="A125" s="6"/>
      <c r="B125" s="31"/>
      <c r="C125" s="31"/>
      <c r="D125" s="1509" t="s">
        <v>3569</v>
      </c>
      <c r="E125" s="32" t="e">
        <f t="shared" si="63"/>
        <v>#REF!</v>
      </c>
      <c r="F125" s="33"/>
      <c r="G125" s="34">
        <f t="shared" si="38"/>
        <v>0</v>
      </c>
      <c r="H125" s="35">
        <f t="shared" si="39"/>
        <v>0</v>
      </c>
      <c r="I125" s="1510">
        <f>铂郡面积表!E73</f>
        <v>0</v>
      </c>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3"/>
      <c r="AU125" s="1512"/>
      <c r="AV125" s="529">
        <f t="shared" si="64"/>
        <v>0</v>
      </c>
      <c r="AW125" s="529">
        <f t="shared" si="65"/>
        <v>0</v>
      </c>
      <c r="AX125" s="529">
        <f t="shared" si="66"/>
        <v>0</v>
      </c>
      <c r="AY125" s="38" t="e">
        <f t="shared" si="41"/>
        <v>#REF!</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39">
        <f t="shared" si="62"/>
        <v>0</v>
      </c>
    </row>
    <row r="126" spans="1:72">
      <c r="A126" s="6"/>
      <c r="B126" s="31"/>
      <c r="C126" s="31"/>
      <c r="D126" s="1509" t="s">
        <v>3569</v>
      </c>
      <c r="E126" s="32" t="e">
        <f t="shared" si="63"/>
        <v>#REF!</v>
      </c>
      <c r="F126" s="33"/>
      <c r="G126" s="34">
        <f t="shared" si="38"/>
        <v>0</v>
      </c>
      <c r="H126" s="35">
        <f t="shared" si="39"/>
        <v>0</v>
      </c>
      <c r="I126" s="1510">
        <f>铂郡面积表!E74</f>
        <v>0</v>
      </c>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3"/>
      <c r="AU126" s="1512"/>
      <c r="AV126" s="529">
        <f t="shared" si="64"/>
        <v>0</v>
      </c>
      <c r="AW126" s="529">
        <f t="shared" si="65"/>
        <v>0</v>
      </c>
      <c r="AX126" s="529">
        <f t="shared" si="66"/>
        <v>0</v>
      </c>
      <c r="AY126" s="38" t="e">
        <f t="shared" si="41"/>
        <v>#REF!</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39">
        <f t="shared" si="62"/>
        <v>0</v>
      </c>
    </row>
    <row r="127" spans="1:72">
      <c r="A127" s="6"/>
      <c r="B127" s="31"/>
      <c r="C127" s="31"/>
      <c r="D127" s="1509" t="s">
        <v>3569</v>
      </c>
      <c r="E127" s="32" t="e">
        <f t="shared" si="63"/>
        <v>#REF!</v>
      </c>
      <c r="F127" s="33"/>
      <c r="G127" s="34">
        <f t="shared" si="38"/>
        <v>0</v>
      </c>
      <c r="H127" s="35">
        <f t="shared" si="39"/>
        <v>0</v>
      </c>
      <c r="I127" s="1510">
        <f>铂郡面积表!E75</f>
        <v>0</v>
      </c>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3"/>
      <c r="AU127" s="1512"/>
      <c r="AV127" s="529">
        <f t="shared" si="64"/>
        <v>0</v>
      </c>
      <c r="AW127" s="529">
        <f t="shared" si="65"/>
        <v>0</v>
      </c>
      <c r="AX127" s="529">
        <f t="shared" si="66"/>
        <v>0</v>
      </c>
      <c r="AY127" s="38" t="e">
        <f t="shared" si="41"/>
        <v>#REF!</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39">
        <f t="shared" si="62"/>
        <v>0</v>
      </c>
    </row>
    <row r="128" spans="1:72">
      <c r="A128" s="6"/>
      <c r="B128" s="31"/>
      <c r="C128" s="31"/>
      <c r="D128" s="1509" t="s">
        <v>3569</v>
      </c>
      <c r="E128" s="32" t="e">
        <f t="shared" si="63"/>
        <v>#REF!</v>
      </c>
      <c r="F128" s="33"/>
      <c r="G128" s="34">
        <f t="shared" si="38"/>
        <v>0</v>
      </c>
      <c r="H128" s="35">
        <f t="shared" si="39"/>
        <v>0</v>
      </c>
      <c r="I128" s="1510">
        <f>铂郡面积表!E76</f>
        <v>0</v>
      </c>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3"/>
      <c r="AU128" s="1512"/>
      <c r="AV128" s="529">
        <f t="shared" si="64"/>
        <v>0</v>
      </c>
      <c r="AW128" s="529">
        <f t="shared" si="65"/>
        <v>0</v>
      </c>
      <c r="AX128" s="529">
        <f t="shared" si="66"/>
        <v>0</v>
      </c>
      <c r="AY128" s="38" t="e">
        <f t="shared" si="41"/>
        <v>#REF!</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39">
        <f t="shared" si="62"/>
        <v>0</v>
      </c>
    </row>
    <row r="129" spans="1:72">
      <c r="A129" s="6"/>
      <c r="B129" s="31"/>
      <c r="C129" s="31"/>
      <c r="D129" s="1509" t="s">
        <v>3569</v>
      </c>
      <c r="E129" s="32" t="e">
        <f t="shared" si="63"/>
        <v>#REF!</v>
      </c>
      <c r="F129" s="33"/>
      <c r="G129" s="34">
        <f t="shared" si="38"/>
        <v>0</v>
      </c>
      <c r="H129" s="35">
        <f t="shared" si="39"/>
        <v>0</v>
      </c>
      <c r="I129" s="1510">
        <f>铂郡面积表!E77</f>
        <v>0</v>
      </c>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3"/>
      <c r="AU129" s="1512"/>
      <c r="AV129" s="529">
        <f t="shared" si="64"/>
        <v>0</v>
      </c>
      <c r="AW129" s="529">
        <f t="shared" si="65"/>
        <v>0</v>
      </c>
      <c r="AX129" s="529">
        <f t="shared" si="66"/>
        <v>0</v>
      </c>
      <c r="AY129" s="38" t="e">
        <f t="shared" si="41"/>
        <v>#REF!</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39">
        <f t="shared" si="62"/>
        <v>0</v>
      </c>
    </row>
    <row r="130" spans="1:72">
      <c r="A130" s="6"/>
      <c r="B130" s="31"/>
      <c r="C130" s="31"/>
      <c r="D130" s="1509" t="s">
        <v>3569</v>
      </c>
      <c r="E130" s="32" t="e">
        <f t="shared" si="63"/>
        <v>#REF!</v>
      </c>
      <c r="F130" s="33"/>
      <c r="G130" s="34">
        <f t="shared" si="38"/>
        <v>0</v>
      </c>
      <c r="H130" s="35">
        <f t="shared" si="39"/>
        <v>0</v>
      </c>
      <c r="I130" s="1510">
        <f>铂郡面积表!E78</f>
        <v>0</v>
      </c>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3"/>
      <c r="AU130" s="1512"/>
      <c r="AV130" s="529">
        <f t="shared" si="64"/>
        <v>0</v>
      </c>
      <c r="AW130" s="529">
        <f t="shared" si="65"/>
        <v>0</v>
      </c>
      <c r="AX130" s="529">
        <f t="shared" si="66"/>
        <v>0</v>
      </c>
      <c r="AY130" s="38" t="e">
        <f t="shared" si="41"/>
        <v>#REF!</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39">
        <f t="shared" si="62"/>
        <v>0</v>
      </c>
    </row>
    <row r="131" spans="1:72">
      <c r="A131" s="6"/>
      <c r="B131" s="31"/>
      <c r="C131" s="31"/>
      <c r="D131" s="1509" t="s">
        <v>3569</v>
      </c>
      <c r="E131" s="32" t="e">
        <f t="shared" si="63"/>
        <v>#REF!</v>
      </c>
      <c r="F131" s="33"/>
      <c r="G131" s="34">
        <f t="shared" si="38"/>
        <v>0</v>
      </c>
      <c r="H131" s="35">
        <f t="shared" si="39"/>
        <v>0</v>
      </c>
      <c r="I131" s="1510">
        <f>铂郡面积表!E79</f>
        <v>0</v>
      </c>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3"/>
      <c r="AU131" s="1512"/>
      <c r="AV131" s="529">
        <f t="shared" si="64"/>
        <v>0</v>
      </c>
      <c r="AW131" s="529">
        <f t="shared" si="65"/>
        <v>0</v>
      </c>
      <c r="AX131" s="529">
        <f t="shared" si="66"/>
        <v>0</v>
      </c>
      <c r="AY131" s="38" t="e">
        <f t="shared" si="41"/>
        <v>#REF!</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39">
        <f t="shared" si="62"/>
        <v>0</v>
      </c>
    </row>
    <row r="132" spans="1:72">
      <c r="A132" s="6"/>
      <c r="B132" s="31"/>
      <c r="C132" s="31"/>
      <c r="D132" s="1509" t="s">
        <v>3569</v>
      </c>
      <c r="E132" s="32" t="e">
        <f t="shared" si="63"/>
        <v>#REF!</v>
      </c>
      <c r="F132" s="33"/>
      <c r="G132" s="34">
        <f t="shared" si="38"/>
        <v>0</v>
      </c>
      <c r="H132" s="35">
        <f t="shared" si="39"/>
        <v>0</v>
      </c>
      <c r="I132" s="1510">
        <f>铂郡面积表!E80</f>
        <v>0</v>
      </c>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3"/>
      <c r="AU132" s="1512"/>
      <c r="AV132" s="529">
        <f t="shared" si="64"/>
        <v>0</v>
      </c>
      <c r="AW132" s="529">
        <f t="shared" si="65"/>
        <v>0</v>
      </c>
      <c r="AX132" s="529">
        <f t="shared" si="66"/>
        <v>0</v>
      </c>
      <c r="AY132" s="38" t="e">
        <f t="shared" si="41"/>
        <v>#REF!</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39">
        <f t="shared" si="62"/>
        <v>0</v>
      </c>
    </row>
    <row r="133" spans="1:72">
      <c r="A133" s="6"/>
      <c r="B133" s="31"/>
      <c r="C133" s="31"/>
      <c r="D133" s="1509" t="s">
        <v>3569</v>
      </c>
      <c r="E133" s="32" t="e">
        <f t="shared" si="63"/>
        <v>#REF!</v>
      </c>
      <c r="F133" s="33"/>
      <c r="G133" s="34">
        <f t="shared" si="38"/>
        <v>0</v>
      </c>
      <c r="H133" s="35">
        <f t="shared" si="39"/>
        <v>0</v>
      </c>
      <c r="I133" s="1510">
        <f>铂郡面积表!E81</f>
        <v>0</v>
      </c>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3"/>
      <c r="AU133" s="1512"/>
      <c r="AV133" s="529">
        <f t="shared" si="64"/>
        <v>0</v>
      </c>
      <c r="AW133" s="529">
        <f t="shared" si="65"/>
        <v>0</v>
      </c>
      <c r="AX133" s="529">
        <f t="shared" si="66"/>
        <v>0</v>
      </c>
      <c r="AY133" s="38" t="e">
        <f t="shared" si="41"/>
        <v>#REF!</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39">
        <f t="shared" si="62"/>
        <v>0</v>
      </c>
    </row>
    <row r="134" spans="1:72">
      <c r="A134" s="6"/>
      <c r="B134" s="31"/>
      <c r="C134" s="31"/>
      <c r="D134" s="1509" t="s">
        <v>3569</v>
      </c>
      <c r="E134" s="32" t="e">
        <f t="shared" si="63"/>
        <v>#REF!</v>
      </c>
      <c r="F134" s="33"/>
      <c r="G134" s="34">
        <f t="shared" si="38"/>
        <v>0</v>
      </c>
      <c r="H134" s="35">
        <f t="shared" si="39"/>
        <v>0</v>
      </c>
      <c r="I134" s="1510">
        <f>铂郡面积表!E82</f>
        <v>0</v>
      </c>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3"/>
      <c r="AU134" s="1512"/>
      <c r="AV134" s="529">
        <f t="shared" si="64"/>
        <v>0</v>
      </c>
      <c r="AW134" s="529">
        <f t="shared" si="65"/>
        <v>0</v>
      </c>
      <c r="AX134" s="529">
        <f t="shared" si="66"/>
        <v>0</v>
      </c>
      <c r="AY134" s="38" t="e">
        <f t="shared" si="41"/>
        <v>#REF!</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39">
        <f t="shared" si="62"/>
        <v>0</v>
      </c>
    </row>
    <row r="135" spans="1:72">
      <c r="A135" s="6"/>
      <c r="B135" s="31"/>
      <c r="C135" s="31"/>
      <c r="D135" s="1509" t="s">
        <v>3569</v>
      </c>
      <c r="E135" s="32" t="e">
        <f t="shared" si="63"/>
        <v>#REF!</v>
      </c>
      <c r="F135" s="33"/>
      <c r="G135" s="34">
        <f t="shared" si="38"/>
        <v>0</v>
      </c>
      <c r="H135" s="35">
        <f t="shared" si="39"/>
        <v>0</v>
      </c>
      <c r="I135" s="1510">
        <f>铂郡面积表!E83</f>
        <v>0</v>
      </c>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3"/>
      <c r="AU135" s="1512"/>
      <c r="AV135" s="529">
        <f t="shared" si="64"/>
        <v>0</v>
      </c>
      <c r="AW135" s="529">
        <f t="shared" si="65"/>
        <v>0</v>
      </c>
      <c r="AX135" s="529">
        <f t="shared" si="66"/>
        <v>0</v>
      </c>
      <c r="AY135" s="38" t="e">
        <f t="shared" si="41"/>
        <v>#REF!</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39">
        <f t="shared" si="62"/>
        <v>0</v>
      </c>
    </row>
    <row r="136" spans="1:72">
      <c r="A136" s="6"/>
      <c r="B136" s="31"/>
      <c r="C136" s="31"/>
      <c r="D136" s="1509" t="s">
        <v>3569</v>
      </c>
      <c r="E136" s="32" t="e">
        <f t="shared" si="63"/>
        <v>#REF!</v>
      </c>
      <c r="F136" s="33"/>
      <c r="G136" s="34">
        <f t="shared" si="38"/>
        <v>0</v>
      </c>
      <c r="H136" s="35">
        <f t="shared" si="39"/>
        <v>0</v>
      </c>
      <c r="I136" s="1510">
        <f>铂郡面积表!E84</f>
        <v>0</v>
      </c>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3"/>
      <c r="AU136" s="1512"/>
      <c r="AV136" s="529">
        <f t="shared" si="64"/>
        <v>0</v>
      </c>
      <c r="AW136" s="529">
        <f t="shared" si="65"/>
        <v>0</v>
      </c>
      <c r="AX136" s="529">
        <f t="shared" si="66"/>
        <v>0</v>
      </c>
      <c r="AY136" s="38" t="e">
        <f t="shared" si="41"/>
        <v>#REF!</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39">
        <f t="shared" si="62"/>
        <v>0</v>
      </c>
    </row>
    <row r="137" spans="1:72">
      <c r="A137" s="6"/>
      <c r="B137" s="31"/>
      <c r="C137" s="31"/>
      <c r="D137" s="1509" t="s">
        <v>3569</v>
      </c>
      <c r="E137" s="32" t="e">
        <f t="shared" si="63"/>
        <v>#REF!</v>
      </c>
      <c r="F137" s="33"/>
      <c r="G137" s="34">
        <f t="shared" si="38"/>
        <v>0</v>
      </c>
      <c r="H137" s="35">
        <f t="shared" si="39"/>
        <v>0</v>
      </c>
      <c r="I137" s="1510">
        <f>铂郡面积表!E85</f>
        <v>0</v>
      </c>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3"/>
      <c r="AU137" s="1512"/>
      <c r="AV137" s="529">
        <f t="shared" si="64"/>
        <v>0</v>
      </c>
      <c r="AW137" s="529">
        <f t="shared" si="65"/>
        <v>0</v>
      </c>
      <c r="AX137" s="529">
        <f t="shared" si="66"/>
        <v>0</v>
      </c>
      <c r="AY137" s="38" t="e">
        <f t="shared" si="41"/>
        <v>#REF!</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39">
        <f t="shared" si="62"/>
        <v>0</v>
      </c>
    </row>
    <row r="138" spans="1:72">
      <c r="A138" s="6"/>
      <c r="B138" s="31"/>
      <c r="C138" s="31"/>
      <c r="D138" s="1509" t="s">
        <v>3569</v>
      </c>
      <c r="E138" s="32" t="e">
        <f t="shared" si="63"/>
        <v>#REF!</v>
      </c>
      <c r="F138" s="33"/>
      <c r="G138" s="34">
        <f t="shared" si="38"/>
        <v>0</v>
      </c>
      <c r="H138" s="35">
        <f t="shared" si="39"/>
        <v>0</v>
      </c>
      <c r="I138" s="1510">
        <f>铂郡面积表!E86</f>
        <v>0</v>
      </c>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3"/>
      <c r="AU138" s="1512"/>
      <c r="AV138" s="529">
        <f t="shared" si="64"/>
        <v>0</v>
      </c>
      <c r="AW138" s="529">
        <f t="shared" si="65"/>
        <v>0</v>
      </c>
      <c r="AX138" s="529">
        <f t="shared" si="66"/>
        <v>0</v>
      </c>
      <c r="AY138" s="38" t="e">
        <f t="shared" si="41"/>
        <v>#REF!</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39">
        <f t="shared" si="62"/>
        <v>0</v>
      </c>
    </row>
    <row r="139" spans="1:72">
      <c r="A139" s="6"/>
      <c r="B139" s="31"/>
      <c r="C139" s="31"/>
      <c r="D139" s="1509" t="s">
        <v>3569</v>
      </c>
      <c r="E139" s="32" t="e">
        <f t="shared" si="63"/>
        <v>#REF!</v>
      </c>
      <c r="F139" s="33"/>
      <c r="G139" s="34">
        <f t="shared" si="38"/>
        <v>0</v>
      </c>
      <c r="H139" s="35">
        <f t="shared" si="39"/>
        <v>0</v>
      </c>
      <c r="I139" s="1510">
        <f>铂郡面积表!E87</f>
        <v>0</v>
      </c>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3"/>
      <c r="AU139" s="1512"/>
      <c r="AV139" s="529">
        <f t="shared" si="64"/>
        <v>0</v>
      </c>
      <c r="AW139" s="529">
        <f t="shared" si="65"/>
        <v>0</v>
      </c>
      <c r="AX139" s="529">
        <f t="shared" si="66"/>
        <v>0</v>
      </c>
      <c r="AY139" s="38" t="e">
        <f t="shared" si="41"/>
        <v>#REF!</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39">
        <f t="shared" si="62"/>
        <v>0</v>
      </c>
    </row>
    <row r="140" spans="1:72">
      <c r="A140" s="6"/>
      <c r="B140" s="31"/>
      <c r="C140" s="31"/>
      <c r="D140" s="1509" t="s">
        <v>3569</v>
      </c>
      <c r="E140" s="32" t="e">
        <f t="shared" si="63"/>
        <v>#REF!</v>
      </c>
      <c r="F140" s="33"/>
      <c r="G140" s="34">
        <f t="shared" si="38"/>
        <v>0</v>
      </c>
      <c r="H140" s="35">
        <f t="shared" si="39"/>
        <v>0</v>
      </c>
      <c r="I140" s="1510">
        <f>铂郡面积表!E88</f>
        <v>0</v>
      </c>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3"/>
      <c r="AU140" s="1512"/>
      <c r="AV140" s="529">
        <f t="shared" si="64"/>
        <v>0</v>
      </c>
      <c r="AW140" s="529">
        <f t="shared" si="65"/>
        <v>0</v>
      </c>
      <c r="AX140" s="529">
        <f t="shared" si="66"/>
        <v>0</v>
      </c>
      <c r="AY140" s="38" t="e">
        <f t="shared" si="41"/>
        <v>#REF!</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39">
        <f t="shared" si="62"/>
        <v>0</v>
      </c>
    </row>
    <row r="141" spans="1:72">
      <c r="A141" s="6"/>
      <c r="B141" s="31"/>
      <c r="C141" s="31"/>
      <c r="D141" s="1509" t="s">
        <v>3569</v>
      </c>
      <c r="E141" s="32" t="e">
        <f t="shared" si="63"/>
        <v>#REF!</v>
      </c>
      <c r="F141" s="33"/>
      <c r="G141" s="34">
        <f t="shared" si="38"/>
        <v>0</v>
      </c>
      <c r="H141" s="35">
        <f t="shared" si="39"/>
        <v>0</v>
      </c>
      <c r="I141" s="1510">
        <f>铂郡面积表!E89</f>
        <v>0</v>
      </c>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3"/>
      <c r="AU141" s="1512"/>
      <c r="AV141" s="529">
        <f t="shared" si="64"/>
        <v>0</v>
      </c>
      <c r="AW141" s="529">
        <f t="shared" si="65"/>
        <v>0</v>
      </c>
      <c r="AX141" s="529">
        <f t="shared" si="66"/>
        <v>0</v>
      </c>
      <c r="AY141" s="38" t="e">
        <f t="shared" si="41"/>
        <v>#REF!</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39">
        <f t="shared" si="62"/>
        <v>0</v>
      </c>
    </row>
    <row r="142" spans="1:72">
      <c r="A142" s="6"/>
      <c r="B142" s="31"/>
      <c r="C142" s="31"/>
      <c r="D142" s="1509" t="s">
        <v>3569</v>
      </c>
      <c r="E142" s="32" t="e">
        <f t="shared" si="63"/>
        <v>#REF!</v>
      </c>
      <c r="F142" s="33"/>
      <c r="G142" s="34">
        <f t="shared" ref="G142:G173" si="67">H142+AC142+AT142</f>
        <v>0</v>
      </c>
      <c r="H142" s="35">
        <f t="shared" ref="H142:H173" si="68">SUMIF(I$12:AB$12,"总值",I142:AB142)</f>
        <v>0</v>
      </c>
      <c r="I142" s="1510">
        <f>铂郡面积表!E90</f>
        <v>0</v>
      </c>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9">
        <f t="shared" si="64"/>
        <v>0</v>
      </c>
      <c r="AW142" s="529">
        <f t="shared" si="65"/>
        <v>0</v>
      </c>
      <c r="AX142" s="529">
        <f t="shared" si="66"/>
        <v>0</v>
      </c>
      <c r="AY142" s="38" t="e">
        <f t="shared" ref="AY142:AY173" si="70">ROUND($AY$6*AZ142/$AZ$5,2)</f>
        <v>#REF!</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39">
        <f t="shared" ref="BT142:BT173" si="91">IF($D142="是",AR142-AS142,0)</f>
        <v>0</v>
      </c>
    </row>
    <row r="143" spans="1:72">
      <c r="A143" s="6"/>
      <c r="B143" s="31"/>
      <c r="C143" s="31"/>
      <c r="D143" s="1509" t="s">
        <v>3569</v>
      </c>
      <c r="E143" s="32" t="e">
        <f t="shared" si="63"/>
        <v>#REF!</v>
      </c>
      <c r="F143" s="33"/>
      <c r="G143" s="34">
        <f t="shared" si="67"/>
        <v>0</v>
      </c>
      <c r="H143" s="35">
        <f t="shared" si="68"/>
        <v>0</v>
      </c>
      <c r="I143" s="1510">
        <f>铂郡面积表!E91</f>
        <v>0</v>
      </c>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3"/>
      <c r="AU143" s="1512"/>
      <c r="AV143" s="529">
        <f t="shared" si="64"/>
        <v>0</v>
      </c>
      <c r="AW143" s="529">
        <f t="shared" si="65"/>
        <v>0</v>
      </c>
      <c r="AX143" s="529">
        <f t="shared" si="66"/>
        <v>0</v>
      </c>
      <c r="AY143" s="38" t="e">
        <f t="shared" si="70"/>
        <v>#REF!</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39">
        <f t="shared" si="91"/>
        <v>0</v>
      </c>
    </row>
    <row r="144" spans="1:72">
      <c r="A144" s="6"/>
      <c r="B144" s="31"/>
      <c r="C144" s="31"/>
      <c r="D144" s="1509" t="s">
        <v>3569</v>
      </c>
      <c r="E144" s="32" t="e">
        <f t="shared" si="63"/>
        <v>#REF!</v>
      </c>
      <c r="F144" s="33"/>
      <c r="G144" s="34">
        <f t="shared" si="67"/>
        <v>0</v>
      </c>
      <c r="H144" s="35">
        <f t="shared" si="68"/>
        <v>0</v>
      </c>
      <c r="I144" s="1510">
        <f>铂郡面积表!E92</f>
        <v>0</v>
      </c>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3"/>
      <c r="AU144" s="1512"/>
      <c r="AV144" s="529">
        <f t="shared" si="64"/>
        <v>0</v>
      </c>
      <c r="AW144" s="529">
        <f t="shared" si="65"/>
        <v>0</v>
      </c>
      <c r="AX144" s="529">
        <f t="shared" si="66"/>
        <v>0</v>
      </c>
      <c r="AY144" s="38" t="e">
        <f t="shared" si="70"/>
        <v>#REF!</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39">
        <f t="shared" si="91"/>
        <v>0</v>
      </c>
    </row>
    <row r="145" spans="1:72">
      <c r="A145" s="6"/>
      <c r="B145" s="31"/>
      <c r="C145" s="31"/>
      <c r="D145" s="1509" t="s">
        <v>3569</v>
      </c>
      <c r="E145" s="32" t="e">
        <f t="shared" ref="E145:E176" si="92">IF($C$3="是",ROUND($A$3*G145/$B$3,2),ROUND($A$3*(G145-AT145)/$B$3,2))</f>
        <v>#REF!</v>
      </c>
      <c r="F145" s="33"/>
      <c r="G145" s="34">
        <f t="shared" si="67"/>
        <v>0</v>
      </c>
      <c r="H145" s="35">
        <f t="shared" si="68"/>
        <v>0</v>
      </c>
      <c r="I145" s="1510">
        <f>铂郡面积表!E93</f>
        <v>0</v>
      </c>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3"/>
      <c r="AU145" s="1512"/>
      <c r="AV145" s="529">
        <f t="shared" ref="AV145:AV176" si="93">A145</f>
        <v>0</v>
      </c>
      <c r="AW145" s="529">
        <f t="shared" ref="AW145:AW176" si="94">B145</f>
        <v>0</v>
      </c>
      <c r="AX145" s="529">
        <f t="shared" ref="AX145:AX176" si="95">C145</f>
        <v>0</v>
      </c>
      <c r="AY145" s="38" t="e">
        <f t="shared" si="70"/>
        <v>#REF!</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39">
        <f t="shared" si="91"/>
        <v>0</v>
      </c>
    </row>
    <row r="146" spans="1:72">
      <c r="A146" s="6"/>
      <c r="B146" s="31"/>
      <c r="C146" s="31"/>
      <c r="D146" s="1509" t="s">
        <v>3569</v>
      </c>
      <c r="E146" s="32" t="e">
        <f t="shared" si="92"/>
        <v>#REF!</v>
      </c>
      <c r="F146" s="33"/>
      <c r="G146" s="34">
        <f t="shared" si="67"/>
        <v>0</v>
      </c>
      <c r="H146" s="35">
        <f t="shared" si="68"/>
        <v>0</v>
      </c>
      <c r="I146" s="1510">
        <f>铂郡面积表!E94</f>
        <v>0</v>
      </c>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3"/>
      <c r="AU146" s="1512"/>
      <c r="AV146" s="529">
        <f t="shared" si="93"/>
        <v>0</v>
      </c>
      <c r="AW146" s="529">
        <f t="shared" si="94"/>
        <v>0</v>
      </c>
      <c r="AX146" s="529">
        <f t="shared" si="95"/>
        <v>0</v>
      </c>
      <c r="AY146" s="38" t="e">
        <f t="shared" si="70"/>
        <v>#REF!</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39">
        <f t="shared" si="91"/>
        <v>0</v>
      </c>
    </row>
    <row r="147" spans="1:72">
      <c r="A147" s="6"/>
      <c r="B147" s="31"/>
      <c r="C147" s="31"/>
      <c r="D147" s="1509" t="s">
        <v>3569</v>
      </c>
      <c r="E147" s="32" t="e">
        <f t="shared" si="92"/>
        <v>#REF!</v>
      </c>
      <c r="F147" s="33"/>
      <c r="G147" s="34">
        <f t="shared" si="67"/>
        <v>0</v>
      </c>
      <c r="H147" s="35">
        <f t="shared" si="68"/>
        <v>0</v>
      </c>
      <c r="I147" s="1510">
        <f>铂郡面积表!E95</f>
        <v>0</v>
      </c>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3"/>
      <c r="AU147" s="1512"/>
      <c r="AV147" s="529">
        <f t="shared" si="93"/>
        <v>0</v>
      </c>
      <c r="AW147" s="529">
        <f t="shared" si="94"/>
        <v>0</v>
      </c>
      <c r="AX147" s="529">
        <f t="shared" si="95"/>
        <v>0</v>
      </c>
      <c r="AY147" s="38" t="e">
        <f t="shared" si="70"/>
        <v>#REF!</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39">
        <f t="shared" si="91"/>
        <v>0</v>
      </c>
    </row>
    <row r="148" spans="1:72">
      <c r="A148" s="6"/>
      <c r="B148" s="31"/>
      <c r="C148" s="31"/>
      <c r="D148" s="1509" t="s">
        <v>3569</v>
      </c>
      <c r="E148" s="32" t="e">
        <f t="shared" si="92"/>
        <v>#REF!</v>
      </c>
      <c r="F148" s="33"/>
      <c r="G148" s="34">
        <f t="shared" si="67"/>
        <v>0</v>
      </c>
      <c r="H148" s="35">
        <f t="shared" si="68"/>
        <v>0</v>
      </c>
      <c r="I148" s="1510">
        <f>铂郡面积表!E96</f>
        <v>0</v>
      </c>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3"/>
      <c r="AU148" s="1512"/>
      <c r="AV148" s="529">
        <f t="shared" si="93"/>
        <v>0</v>
      </c>
      <c r="AW148" s="529">
        <f t="shared" si="94"/>
        <v>0</v>
      </c>
      <c r="AX148" s="529">
        <f t="shared" si="95"/>
        <v>0</v>
      </c>
      <c r="AY148" s="38" t="e">
        <f t="shared" si="70"/>
        <v>#REF!</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39">
        <f t="shared" si="91"/>
        <v>0</v>
      </c>
    </row>
    <row r="149" spans="1:72">
      <c r="A149" s="6"/>
      <c r="B149" s="31"/>
      <c r="C149" s="31"/>
      <c r="D149" s="1509" t="s">
        <v>3569</v>
      </c>
      <c r="E149" s="32" t="e">
        <f t="shared" si="92"/>
        <v>#REF!</v>
      </c>
      <c r="F149" s="33"/>
      <c r="G149" s="34">
        <f t="shared" si="67"/>
        <v>0</v>
      </c>
      <c r="H149" s="35">
        <f t="shared" si="68"/>
        <v>0</v>
      </c>
      <c r="I149" s="1510">
        <f>铂郡面积表!E97</f>
        <v>0</v>
      </c>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3"/>
      <c r="AU149" s="1512"/>
      <c r="AV149" s="529">
        <f t="shared" si="93"/>
        <v>0</v>
      </c>
      <c r="AW149" s="529">
        <f t="shared" si="94"/>
        <v>0</v>
      </c>
      <c r="AX149" s="529">
        <f t="shared" si="95"/>
        <v>0</v>
      </c>
      <c r="AY149" s="38" t="e">
        <f t="shared" si="70"/>
        <v>#REF!</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39">
        <f t="shared" si="91"/>
        <v>0</v>
      </c>
    </row>
    <row r="150" spans="1:72">
      <c r="A150" s="6"/>
      <c r="B150" s="31"/>
      <c r="C150" s="31"/>
      <c r="D150" s="1509" t="s">
        <v>3569</v>
      </c>
      <c r="E150" s="32" t="e">
        <f t="shared" si="92"/>
        <v>#REF!</v>
      </c>
      <c r="F150" s="33"/>
      <c r="G150" s="34">
        <f t="shared" si="67"/>
        <v>0</v>
      </c>
      <c r="H150" s="35">
        <f t="shared" si="68"/>
        <v>0</v>
      </c>
      <c r="I150" s="1510">
        <f>铂郡面积表!E98</f>
        <v>0</v>
      </c>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3"/>
      <c r="AU150" s="1512"/>
      <c r="AV150" s="529">
        <f t="shared" si="93"/>
        <v>0</v>
      </c>
      <c r="AW150" s="529">
        <f t="shared" si="94"/>
        <v>0</v>
      </c>
      <c r="AX150" s="529">
        <f t="shared" si="95"/>
        <v>0</v>
      </c>
      <c r="AY150" s="38" t="e">
        <f t="shared" si="70"/>
        <v>#REF!</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39">
        <f t="shared" si="91"/>
        <v>0</v>
      </c>
    </row>
    <row r="151" spans="1:72">
      <c r="A151" s="6"/>
      <c r="B151" s="31"/>
      <c r="C151" s="31"/>
      <c r="D151" s="1509" t="s">
        <v>3569</v>
      </c>
      <c r="E151" s="32" t="e">
        <f t="shared" si="92"/>
        <v>#REF!</v>
      </c>
      <c r="F151" s="33"/>
      <c r="G151" s="34">
        <f t="shared" si="67"/>
        <v>0</v>
      </c>
      <c r="H151" s="35">
        <f t="shared" si="68"/>
        <v>0</v>
      </c>
      <c r="I151" s="1510">
        <f>铂郡面积表!E99</f>
        <v>0</v>
      </c>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3"/>
      <c r="AU151" s="1512"/>
      <c r="AV151" s="529">
        <f t="shared" si="93"/>
        <v>0</v>
      </c>
      <c r="AW151" s="529">
        <f t="shared" si="94"/>
        <v>0</v>
      </c>
      <c r="AX151" s="529">
        <f t="shared" si="95"/>
        <v>0</v>
      </c>
      <c r="AY151" s="38" t="e">
        <f t="shared" si="70"/>
        <v>#REF!</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39">
        <f t="shared" si="91"/>
        <v>0</v>
      </c>
    </row>
    <row r="152" spans="1:72">
      <c r="A152" s="6"/>
      <c r="B152" s="31"/>
      <c r="C152" s="31"/>
      <c r="D152" s="1509" t="s">
        <v>3569</v>
      </c>
      <c r="E152" s="32" t="e">
        <f t="shared" si="92"/>
        <v>#REF!</v>
      </c>
      <c r="F152" s="33"/>
      <c r="G152" s="34">
        <f t="shared" si="67"/>
        <v>0</v>
      </c>
      <c r="H152" s="35">
        <f t="shared" si="68"/>
        <v>0</v>
      </c>
      <c r="I152" s="1510">
        <f>铂郡面积表!E100</f>
        <v>0</v>
      </c>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3"/>
      <c r="AU152" s="1512"/>
      <c r="AV152" s="529">
        <f t="shared" si="93"/>
        <v>0</v>
      </c>
      <c r="AW152" s="529">
        <f t="shared" si="94"/>
        <v>0</v>
      </c>
      <c r="AX152" s="529">
        <f t="shared" si="95"/>
        <v>0</v>
      </c>
      <c r="AY152" s="38" t="e">
        <f t="shared" si="70"/>
        <v>#REF!</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39">
        <f t="shared" si="91"/>
        <v>0</v>
      </c>
    </row>
    <row r="153" spans="1:72">
      <c r="A153" s="6"/>
      <c r="B153" s="31"/>
      <c r="C153" s="31"/>
      <c r="D153" s="1509" t="s">
        <v>3569</v>
      </c>
      <c r="E153" s="32" t="e">
        <f t="shared" si="92"/>
        <v>#REF!</v>
      </c>
      <c r="F153" s="33"/>
      <c r="G153" s="34">
        <f t="shared" si="67"/>
        <v>0</v>
      </c>
      <c r="H153" s="35">
        <f t="shared" si="68"/>
        <v>0</v>
      </c>
      <c r="I153" s="1510">
        <f>铂郡面积表!E101</f>
        <v>0</v>
      </c>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3"/>
      <c r="AU153" s="1512"/>
      <c r="AV153" s="529">
        <f t="shared" si="93"/>
        <v>0</v>
      </c>
      <c r="AW153" s="529">
        <f t="shared" si="94"/>
        <v>0</v>
      </c>
      <c r="AX153" s="529">
        <f t="shared" si="95"/>
        <v>0</v>
      </c>
      <c r="AY153" s="38" t="e">
        <f t="shared" si="70"/>
        <v>#REF!</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39">
        <f t="shared" si="91"/>
        <v>0</v>
      </c>
    </row>
    <row r="154" spans="1:72">
      <c r="A154" s="6"/>
      <c r="B154" s="31"/>
      <c r="C154" s="31"/>
      <c r="D154" s="1509" t="s">
        <v>3569</v>
      </c>
      <c r="E154" s="32" t="e">
        <f t="shared" si="92"/>
        <v>#REF!</v>
      </c>
      <c r="F154" s="33"/>
      <c r="G154" s="34">
        <f t="shared" si="67"/>
        <v>0</v>
      </c>
      <c r="H154" s="35">
        <f t="shared" si="68"/>
        <v>0</v>
      </c>
      <c r="I154" s="1510">
        <f>铂郡面积表!E102</f>
        <v>0</v>
      </c>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3"/>
      <c r="AU154" s="1512"/>
      <c r="AV154" s="529">
        <f t="shared" si="93"/>
        <v>0</v>
      </c>
      <c r="AW154" s="529">
        <f t="shared" si="94"/>
        <v>0</v>
      </c>
      <c r="AX154" s="529">
        <f t="shared" si="95"/>
        <v>0</v>
      </c>
      <c r="AY154" s="38" t="e">
        <f t="shared" si="70"/>
        <v>#REF!</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39">
        <f t="shared" si="91"/>
        <v>0</v>
      </c>
    </row>
    <row r="155" spans="1:72">
      <c r="A155" s="6"/>
      <c r="B155" s="31"/>
      <c r="C155" s="31"/>
      <c r="D155" s="1509" t="s">
        <v>3569</v>
      </c>
      <c r="E155" s="32" t="e">
        <f t="shared" si="92"/>
        <v>#REF!</v>
      </c>
      <c r="F155" s="33"/>
      <c r="G155" s="34">
        <f t="shared" si="67"/>
        <v>0</v>
      </c>
      <c r="H155" s="35">
        <f t="shared" si="68"/>
        <v>0</v>
      </c>
      <c r="I155" s="1510">
        <f>铂郡面积表!E103</f>
        <v>0</v>
      </c>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3"/>
      <c r="AU155" s="1512"/>
      <c r="AV155" s="529">
        <f t="shared" si="93"/>
        <v>0</v>
      </c>
      <c r="AW155" s="529">
        <f t="shared" si="94"/>
        <v>0</v>
      </c>
      <c r="AX155" s="529">
        <f t="shared" si="95"/>
        <v>0</v>
      </c>
      <c r="AY155" s="38" t="e">
        <f t="shared" si="70"/>
        <v>#REF!</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39">
        <f t="shared" si="91"/>
        <v>0</v>
      </c>
    </row>
    <row r="156" spans="1:72">
      <c r="A156" s="6"/>
      <c r="B156" s="31"/>
      <c r="C156" s="31"/>
      <c r="D156" s="1509" t="s">
        <v>3569</v>
      </c>
      <c r="E156" s="32" t="e">
        <f t="shared" si="92"/>
        <v>#REF!</v>
      </c>
      <c r="F156" s="33"/>
      <c r="G156" s="34">
        <f t="shared" si="67"/>
        <v>0</v>
      </c>
      <c r="H156" s="35">
        <f t="shared" si="68"/>
        <v>0</v>
      </c>
      <c r="I156" s="1510">
        <f>铂郡面积表!E104</f>
        <v>0</v>
      </c>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3"/>
      <c r="AU156" s="1512"/>
      <c r="AV156" s="529">
        <f t="shared" si="93"/>
        <v>0</v>
      </c>
      <c r="AW156" s="529">
        <f t="shared" si="94"/>
        <v>0</v>
      </c>
      <c r="AX156" s="529">
        <f t="shared" si="95"/>
        <v>0</v>
      </c>
      <c r="AY156" s="38" t="e">
        <f t="shared" si="70"/>
        <v>#REF!</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39">
        <f t="shared" si="91"/>
        <v>0</v>
      </c>
    </row>
    <row r="157" spans="1:72">
      <c r="A157" s="6"/>
      <c r="B157" s="31"/>
      <c r="C157" s="31"/>
      <c r="D157" s="1509" t="s">
        <v>3569</v>
      </c>
      <c r="E157" s="32" t="e">
        <f t="shared" si="92"/>
        <v>#REF!</v>
      </c>
      <c r="F157" s="33"/>
      <c r="G157" s="34">
        <f t="shared" si="67"/>
        <v>0</v>
      </c>
      <c r="H157" s="35">
        <f t="shared" si="68"/>
        <v>0</v>
      </c>
      <c r="I157" s="1510">
        <f>铂郡面积表!E105</f>
        <v>0</v>
      </c>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3"/>
      <c r="AU157" s="1512"/>
      <c r="AV157" s="529">
        <f t="shared" si="93"/>
        <v>0</v>
      </c>
      <c r="AW157" s="529">
        <f t="shared" si="94"/>
        <v>0</v>
      </c>
      <c r="AX157" s="529">
        <f t="shared" si="95"/>
        <v>0</v>
      </c>
      <c r="AY157" s="38" t="e">
        <f t="shared" si="70"/>
        <v>#REF!</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39">
        <f t="shared" si="91"/>
        <v>0</v>
      </c>
    </row>
    <row r="158" spans="1:72">
      <c r="A158" s="6"/>
      <c r="B158" s="31"/>
      <c r="C158" s="31"/>
      <c r="D158" s="1509" t="s">
        <v>3569</v>
      </c>
      <c r="E158" s="32" t="e">
        <f t="shared" si="92"/>
        <v>#REF!</v>
      </c>
      <c r="F158" s="33"/>
      <c r="G158" s="34">
        <f t="shared" si="67"/>
        <v>0</v>
      </c>
      <c r="H158" s="35">
        <f t="shared" si="68"/>
        <v>0</v>
      </c>
      <c r="I158" s="1510">
        <f>铂郡面积表!E106</f>
        <v>0</v>
      </c>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3"/>
      <c r="AU158" s="1512"/>
      <c r="AV158" s="529">
        <f t="shared" si="93"/>
        <v>0</v>
      </c>
      <c r="AW158" s="529">
        <f t="shared" si="94"/>
        <v>0</v>
      </c>
      <c r="AX158" s="529">
        <f t="shared" si="95"/>
        <v>0</v>
      </c>
      <c r="AY158" s="38" t="e">
        <f t="shared" si="70"/>
        <v>#REF!</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39">
        <f t="shared" si="91"/>
        <v>0</v>
      </c>
    </row>
    <row r="159" spans="1:72">
      <c r="A159" s="6"/>
      <c r="B159" s="31"/>
      <c r="C159" s="31"/>
      <c r="D159" s="1509" t="s">
        <v>3569</v>
      </c>
      <c r="E159" s="32" t="e">
        <f t="shared" si="92"/>
        <v>#REF!</v>
      </c>
      <c r="F159" s="33"/>
      <c r="G159" s="34">
        <f t="shared" si="67"/>
        <v>0</v>
      </c>
      <c r="H159" s="35">
        <f t="shared" si="68"/>
        <v>0</v>
      </c>
      <c r="I159" s="1510">
        <f>铂郡面积表!E107</f>
        <v>0</v>
      </c>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3"/>
      <c r="AU159" s="1512"/>
      <c r="AV159" s="529">
        <f t="shared" si="93"/>
        <v>0</v>
      </c>
      <c r="AW159" s="529">
        <f t="shared" si="94"/>
        <v>0</v>
      </c>
      <c r="AX159" s="529">
        <f t="shared" si="95"/>
        <v>0</v>
      </c>
      <c r="AY159" s="38" t="e">
        <f t="shared" si="70"/>
        <v>#REF!</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39">
        <f t="shared" si="91"/>
        <v>0</v>
      </c>
    </row>
    <row r="160" spans="1:72">
      <c r="A160" s="6"/>
      <c r="B160" s="31"/>
      <c r="C160" s="31"/>
      <c r="D160" s="1509" t="s">
        <v>3569</v>
      </c>
      <c r="E160" s="32" t="e">
        <f t="shared" si="92"/>
        <v>#REF!</v>
      </c>
      <c r="F160" s="33"/>
      <c r="G160" s="34">
        <f t="shared" si="67"/>
        <v>0</v>
      </c>
      <c r="H160" s="35">
        <f t="shared" si="68"/>
        <v>0</v>
      </c>
      <c r="I160" s="1510">
        <f>铂郡面积表!E108</f>
        <v>0</v>
      </c>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3"/>
      <c r="AU160" s="1512"/>
      <c r="AV160" s="529">
        <f t="shared" si="93"/>
        <v>0</v>
      </c>
      <c r="AW160" s="529">
        <f t="shared" si="94"/>
        <v>0</v>
      </c>
      <c r="AX160" s="529">
        <f t="shared" si="95"/>
        <v>0</v>
      </c>
      <c r="AY160" s="38" t="e">
        <f t="shared" si="70"/>
        <v>#REF!</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39">
        <f t="shared" si="91"/>
        <v>0</v>
      </c>
    </row>
    <row r="161" spans="1:72">
      <c r="A161" s="6"/>
      <c r="B161" s="31"/>
      <c r="C161" s="31"/>
      <c r="D161" s="1509" t="s">
        <v>3569</v>
      </c>
      <c r="E161" s="32" t="e">
        <f t="shared" si="92"/>
        <v>#REF!</v>
      </c>
      <c r="F161" s="33"/>
      <c r="G161" s="34">
        <f t="shared" si="67"/>
        <v>0</v>
      </c>
      <c r="H161" s="35">
        <f t="shared" si="68"/>
        <v>0</v>
      </c>
      <c r="I161" s="1510">
        <f>铂郡面积表!E109</f>
        <v>0</v>
      </c>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3"/>
      <c r="AU161" s="1512"/>
      <c r="AV161" s="529">
        <f t="shared" si="93"/>
        <v>0</v>
      </c>
      <c r="AW161" s="529">
        <f t="shared" si="94"/>
        <v>0</v>
      </c>
      <c r="AX161" s="529">
        <f t="shared" si="95"/>
        <v>0</v>
      </c>
      <c r="AY161" s="38" t="e">
        <f t="shared" si="70"/>
        <v>#REF!</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39">
        <f t="shared" si="91"/>
        <v>0</v>
      </c>
    </row>
    <row r="162" spans="1:72">
      <c r="A162" s="6"/>
      <c r="B162" s="31"/>
      <c r="C162" s="31"/>
      <c r="D162" s="1509" t="s">
        <v>3569</v>
      </c>
      <c r="E162" s="32" t="e">
        <f t="shared" si="92"/>
        <v>#REF!</v>
      </c>
      <c r="F162" s="33"/>
      <c r="G162" s="34">
        <f t="shared" si="67"/>
        <v>0</v>
      </c>
      <c r="H162" s="35">
        <f t="shared" si="68"/>
        <v>0</v>
      </c>
      <c r="I162" s="1510">
        <f>铂郡面积表!E110</f>
        <v>0</v>
      </c>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3"/>
      <c r="AU162" s="1512"/>
      <c r="AV162" s="529">
        <f t="shared" si="93"/>
        <v>0</v>
      </c>
      <c r="AW162" s="529">
        <f t="shared" si="94"/>
        <v>0</v>
      </c>
      <c r="AX162" s="529">
        <f t="shared" si="95"/>
        <v>0</v>
      </c>
      <c r="AY162" s="38" t="e">
        <f t="shared" si="70"/>
        <v>#REF!</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39">
        <f t="shared" si="91"/>
        <v>0</v>
      </c>
    </row>
    <row r="163" spans="1:72">
      <c r="A163" s="6"/>
      <c r="B163" s="31"/>
      <c r="C163" s="31"/>
      <c r="D163" s="1509" t="s">
        <v>3569</v>
      </c>
      <c r="E163" s="32" t="e">
        <f t="shared" si="92"/>
        <v>#REF!</v>
      </c>
      <c r="F163" s="33"/>
      <c r="G163" s="34">
        <f t="shared" si="67"/>
        <v>0</v>
      </c>
      <c r="H163" s="35">
        <f t="shared" si="68"/>
        <v>0</v>
      </c>
      <c r="I163" s="1510">
        <f>铂郡面积表!E111</f>
        <v>0</v>
      </c>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3"/>
      <c r="AU163" s="1512"/>
      <c r="AV163" s="529">
        <f t="shared" si="93"/>
        <v>0</v>
      </c>
      <c r="AW163" s="529">
        <f t="shared" si="94"/>
        <v>0</v>
      </c>
      <c r="AX163" s="529">
        <f t="shared" si="95"/>
        <v>0</v>
      </c>
      <c r="AY163" s="38" t="e">
        <f t="shared" si="70"/>
        <v>#REF!</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39">
        <f t="shared" si="91"/>
        <v>0</v>
      </c>
    </row>
    <row r="164" spans="1:72">
      <c r="A164" s="6"/>
      <c r="B164" s="31"/>
      <c r="C164" s="31"/>
      <c r="D164" s="1509" t="s">
        <v>3569</v>
      </c>
      <c r="E164" s="32" t="e">
        <f t="shared" si="92"/>
        <v>#REF!</v>
      </c>
      <c r="F164" s="33"/>
      <c r="G164" s="34">
        <f t="shared" si="67"/>
        <v>0</v>
      </c>
      <c r="H164" s="35">
        <f t="shared" si="68"/>
        <v>0</v>
      </c>
      <c r="I164" s="1510">
        <f>铂郡面积表!E112</f>
        <v>0</v>
      </c>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3"/>
      <c r="AU164" s="1512"/>
      <c r="AV164" s="529">
        <f t="shared" si="93"/>
        <v>0</v>
      </c>
      <c r="AW164" s="529">
        <f t="shared" si="94"/>
        <v>0</v>
      </c>
      <c r="AX164" s="529">
        <f t="shared" si="95"/>
        <v>0</v>
      </c>
      <c r="AY164" s="38" t="e">
        <f t="shared" si="70"/>
        <v>#REF!</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39">
        <f t="shared" si="91"/>
        <v>0</v>
      </c>
    </row>
    <row r="165" spans="1:72">
      <c r="A165" s="6"/>
      <c r="B165" s="31"/>
      <c r="C165" s="31"/>
      <c r="D165" s="1509" t="s">
        <v>3569</v>
      </c>
      <c r="E165" s="32" t="e">
        <f t="shared" si="92"/>
        <v>#REF!</v>
      </c>
      <c r="F165" s="33"/>
      <c r="G165" s="34">
        <f t="shared" si="67"/>
        <v>0</v>
      </c>
      <c r="H165" s="35">
        <f t="shared" si="68"/>
        <v>0</v>
      </c>
      <c r="I165" s="1510">
        <f>铂郡面积表!E113</f>
        <v>0</v>
      </c>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3"/>
      <c r="AU165" s="1512"/>
      <c r="AV165" s="529">
        <f t="shared" si="93"/>
        <v>0</v>
      </c>
      <c r="AW165" s="529">
        <f t="shared" si="94"/>
        <v>0</v>
      </c>
      <c r="AX165" s="529">
        <f t="shared" si="95"/>
        <v>0</v>
      </c>
      <c r="AY165" s="38" t="e">
        <f t="shared" si="70"/>
        <v>#REF!</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39">
        <f t="shared" si="91"/>
        <v>0</v>
      </c>
    </row>
    <row r="166" spans="1:72">
      <c r="A166" s="6"/>
      <c r="B166" s="31"/>
      <c r="C166" s="31"/>
      <c r="D166" s="1509" t="s">
        <v>3569</v>
      </c>
      <c r="E166" s="32" t="e">
        <f t="shared" si="92"/>
        <v>#REF!</v>
      </c>
      <c r="F166" s="33"/>
      <c r="G166" s="34">
        <f t="shared" si="67"/>
        <v>0</v>
      </c>
      <c r="H166" s="35">
        <f t="shared" si="68"/>
        <v>0</v>
      </c>
      <c r="I166" s="1510">
        <f>铂郡面积表!E114</f>
        <v>0</v>
      </c>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3"/>
      <c r="AU166" s="1512"/>
      <c r="AV166" s="529">
        <f t="shared" si="93"/>
        <v>0</v>
      </c>
      <c r="AW166" s="529">
        <f t="shared" si="94"/>
        <v>0</v>
      </c>
      <c r="AX166" s="529">
        <f t="shared" si="95"/>
        <v>0</v>
      </c>
      <c r="AY166" s="38" t="e">
        <f t="shared" si="70"/>
        <v>#REF!</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39">
        <f t="shared" si="91"/>
        <v>0</v>
      </c>
    </row>
    <row r="167" spans="1:72">
      <c r="A167" s="6"/>
      <c r="B167" s="31"/>
      <c r="C167" s="31"/>
      <c r="D167" s="1509" t="s">
        <v>3569</v>
      </c>
      <c r="E167" s="32" t="e">
        <f t="shared" si="92"/>
        <v>#REF!</v>
      </c>
      <c r="F167" s="33"/>
      <c r="G167" s="34">
        <f t="shared" si="67"/>
        <v>0</v>
      </c>
      <c r="H167" s="35">
        <f t="shared" si="68"/>
        <v>0</v>
      </c>
      <c r="I167" s="1510">
        <f>铂郡面积表!E115</f>
        <v>0</v>
      </c>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3"/>
      <c r="AU167" s="1512"/>
      <c r="AV167" s="529">
        <f t="shared" si="93"/>
        <v>0</v>
      </c>
      <c r="AW167" s="529">
        <f t="shared" si="94"/>
        <v>0</v>
      </c>
      <c r="AX167" s="529">
        <f t="shared" si="95"/>
        <v>0</v>
      </c>
      <c r="AY167" s="38" t="e">
        <f t="shared" si="70"/>
        <v>#REF!</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39">
        <f t="shared" si="91"/>
        <v>0</v>
      </c>
    </row>
    <row r="168" spans="1:72">
      <c r="A168" s="6"/>
      <c r="B168" s="31"/>
      <c r="C168" s="31"/>
      <c r="D168" s="1509" t="s">
        <v>3569</v>
      </c>
      <c r="E168" s="32" t="e">
        <f t="shared" si="92"/>
        <v>#REF!</v>
      </c>
      <c r="F168" s="33"/>
      <c r="G168" s="34">
        <f t="shared" si="67"/>
        <v>0</v>
      </c>
      <c r="H168" s="35">
        <f t="shared" si="68"/>
        <v>0</v>
      </c>
      <c r="I168" s="1510">
        <f>铂郡面积表!E116</f>
        <v>0</v>
      </c>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3"/>
      <c r="AU168" s="1512"/>
      <c r="AV168" s="529">
        <f t="shared" si="93"/>
        <v>0</v>
      </c>
      <c r="AW168" s="529">
        <f t="shared" si="94"/>
        <v>0</v>
      </c>
      <c r="AX168" s="529">
        <f t="shared" si="95"/>
        <v>0</v>
      </c>
      <c r="AY168" s="38" t="e">
        <f t="shared" si="70"/>
        <v>#REF!</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39">
        <f t="shared" si="91"/>
        <v>0</v>
      </c>
    </row>
    <row r="169" spans="1:72">
      <c r="A169" s="6"/>
      <c r="B169" s="31"/>
      <c r="C169" s="31"/>
      <c r="D169" s="1509" t="s">
        <v>3569</v>
      </c>
      <c r="E169" s="32" t="e">
        <f t="shared" si="92"/>
        <v>#REF!</v>
      </c>
      <c r="F169" s="33"/>
      <c r="G169" s="34">
        <f t="shared" si="67"/>
        <v>0</v>
      </c>
      <c r="H169" s="35">
        <f t="shared" si="68"/>
        <v>0</v>
      </c>
      <c r="I169" s="1510">
        <f>铂郡面积表!E117</f>
        <v>0</v>
      </c>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3"/>
      <c r="AU169" s="1512"/>
      <c r="AV169" s="529">
        <f t="shared" si="93"/>
        <v>0</v>
      </c>
      <c r="AW169" s="529">
        <f t="shared" si="94"/>
        <v>0</v>
      </c>
      <c r="AX169" s="529">
        <f t="shared" si="95"/>
        <v>0</v>
      </c>
      <c r="AY169" s="38" t="e">
        <f t="shared" si="70"/>
        <v>#REF!</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39">
        <f t="shared" si="91"/>
        <v>0</v>
      </c>
    </row>
    <row r="170" spans="1:72">
      <c r="A170" s="6"/>
      <c r="B170" s="31"/>
      <c r="C170" s="31"/>
      <c r="D170" s="1509" t="s">
        <v>3569</v>
      </c>
      <c r="E170" s="32" t="e">
        <f t="shared" si="92"/>
        <v>#REF!</v>
      </c>
      <c r="F170" s="33"/>
      <c r="G170" s="34">
        <f t="shared" si="67"/>
        <v>0</v>
      </c>
      <c r="H170" s="35">
        <f t="shared" si="68"/>
        <v>0</v>
      </c>
      <c r="I170" s="1510">
        <f>铂郡面积表!E118</f>
        <v>0</v>
      </c>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3"/>
      <c r="AU170" s="1512"/>
      <c r="AV170" s="529">
        <f t="shared" si="93"/>
        <v>0</v>
      </c>
      <c r="AW170" s="529">
        <f t="shared" si="94"/>
        <v>0</v>
      </c>
      <c r="AX170" s="529">
        <f t="shared" si="95"/>
        <v>0</v>
      </c>
      <c r="AY170" s="38" t="e">
        <f t="shared" si="70"/>
        <v>#REF!</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39">
        <f t="shared" si="91"/>
        <v>0</v>
      </c>
    </row>
    <row r="171" spans="1:72">
      <c r="A171" s="6"/>
      <c r="B171" s="31"/>
      <c r="C171" s="31"/>
      <c r="D171" s="1509" t="s">
        <v>3569</v>
      </c>
      <c r="E171" s="32" t="e">
        <f t="shared" si="92"/>
        <v>#REF!</v>
      </c>
      <c r="F171" s="33"/>
      <c r="G171" s="34">
        <f t="shared" si="67"/>
        <v>0</v>
      </c>
      <c r="H171" s="35">
        <f t="shared" si="68"/>
        <v>0</v>
      </c>
      <c r="I171" s="1510">
        <f>铂郡面积表!E119</f>
        <v>0</v>
      </c>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3"/>
      <c r="AU171" s="1512"/>
      <c r="AV171" s="529">
        <f t="shared" si="93"/>
        <v>0</v>
      </c>
      <c r="AW171" s="529">
        <f t="shared" si="94"/>
        <v>0</v>
      </c>
      <c r="AX171" s="529">
        <f t="shared" si="95"/>
        <v>0</v>
      </c>
      <c r="AY171" s="38" t="e">
        <f t="shared" si="70"/>
        <v>#REF!</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39">
        <f t="shared" si="91"/>
        <v>0</v>
      </c>
    </row>
    <row r="172" spans="1:72">
      <c r="A172" s="6"/>
      <c r="B172" s="31"/>
      <c r="C172" s="31"/>
      <c r="D172" s="1509" t="s">
        <v>3569</v>
      </c>
      <c r="E172" s="32" t="e">
        <f t="shared" si="92"/>
        <v>#REF!</v>
      </c>
      <c r="F172" s="33"/>
      <c r="G172" s="34">
        <f t="shared" si="67"/>
        <v>0</v>
      </c>
      <c r="H172" s="35">
        <f t="shared" si="68"/>
        <v>0</v>
      </c>
      <c r="I172" s="1510">
        <f>铂郡面积表!E120</f>
        <v>0</v>
      </c>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3"/>
      <c r="AU172" s="1512"/>
      <c r="AV172" s="529">
        <f t="shared" si="93"/>
        <v>0</v>
      </c>
      <c r="AW172" s="529">
        <f t="shared" si="94"/>
        <v>0</v>
      </c>
      <c r="AX172" s="529">
        <f t="shared" si="95"/>
        <v>0</v>
      </c>
      <c r="AY172" s="38" t="e">
        <f t="shared" si="70"/>
        <v>#REF!</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39">
        <f t="shared" si="91"/>
        <v>0</v>
      </c>
    </row>
    <row r="173" spans="1:72">
      <c r="A173" s="6"/>
      <c r="B173" s="31"/>
      <c r="C173" s="31"/>
      <c r="D173" s="1509" t="s">
        <v>3569</v>
      </c>
      <c r="E173" s="32" t="e">
        <f t="shared" si="92"/>
        <v>#REF!</v>
      </c>
      <c r="F173" s="33"/>
      <c r="G173" s="34">
        <f t="shared" si="67"/>
        <v>0</v>
      </c>
      <c r="H173" s="35">
        <f t="shared" si="68"/>
        <v>0</v>
      </c>
      <c r="I173" s="1510">
        <f>铂郡面积表!E121</f>
        <v>0</v>
      </c>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3"/>
      <c r="AU173" s="1512"/>
      <c r="AV173" s="529">
        <f t="shared" si="93"/>
        <v>0</v>
      </c>
      <c r="AW173" s="529">
        <f t="shared" si="94"/>
        <v>0</v>
      </c>
      <c r="AX173" s="529">
        <f t="shared" si="95"/>
        <v>0</v>
      </c>
      <c r="AY173" s="38" t="e">
        <f t="shared" si="70"/>
        <v>#REF!</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39">
        <f t="shared" si="91"/>
        <v>0</v>
      </c>
    </row>
    <row r="174" spans="1:72">
      <c r="A174" s="6"/>
      <c r="B174" s="31"/>
      <c r="C174" s="31"/>
      <c r="D174" s="1509" t="s">
        <v>3569</v>
      </c>
      <c r="E174" s="32" t="e">
        <f t="shared" si="92"/>
        <v>#REF!</v>
      </c>
      <c r="F174" s="33"/>
      <c r="G174" s="34">
        <f t="shared" ref="G174:G205" si="96">H174+AC174+AT174</f>
        <v>0</v>
      </c>
      <c r="H174" s="35">
        <f t="shared" ref="H174:H205" si="97">SUMIF(I$12:AB$12,"总值",I174:AB174)</f>
        <v>0</v>
      </c>
      <c r="I174" s="1510">
        <f>铂郡面积表!E122</f>
        <v>0</v>
      </c>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9">
        <f t="shared" si="93"/>
        <v>0</v>
      </c>
      <c r="AW174" s="529">
        <f t="shared" si="94"/>
        <v>0</v>
      </c>
      <c r="AX174" s="529">
        <f t="shared" si="95"/>
        <v>0</v>
      </c>
      <c r="AY174" s="38" t="e">
        <f t="shared" ref="AY174:AY205" si="99">ROUND($AY$6*AZ174/$AZ$5,2)</f>
        <v>#REF!</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39">
        <f t="shared" ref="BT174:BT207" si="120">IF($D174="是",AR174-AS174,0)</f>
        <v>0</v>
      </c>
    </row>
    <row r="175" spans="1:72">
      <c r="A175" s="6"/>
      <c r="B175" s="31"/>
      <c r="C175" s="31"/>
      <c r="D175" s="1509" t="s">
        <v>3569</v>
      </c>
      <c r="E175" s="32" t="e">
        <f t="shared" si="92"/>
        <v>#REF!</v>
      </c>
      <c r="F175" s="33"/>
      <c r="G175" s="34">
        <f t="shared" si="96"/>
        <v>0</v>
      </c>
      <c r="H175" s="35">
        <f t="shared" si="97"/>
        <v>0</v>
      </c>
      <c r="I175" s="1510">
        <f>铂郡面积表!E123</f>
        <v>0</v>
      </c>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3"/>
      <c r="AU175" s="1512"/>
      <c r="AV175" s="529">
        <f t="shared" si="93"/>
        <v>0</v>
      </c>
      <c r="AW175" s="529">
        <f t="shared" si="94"/>
        <v>0</v>
      </c>
      <c r="AX175" s="529">
        <f t="shared" si="95"/>
        <v>0</v>
      </c>
      <c r="AY175" s="38" t="e">
        <f t="shared" si="99"/>
        <v>#REF!</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39">
        <f t="shared" si="120"/>
        <v>0</v>
      </c>
    </row>
    <row r="176" spans="1:72">
      <c r="A176" s="6"/>
      <c r="B176" s="31"/>
      <c r="C176" s="31"/>
      <c r="D176" s="1509" t="s">
        <v>3569</v>
      </c>
      <c r="E176" s="32" t="e">
        <f t="shared" si="92"/>
        <v>#REF!</v>
      </c>
      <c r="F176" s="33"/>
      <c r="G176" s="34">
        <f t="shared" si="96"/>
        <v>0</v>
      </c>
      <c r="H176" s="35">
        <f t="shared" si="97"/>
        <v>0</v>
      </c>
      <c r="I176" s="1510">
        <f>铂郡面积表!E124</f>
        <v>0</v>
      </c>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3"/>
      <c r="AU176" s="1512"/>
      <c r="AV176" s="529">
        <f t="shared" si="93"/>
        <v>0</v>
      </c>
      <c r="AW176" s="529">
        <f t="shared" si="94"/>
        <v>0</v>
      </c>
      <c r="AX176" s="529">
        <f t="shared" si="95"/>
        <v>0</v>
      </c>
      <c r="AY176" s="38" t="e">
        <f t="shared" si="99"/>
        <v>#REF!</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39">
        <f t="shared" si="120"/>
        <v>0</v>
      </c>
    </row>
    <row r="177" spans="1:72">
      <c r="A177" s="6"/>
      <c r="B177" s="31"/>
      <c r="C177" s="31"/>
      <c r="D177" s="1509" t="s">
        <v>3569</v>
      </c>
      <c r="E177" s="32" t="e">
        <f t="shared" ref="E177:E207" si="121">IF($C$3="是",ROUND($A$3*G177/$B$3,2),ROUND($A$3*(G177-AT177)/$B$3,2))</f>
        <v>#REF!</v>
      </c>
      <c r="F177" s="33"/>
      <c r="G177" s="34">
        <f t="shared" si="96"/>
        <v>0</v>
      </c>
      <c r="H177" s="35">
        <f t="shared" si="97"/>
        <v>0</v>
      </c>
      <c r="I177" s="1510">
        <f>铂郡面积表!E125</f>
        <v>0</v>
      </c>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3"/>
      <c r="AU177" s="1512"/>
      <c r="AV177" s="529">
        <f t="shared" ref="AV177:AV207" si="122">A177</f>
        <v>0</v>
      </c>
      <c r="AW177" s="529">
        <f t="shared" ref="AW177:AW207" si="123">B177</f>
        <v>0</v>
      </c>
      <c r="AX177" s="529">
        <f t="shared" ref="AX177:AX207" si="124">C177</f>
        <v>0</v>
      </c>
      <c r="AY177" s="38" t="e">
        <f t="shared" si="99"/>
        <v>#REF!</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39">
        <f t="shared" si="120"/>
        <v>0</v>
      </c>
    </row>
    <row r="178" spans="1:72">
      <c r="A178" s="6"/>
      <c r="B178" s="31"/>
      <c r="C178" s="31"/>
      <c r="D178" s="1509" t="s">
        <v>3569</v>
      </c>
      <c r="E178" s="32" t="e">
        <f t="shared" si="121"/>
        <v>#REF!</v>
      </c>
      <c r="F178" s="33"/>
      <c r="G178" s="34">
        <f t="shared" si="96"/>
        <v>0</v>
      </c>
      <c r="H178" s="35">
        <f t="shared" si="97"/>
        <v>0</v>
      </c>
      <c r="I178" s="1510">
        <f>铂郡面积表!E126</f>
        <v>0</v>
      </c>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3"/>
      <c r="AU178" s="1512"/>
      <c r="AV178" s="529">
        <f t="shared" si="122"/>
        <v>0</v>
      </c>
      <c r="AW178" s="529">
        <f t="shared" si="123"/>
        <v>0</v>
      </c>
      <c r="AX178" s="529">
        <f t="shared" si="124"/>
        <v>0</v>
      </c>
      <c r="AY178" s="38" t="e">
        <f t="shared" si="99"/>
        <v>#REF!</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39">
        <f t="shared" si="120"/>
        <v>0</v>
      </c>
    </row>
    <row r="179" spans="1:72">
      <c r="A179" s="6"/>
      <c r="B179" s="31"/>
      <c r="C179" s="31"/>
      <c r="D179" s="1509" t="s">
        <v>3569</v>
      </c>
      <c r="E179" s="32" t="e">
        <f t="shared" si="121"/>
        <v>#REF!</v>
      </c>
      <c r="F179" s="33"/>
      <c r="G179" s="34">
        <f t="shared" si="96"/>
        <v>0</v>
      </c>
      <c r="H179" s="35">
        <f t="shared" si="97"/>
        <v>0</v>
      </c>
      <c r="I179" s="1510">
        <f>铂郡面积表!E127</f>
        <v>0</v>
      </c>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3"/>
      <c r="AU179" s="1512"/>
      <c r="AV179" s="529">
        <f t="shared" si="122"/>
        <v>0</v>
      </c>
      <c r="AW179" s="529">
        <f t="shared" si="123"/>
        <v>0</v>
      </c>
      <c r="AX179" s="529">
        <f t="shared" si="124"/>
        <v>0</v>
      </c>
      <c r="AY179" s="38" t="e">
        <f t="shared" si="99"/>
        <v>#REF!</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39">
        <f t="shared" si="120"/>
        <v>0</v>
      </c>
    </row>
    <row r="180" spans="1:72">
      <c r="A180" s="6"/>
      <c r="B180" s="31"/>
      <c r="C180" s="31"/>
      <c r="D180" s="1509" t="s">
        <v>3569</v>
      </c>
      <c r="E180" s="32" t="e">
        <f t="shared" si="121"/>
        <v>#REF!</v>
      </c>
      <c r="F180" s="33"/>
      <c r="G180" s="34">
        <f t="shared" si="96"/>
        <v>0</v>
      </c>
      <c r="H180" s="35">
        <f t="shared" si="97"/>
        <v>0</v>
      </c>
      <c r="I180" s="1510">
        <f>铂郡面积表!E128</f>
        <v>0</v>
      </c>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3"/>
      <c r="AU180" s="1512"/>
      <c r="AV180" s="529">
        <f t="shared" si="122"/>
        <v>0</v>
      </c>
      <c r="AW180" s="529">
        <f t="shared" si="123"/>
        <v>0</v>
      </c>
      <c r="AX180" s="529">
        <f t="shared" si="124"/>
        <v>0</v>
      </c>
      <c r="AY180" s="38" t="e">
        <f t="shared" si="99"/>
        <v>#REF!</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39">
        <f t="shared" si="120"/>
        <v>0</v>
      </c>
    </row>
    <row r="181" spans="1:72">
      <c r="A181" s="6"/>
      <c r="B181" s="31"/>
      <c r="C181" s="31"/>
      <c r="D181" s="1509" t="s">
        <v>3569</v>
      </c>
      <c r="E181" s="32" t="e">
        <f t="shared" si="121"/>
        <v>#REF!</v>
      </c>
      <c r="F181" s="33"/>
      <c r="G181" s="34">
        <f t="shared" si="96"/>
        <v>0</v>
      </c>
      <c r="H181" s="35">
        <f t="shared" si="97"/>
        <v>0</v>
      </c>
      <c r="I181" s="1510">
        <f>铂郡面积表!E129</f>
        <v>0</v>
      </c>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3"/>
      <c r="AU181" s="1512"/>
      <c r="AV181" s="529">
        <f t="shared" si="122"/>
        <v>0</v>
      </c>
      <c r="AW181" s="529">
        <f t="shared" si="123"/>
        <v>0</v>
      </c>
      <c r="AX181" s="529">
        <f t="shared" si="124"/>
        <v>0</v>
      </c>
      <c r="AY181" s="38" t="e">
        <f t="shared" si="99"/>
        <v>#REF!</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39">
        <f t="shared" si="120"/>
        <v>0</v>
      </c>
    </row>
    <row r="182" spans="1:72">
      <c r="A182" s="6"/>
      <c r="B182" s="31"/>
      <c r="C182" s="31"/>
      <c r="D182" s="1509" t="s">
        <v>3569</v>
      </c>
      <c r="E182" s="32" t="e">
        <f t="shared" si="121"/>
        <v>#REF!</v>
      </c>
      <c r="F182" s="33"/>
      <c r="G182" s="34">
        <f t="shared" si="96"/>
        <v>0</v>
      </c>
      <c r="H182" s="35">
        <f t="shared" si="97"/>
        <v>0</v>
      </c>
      <c r="I182" s="1510">
        <f>铂郡面积表!E130</f>
        <v>0</v>
      </c>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3"/>
      <c r="AU182" s="1512"/>
      <c r="AV182" s="529">
        <f t="shared" si="122"/>
        <v>0</v>
      </c>
      <c r="AW182" s="529">
        <f t="shared" si="123"/>
        <v>0</v>
      </c>
      <c r="AX182" s="529">
        <f t="shared" si="124"/>
        <v>0</v>
      </c>
      <c r="AY182" s="38" t="e">
        <f t="shared" si="99"/>
        <v>#REF!</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39">
        <f t="shared" si="120"/>
        <v>0</v>
      </c>
    </row>
    <row r="183" spans="1:72">
      <c r="A183" s="6"/>
      <c r="B183" s="31"/>
      <c r="C183" s="31"/>
      <c r="D183" s="1509" t="s">
        <v>3569</v>
      </c>
      <c r="E183" s="32" t="e">
        <f t="shared" si="121"/>
        <v>#REF!</v>
      </c>
      <c r="F183" s="33"/>
      <c r="G183" s="34">
        <f t="shared" si="96"/>
        <v>0</v>
      </c>
      <c r="H183" s="35">
        <f t="shared" si="97"/>
        <v>0</v>
      </c>
      <c r="I183" s="1510">
        <f>铂郡面积表!E131</f>
        <v>0</v>
      </c>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3"/>
      <c r="AU183" s="1512"/>
      <c r="AV183" s="529">
        <f t="shared" si="122"/>
        <v>0</v>
      </c>
      <c r="AW183" s="529">
        <f t="shared" si="123"/>
        <v>0</v>
      </c>
      <c r="AX183" s="529">
        <f t="shared" si="124"/>
        <v>0</v>
      </c>
      <c r="AY183" s="38" t="e">
        <f t="shared" si="99"/>
        <v>#REF!</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39">
        <f t="shared" si="120"/>
        <v>0</v>
      </c>
    </row>
    <row r="184" spans="1:72">
      <c r="A184" s="6"/>
      <c r="B184" s="31"/>
      <c r="C184" s="31"/>
      <c r="D184" s="1509" t="s">
        <v>3569</v>
      </c>
      <c r="E184" s="32" t="e">
        <f t="shared" si="121"/>
        <v>#REF!</v>
      </c>
      <c r="F184" s="33"/>
      <c r="G184" s="34">
        <f t="shared" si="96"/>
        <v>0</v>
      </c>
      <c r="H184" s="35">
        <f t="shared" si="97"/>
        <v>0</v>
      </c>
      <c r="I184" s="1510">
        <f>铂郡面积表!E132</f>
        <v>0</v>
      </c>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3"/>
      <c r="AU184" s="1512"/>
      <c r="AV184" s="529">
        <f t="shared" si="122"/>
        <v>0</v>
      </c>
      <c r="AW184" s="529">
        <f t="shared" si="123"/>
        <v>0</v>
      </c>
      <c r="AX184" s="529">
        <f t="shared" si="124"/>
        <v>0</v>
      </c>
      <c r="AY184" s="38" t="e">
        <f t="shared" si="99"/>
        <v>#REF!</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39">
        <f t="shared" si="120"/>
        <v>0</v>
      </c>
    </row>
    <row r="185" spans="1:72">
      <c r="A185" s="6"/>
      <c r="B185" s="31"/>
      <c r="C185" s="31"/>
      <c r="D185" s="1509" t="s">
        <v>3569</v>
      </c>
      <c r="E185" s="32" t="e">
        <f t="shared" si="121"/>
        <v>#REF!</v>
      </c>
      <c r="F185" s="33"/>
      <c r="G185" s="34">
        <f t="shared" si="96"/>
        <v>0</v>
      </c>
      <c r="H185" s="35">
        <f t="shared" si="97"/>
        <v>0</v>
      </c>
      <c r="I185" s="1510">
        <f>铂郡面积表!E133</f>
        <v>0</v>
      </c>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3"/>
      <c r="AU185" s="1512"/>
      <c r="AV185" s="529">
        <f t="shared" si="122"/>
        <v>0</v>
      </c>
      <c r="AW185" s="529">
        <f t="shared" si="123"/>
        <v>0</v>
      </c>
      <c r="AX185" s="529">
        <f t="shared" si="124"/>
        <v>0</v>
      </c>
      <c r="AY185" s="38" t="e">
        <f t="shared" si="99"/>
        <v>#REF!</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39">
        <f t="shared" si="120"/>
        <v>0</v>
      </c>
    </row>
    <row r="186" spans="1:72">
      <c r="A186" s="6"/>
      <c r="B186" s="31"/>
      <c r="C186" s="31"/>
      <c r="D186" s="1509" t="s">
        <v>3569</v>
      </c>
      <c r="E186" s="32" t="e">
        <f t="shared" si="121"/>
        <v>#REF!</v>
      </c>
      <c r="F186" s="33"/>
      <c r="G186" s="34">
        <f t="shared" si="96"/>
        <v>0</v>
      </c>
      <c r="H186" s="35">
        <f t="shared" si="97"/>
        <v>0</v>
      </c>
      <c r="I186" s="1510">
        <f>铂郡面积表!E134</f>
        <v>0</v>
      </c>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3"/>
      <c r="AU186" s="1512"/>
      <c r="AV186" s="529">
        <f t="shared" si="122"/>
        <v>0</v>
      </c>
      <c r="AW186" s="529">
        <f t="shared" si="123"/>
        <v>0</v>
      </c>
      <c r="AX186" s="529">
        <f t="shared" si="124"/>
        <v>0</v>
      </c>
      <c r="AY186" s="38" t="e">
        <f t="shared" si="99"/>
        <v>#REF!</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39">
        <f t="shared" si="120"/>
        <v>0</v>
      </c>
    </row>
    <row r="187" spans="1:72">
      <c r="A187" s="6"/>
      <c r="B187" s="31"/>
      <c r="C187" s="31"/>
      <c r="D187" s="1509" t="s">
        <v>3569</v>
      </c>
      <c r="E187" s="32" t="e">
        <f t="shared" si="121"/>
        <v>#REF!</v>
      </c>
      <c r="F187" s="33"/>
      <c r="G187" s="34">
        <f t="shared" si="96"/>
        <v>0</v>
      </c>
      <c r="H187" s="35">
        <f t="shared" si="97"/>
        <v>0</v>
      </c>
      <c r="I187" s="1510">
        <f>铂郡面积表!E135</f>
        <v>0</v>
      </c>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3"/>
      <c r="AU187" s="1512"/>
      <c r="AV187" s="529">
        <f t="shared" si="122"/>
        <v>0</v>
      </c>
      <c r="AW187" s="529">
        <f t="shared" si="123"/>
        <v>0</v>
      </c>
      <c r="AX187" s="529">
        <f t="shared" si="124"/>
        <v>0</v>
      </c>
      <c r="AY187" s="38" t="e">
        <f t="shared" si="99"/>
        <v>#REF!</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39">
        <f t="shared" si="120"/>
        <v>0</v>
      </c>
    </row>
    <row r="188" spans="1:72">
      <c r="A188" s="6"/>
      <c r="B188" s="31"/>
      <c r="C188" s="31"/>
      <c r="D188" s="1509" t="s">
        <v>3569</v>
      </c>
      <c r="E188" s="32" t="e">
        <f t="shared" si="121"/>
        <v>#REF!</v>
      </c>
      <c r="F188" s="33"/>
      <c r="G188" s="34">
        <f t="shared" si="96"/>
        <v>0</v>
      </c>
      <c r="H188" s="35">
        <f t="shared" si="97"/>
        <v>0</v>
      </c>
      <c r="I188" s="1510">
        <f>铂郡面积表!E136</f>
        <v>0</v>
      </c>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3"/>
      <c r="AU188" s="1512"/>
      <c r="AV188" s="529">
        <f t="shared" si="122"/>
        <v>0</v>
      </c>
      <c r="AW188" s="529">
        <f t="shared" si="123"/>
        <v>0</v>
      </c>
      <c r="AX188" s="529">
        <f t="shared" si="124"/>
        <v>0</v>
      </c>
      <c r="AY188" s="38" t="e">
        <f t="shared" si="99"/>
        <v>#REF!</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39">
        <f t="shared" si="120"/>
        <v>0</v>
      </c>
    </row>
    <row r="189" spans="1:72">
      <c r="A189" s="6"/>
      <c r="B189" s="31"/>
      <c r="C189" s="31"/>
      <c r="D189" s="1509" t="s">
        <v>3569</v>
      </c>
      <c r="E189" s="32" t="e">
        <f t="shared" si="121"/>
        <v>#REF!</v>
      </c>
      <c r="F189" s="33"/>
      <c r="G189" s="34">
        <f t="shared" si="96"/>
        <v>0</v>
      </c>
      <c r="H189" s="35">
        <f t="shared" si="97"/>
        <v>0</v>
      </c>
      <c r="I189" s="1510">
        <f>铂郡面积表!E137</f>
        <v>0</v>
      </c>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3"/>
      <c r="AU189" s="1512"/>
      <c r="AV189" s="529">
        <f t="shared" si="122"/>
        <v>0</v>
      </c>
      <c r="AW189" s="529">
        <f t="shared" si="123"/>
        <v>0</v>
      </c>
      <c r="AX189" s="529">
        <f t="shared" si="124"/>
        <v>0</v>
      </c>
      <c r="AY189" s="38" t="e">
        <f t="shared" si="99"/>
        <v>#REF!</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39">
        <f t="shared" si="120"/>
        <v>0</v>
      </c>
    </row>
    <row r="190" spans="1:72">
      <c r="A190" s="6"/>
      <c r="B190" s="31"/>
      <c r="C190" s="31"/>
      <c r="D190" s="1509" t="s">
        <v>3569</v>
      </c>
      <c r="E190" s="32" t="e">
        <f t="shared" si="121"/>
        <v>#REF!</v>
      </c>
      <c r="F190" s="33"/>
      <c r="G190" s="34">
        <f t="shared" si="96"/>
        <v>0</v>
      </c>
      <c r="H190" s="35">
        <f t="shared" si="97"/>
        <v>0</v>
      </c>
      <c r="I190" s="1510">
        <f>铂郡面积表!E138</f>
        <v>0</v>
      </c>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3"/>
      <c r="AU190" s="1512"/>
      <c r="AV190" s="529">
        <f t="shared" si="122"/>
        <v>0</v>
      </c>
      <c r="AW190" s="529">
        <f t="shared" si="123"/>
        <v>0</v>
      </c>
      <c r="AX190" s="529">
        <f t="shared" si="124"/>
        <v>0</v>
      </c>
      <c r="AY190" s="38" t="e">
        <f t="shared" si="99"/>
        <v>#REF!</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39">
        <f t="shared" si="120"/>
        <v>0</v>
      </c>
    </row>
    <row r="191" spans="1:72">
      <c r="A191" s="6"/>
      <c r="B191" s="31"/>
      <c r="C191" s="31"/>
      <c r="D191" s="1509" t="s">
        <v>3569</v>
      </c>
      <c r="E191" s="32" t="e">
        <f t="shared" si="121"/>
        <v>#REF!</v>
      </c>
      <c r="F191" s="33"/>
      <c r="G191" s="34">
        <f t="shared" si="96"/>
        <v>0</v>
      </c>
      <c r="H191" s="35">
        <f t="shared" si="97"/>
        <v>0</v>
      </c>
      <c r="I191" s="1510">
        <f>铂郡面积表!E139</f>
        <v>0</v>
      </c>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3"/>
      <c r="AU191" s="1512"/>
      <c r="AV191" s="529">
        <f t="shared" si="122"/>
        <v>0</v>
      </c>
      <c r="AW191" s="529">
        <f t="shared" si="123"/>
        <v>0</v>
      </c>
      <c r="AX191" s="529">
        <f t="shared" si="124"/>
        <v>0</v>
      </c>
      <c r="AY191" s="38" t="e">
        <f t="shared" si="99"/>
        <v>#REF!</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39">
        <f t="shared" si="120"/>
        <v>0</v>
      </c>
    </row>
    <row r="192" spans="1:72">
      <c r="A192" s="6"/>
      <c r="B192" s="31"/>
      <c r="C192" s="31"/>
      <c r="D192" s="1509" t="s">
        <v>3569</v>
      </c>
      <c r="E192" s="32" t="e">
        <f t="shared" si="121"/>
        <v>#REF!</v>
      </c>
      <c r="F192" s="33"/>
      <c r="G192" s="34">
        <f t="shared" si="96"/>
        <v>0</v>
      </c>
      <c r="H192" s="35">
        <f t="shared" si="97"/>
        <v>0</v>
      </c>
      <c r="I192" s="1510">
        <f>铂郡面积表!E140</f>
        <v>0</v>
      </c>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3"/>
      <c r="AU192" s="1512"/>
      <c r="AV192" s="529">
        <f t="shared" si="122"/>
        <v>0</v>
      </c>
      <c r="AW192" s="529">
        <f t="shared" si="123"/>
        <v>0</v>
      </c>
      <c r="AX192" s="529">
        <f t="shared" si="124"/>
        <v>0</v>
      </c>
      <c r="AY192" s="38" t="e">
        <f t="shared" si="99"/>
        <v>#REF!</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39">
        <f t="shared" si="120"/>
        <v>0</v>
      </c>
    </row>
    <row r="193" spans="1:72">
      <c r="A193" s="6"/>
      <c r="B193" s="31"/>
      <c r="C193" s="31"/>
      <c r="D193" s="1509" t="s">
        <v>3569</v>
      </c>
      <c r="E193" s="32" t="e">
        <f t="shared" si="121"/>
        <v>#REF!</v>
      </c>
      <c r="F193" s="33"/>
      <c r="G193" s="34">
        <f t="shared" si="96"/>
        <v>0</v>
      </c>
      <c r="H193" s="35">
        <f t="shared" si="97"/>
        <v>0</v>
      </c>
      <c r="I193" s="1510">
        <f>铂郡面积表!E141</f>
        <v>0</v>
      </c>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3"/>
      <c r="AU193" s="1512"/>
      <c r="AV193" s="529">
        <f t="shared" si="122"/>
        <v>0</v>
      </c>
      <c r="AW193" s="529">
        <f t="shared" si="123"/>
        <v>0</v>
      </c>
      <c r="AX193" s="529">
        <f t="shared" si="124"/>
        <v>0</v>
      </c>
      <c r="AY193" s="38" t="e">
        <f t="shared" si="99"/>
        <v>#REF!</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39">
        <f t="shared" si="120"/>
        <v>0</v>
      </c>
    </row>
    <row r="194" spans="1:72">
      <c r="A194" s="6"/>
      <c r="B194" s="31"/>
      <c r="C194" s="31"/>
      <c r="D194" s="1509" t="s">
        <v>3569</v>
      </c>
      <c r="E194" s="32" t="e">
        <f t="shared" si="121"/>
        <v>#REF!</v>
      </c>
      <c r="F194" s="33"/>
      <c r="G194" s="34">
        <f t="shared" si="96"/>
        <v>0</v>
      </c>
      <c r="H194" s="35">
        <f t="shared" si="97"/>
        <v>0</v>
      </c>
      <c r="I194" s="1510">
        <f>铂郡面积表!E142</f>
        <v>0</v>
      </c>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3"/>
      <c r="AU194" s="1512"/>
      <c r="AV194" s="529">
        <f t="shared" si="122"/>
        <v>0</v>
      </c>
      <c r="AW194" s="529">
        <f t="shared" si="123"/>
        <v>0</v>
      </c>
      <c r="AX194" s="529">
        <f t="shared" si="124"/>
        <v>0</v>
      </c>
      <c r="AY194" s="38" t="e">
        <f t="shared" si="99"/>
        <v>#REF!</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39">
        <f t="shared" si="120"/>
        <v>0</v>
      </c>
    </row>
    <row r="195" spans="1:72">
      <c r="A195" s="6"/>
      <c r="B195" s="31"/>
      <c r="C195" s="31"/>
      <c r="D195" s="1509" t="s">
        <v>3569</v>
      </c>
      <c r="E195" s="32" t="e">
        <f t="shared" si="121"/>
        <v>#REF!</v>
      </c>
      <c r="F195" s="33"/>
      <c r="G195" s="34">
        <f t="shared" si="96"/>
        <v>0</v>
      </c>
      <c r="H195" s="35">
        <f t="shared" si="97"/>
        <v>0</v>
      </c>
      <c r="I195" s="1510">
        <f>铂郡面积表!E143</f>
        <v>0</v>
      </c>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3"/>
      <c r="AU195" s="1512"/>
      <c r="AV195" s="529">
        <f t="shared" si="122"/>
        <v>0</v>
      </c>
      <c r="AW195" s="529">
        <f t="shared" si="123"/>
        <v>0</v>
      </c>
      <c r="AX195" s="529">
        <f t="shared" si="124"/>
        <v>0</v>
      </c>
      <c r="AY195" s="38" t="e">
        <f t="shared" si="99"/>
        <v>#REF!</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39">
        <f t="shared" si="120"/>
        <v>0</v>
      </c>
    </row>
    <row r="196" spans="1:72">
      <c r="A196" s="6"/>
      <c r="B196" s="31"/>
      <c r="C196" s="31"/>
      <c r="D196" s="1509" t="s">
        <v>3569</v>
      </c>
      <c r="E196" s="32" t="e">
        <f t="shared" si="121"/>
        <v>#REF!</v>
      </c>
      <c r="F196" s="33"/>
      <c r="G196" s="34">
        <f t="shared" si="96"/>
        <v>0</v>
      </c>
      <c r="H196" s="35">
        <f t="shared" si="97"/>
        <v>0</v>
      </c>
      <c r="I196" s="1510">
        <f>铂郡面积表!E144</f>
        <v>0</v>
      </c>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3"/>
      <c r="AU196" s="1512"/>
      <c r="AV196" s="529">
        <f t="shared" si="122"/>
        <v>0</v>
      </c>
      <c r="AW196" s="529">
        <f t="shared" si="123"/>
        <v>0</v>
      </c>
      <c r="AX196" s="529">
        <f t="shared" si="124"/>
        <v>0</v>
      </c>
      <c r="AY196" s="38" t="e">
        <f t="shared" si="99"/>
        <v>#REF!</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39">
        <f t="shared" si="120"/>
        <v>0</v>
      </c>
    </row>
    <row r="197" spans="1:72">
      <c r="A197" s="6"/>
      <c r="B197" s="31"/>
      <c r="C197" s="31"/>
      <c r="D197" s="1509" t="s">
        <v>3569</v>
      </c>
      <c r="E197" s="32" t="e">
        <f t="shared" si="121"/>
        <v>#REF!</v>
      </c>
      <c r="F197" s="33"/>
      <c r="G197" s="34">
        <f t="shared" si="96"/>
        <v>0</v>
      </c>
      <c r="H197" s="35">
        <f t="shared" si="97"/>
        <v>0</v>
      </c>
      <c r="I197" s="1510">
        <f>铂郡面积表!E145</f>
        <v>0</v>
      </c>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3"/>
      <c r="AU197" s="1512"/>
      <c r="AV197" s="529">
        <f t="shared" si="122"/>
        <v>0</v>
      </c>
      <c r="AW197" s="529">
        <f t="shared" si="123"/>
        <v>0</v>
      </c>
      <c r="AX197" s="529">
        <f t="shared" si="124"/>
        <v>0</v>
      </c>
      <c r="AY197" s="38" t="e">
        <f t="shared" si="99"/>
        <v>#REF!</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39">
        <f t="shared" si="120"/>
        <v>0</v>
      </c>
    </row>
    <row r="198" spans="1:72">
      <c r="A198" s="6"/>
      <c r="B198" s="31"/>
      <c r="C198" s="31"/>
      <c r="D198" s="1509" t="s">
        <v>3569</v>
      </c>
      <c r="E198" s="32" t="e">
        <f t="shared" si="121"/>
        <v>#REF!</v>
      </c>
      <c r="F198" s="33"/>
      <c r="G198" s="34">
        <f t="shared" si="96"/>
        <v>0</v>
      </c>
      <c r="H198" s="35">
        <f t="shared" si="97"/>
        <v>0</v>
      </c>
      <c r="I198" s="1510">
        <f>铂郡面积表!E146</f>
        <v>0</v>
      </c>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3"/>
      <c r="AU198" s="1512"/>
      <c r="AV198" s="529">
        <f t="shared" si="122"/>
        <v>0</v>
      </c>
      <c r="AW198" s="529">
        <f t="shared" si="123"/>
        <v>0</v>
      </c>
      <c r="AX198" s="529">
        <f t="shared" si="124"/>
        <v>0</v>
      </c>
      <c r="AY198" s="38" t="e">
        <f t="shared" si="99"/>
        <v>#REF!</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39">
        <f t="shared" si="120"/>
        <v>0</v>
      </c>
    </row>
    <row r="199" spans="1:72">
      <c r="A199" s="6"/>
      <c r="B199" s="31"/>
      <c r="C199" s="31"/>
      <c r="D199" s="1509" t="s">
        <v>3569</v>
      </c>
      <c r="E199" s="32" t="e">
        <f t="shared" si="121"/>
        <v>#REF!</v>
      </c>
      <c r="F199" s="33"/>
      <c r="G199" s="34">
        <f t="shared" si="96"/>
        <v>0</v>
      </c>
      <c r="H199" s="35">
        <f t="shared" si="97"/>
        <v>0</v>
      </c>
      <c r="I199" s="1510">
        <f>铂郡面积表!E147</f>
        <v>0</v>
      </c>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3"/>
      <c r="AU199" s="1512"/>
      <c r="AV199" s="529">
        <f t="shared" si="122"/>
        <v>0</v>
      </c>
      <c r="AW199" s="529">
        <f t="shared" si="123"/>
        <v>0</v>
      </c>
      <c r="AX199" s="529">
        <f t="shared" si="124"/>
        <v>0</v>
      </c>
      <c r="AY199" s="38" t="e">
        <f t="shared" si="99"/>
        <v>#REF!</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39">
        <f t="shared" si="120"/>
        <v>0</v>
      </c>
    </row>
    <row r="200" spans="1:72">
      <c r="A200" s="6"/>
      <c r="B200" s="31"/>
      <c r="C200" s="31"/>
      <c r="D200" s="1509" t="s">
        <v>3569</v>
      </c>
      <c r="E200" s="32" t="e">
        <f t="shared" si="121"/>
        <v>#REF!</v>
      </c>
      <c r="F200" s="33"/>
      <c r="G200" s="34">
        <f t="shared" si="96"/>
        <v>0</v>
      </c>
      <c r="H200" s="35">
        <f t="shared" si="97"/>
        <v>0</v>
      </c>
      <c r="I200" s="1510">
        <f>铂郡面积表!E148</f>
        <v>0</v>
      </c>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3"/>
      <c r="AU200" s="1512"/>
      <c r="AV200" s="529">
        <f t="shared" si="122"/>
        <v>0</v>
      </c>
      <c r="AW200" s="529">
        <f t="shared" si="123"/>
        <v>0</v>
      </c>
      <c r="AX200" s="529">
        <f t="shared" si="124"/>
        <v>0</v>
      </c>
      <c r="AY200" s="38" t="e">
        <f t="shared" si="99"/>
        <v>#REF!</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39">
        <f t="shared" si="120"/>
        <v>0</v>
      </c>
    </row>
    <row r="201" spans="1:72">
      <c r="A201" s="6"/>
      <c r="B201" s="31"/>
      <c r="C201" s="31"/>
      <c r="D201" s="1509" t="s">
        <v>3569</v>
      </c>
      <c r="E201" s="32" t="e">
        <f t="shared" si="121"/>
        <v>#REF!</v>
      </c>
      <c r="F201" s="33"/>
      <c r="G201" s="34">
        <f t="shared" si="96"/>
        <v>0</v>
      </c>
      <c r="H201" s="35">
        <f t="shared" si="97"/>
        <v>0</v>
      </c>
      <c r="I201" s="1510">
        <f>铂郡面积表!E149</f>
        <v>0</v>
      </c>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3"/>
      <c r="AU201" s="1512"/>
      <c r="AV201" s="529">
        <f t="shared" si="122"/>
        <v>0</v>
      </c>
      <c r="AW201" s="529">
        <f t="shared" si="123"/>
        <v>0</v>
      </c>
      <c r="AX201" s="529">
        <f t="shared" si="124"/>
        <v>0</v>
      </c>
      <c r="AY201" s="38" t="e">
        <f t="shared" si="99"/>
        <v>#REF!</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39">
        <f t="shared" si="120"/>
        <v>0</v>
      </c>
    </row>
    <row r="202" spans="1:72">
      <c r="A202" s="6"/>
      <c r="B202" s="31"/>
      <c r="C202" s="31"/>
      <c r="D202" s="1509" t="s">
        <v>3569</v>
      </c>
      <c r="E202" s="32" t="e">
        <f t="shared" si="121"/>
        <v>#REF!</v>
      </c>
      <c r="F202" s="33"/>
      <c r="G202" s="34">
        <f t="shared" si="96"/>
        <v>0</v>
      </c>
      <c r="H202" s="35">
        <f t="shared" si="97"/>
        <v>0</v>
      </c>
      <c r="I202" s="1510">
        <f>铂郡面积表!E150</f>
        <v>0</v>
      </c>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3"/>
      <c r="AU202" s="1512"/>
      <c r="AV202" s="529">
        <f t="shared" si="122"/>
        <v>0</v>
      </c>
      <c r="AW202" s="529">
        <f t="shared" si="123"/>
        <v>0</v>
      </c>
      <c r="AX202" s="529">
        <f t="shared" si="124"/>
        <v>0</v>
      </c>
      <c r="AY202" s="38" t="e">
        <f t="shared" si="99"/>
        <v>#REF!</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39">
        <f t="shared" si="120"/>
        <v>0</v>
      </c>
    </row>
    <row r="203" spans="1:72">
      <c r="A203" s="6"/>
      <c r="B203" s="31"/>
      <c r="C203" s="31"/>
      <c r="D203" s="1509" t="s">
        <v>3569</v>
      </c>
      <c r="E203" s="32" t="e">
        <f t="shared" si="121"/>
        <v>#REF!</v>
      </c>
      <c r="F203" s="33"/>
      <c r="G203" s="34">
        <f t="shared" si="96"/>
        <v>0</v>
      </c>
      <c r="H203" s="35">
        <f t="shared" si="97"/>
        <v>0</v>
      </c>
      <c r="I203" s="1510">
        <f>铂郡面积表!E151</f>
        <v>0</v>
      </c>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3"/>
      <c r="AU203" s="1512"/>
      <c r="AV203" s="529">
        <f t="shared" si="122"/>
        <v>0</v>
      </c>
      <c r="AW203" s="529">
        <f t="shared" si="123"/>
        <v>0</v>
      </c>
      <c r="AX203" s="529">
        <f t="shared" si="124"/>
        <v>0</v>
      </c>
      <c r="AY203" s="38" t="e">
        <f t="shared" si="99"/>
        <v>#REF!</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39">
        <f t="shared" si="120"/>
        <v>0</v>
      </c>
    </row>
    <row r="204" spans="1:72">
      <c r="A204" s="6"/>
      <c r="B204" s="31"/>
      <c r="C204" s="31"/>
      <c r="D204" s="1509" t="s">
        <v>3569</v>
      </c>
      <c r="E204" s="32" t="e">
        <f t="shared" si="121"/>
        <v>#REF!</v>
      </c>
      <c r="F204" s="33"/>
      <c r="G204" s="34">
        <f t="shared" si="96"/>
        <v>0</v>
      </c>
      <c r="H204" s="35">
        <f t="shared" si="97"/>
        <v>0</v>
      </c>
      <c r="I204" s="1510">
        <f>铂郡面积表!E152</f>
        <v>0</v>
      </c>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3"/>
      <c r="AU204" s="1512"/>
      <c r="AV204" s="529">
        <f t="shared" si="122"/>
        <v>0</v>
      </c>
      <c r="AW204" s="529">
        <f t="shared" si="123"/>
        <v>0</v>
      </c>
      <c r="AX204" s="529">
        <f t="shared" si="124"/>
        <v>0</v>
      </c>
      <c r="AY204" s="38" t="e">
        <f t="shared" si="99"/>
        <v>#REF!</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39">
        <f t="shared" si="120"/>
        <v>0</v>
      </c>
    </row>
    <row r="205" spans="1:72">
      <c r="A205" s="6"/>
      <c r="B205" s="6"/>
      <c r="C205" s="6"/>
      <c r="D205" s="1509" t="s">
        <v>3569</v>
      </c>
      <c r="E205" s="32" t="e">
        <f t="shared" si="121"/>
        <v>#REF!</v>
      </c>
      <c r="F205" s="37"/>
      <c r="G205" s="34">
        <f t="shared" si="96"/>
        <v>0</v>
      </c>
      <c r="H205" s="35">
        <f t="shared" si="97"/>
        <v>0</v>
      </c>
      <c r="I205" s="1510">
        <f>铂郡面积表!E153</f>
        <v>0</v>
      </c>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062"/>
      <c r="AV205" s="529">
        <f t="shared" si="122"/>
        <v>0</v>
      </c>
      <c r="AW205" s="529">
        <f t="shared" si="123"/>
        <v>0</v>
      </c>
      <c r="AX205" s="529">
        <f t="shared" si="124"/>
        <v>0</v>
      </c>
      <c r="AY205" s="38" t="e">
        <f t="shared" si="99"/>
        <v>#REF!</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39">
        <f t="shared" si="120"/>
        <v>0</v>
      </c>
    </row>
    <row r="206" spans="1:72">
      <c r="A206" s="6"/>
      <c r="B206" s="6"/>
      <c r="C206" s="6"/>
      <c r="D206" s="1509" t="s">
        <v>3569</v>
      </c>
      <c r="E206" s="32" t="e">
        <f t="shared" si="121"/>
        <v>#REF!</v>
      </c>
      <c r="F206" s="37"/>
      <c r="G206" s="34">
        <f>H206+AC206+AT206</f>
        <v>0</v>
      </c>
      <c r="H206" s="35">
        <f>SUMIF(I$12:AB$12,"总值",I206:AB206)</f>
        <v>0</v>
      </c>
      <c r="I206" s="1510">
        <f>铂郡面积表!E154</f>
        <v>0</v>
      </c>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9">
        <f t="shared" si="122"/>
        <v>0</v>
      </c>
      <c r="AW206" s="529">
        <f t="shared" si="123"/>
        <v>0</v>
      </c>
      <c r="AX206" s="529">
        <f t="shared" si="124"/>
        <v>0</v>
      </c>
      <c r="AY206" s="38" t="e">
        <f>ROUND($AY$6*AZ206/$AZ$5,2)</f>
        <v>#REF!</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39">
        <f t="shared" si="120"/>
        <v>0</v>
      </c>
    </row>
    <row r="207" spans="1:72">
      <c r="A207" s="6"/>
      <c r="B207" s="6"/>
      <c r="C207" s="6"/>
      <c r="D207" s="1509" t="s">
        <v>3569</v>
      </c>
      <c r="E207" s="32" t="e">
        <f t="shared" si="121"/>
        <v>#REF!</v>
      </c>
      <c r="F207" s="37"/>
      <c r="G207" s="34">
        <f>H207+AC207+AT207</f>
        <v>0</v>
      </c>
      <c r="H207" s="35">
        <f>SUMIF(I$12:AB$12,"总值",I207:AB207)</f>
        <v>0</v>
      </c>
      <c r="I207" s="1510">
        <f>铂郡面积表!E155</f>
        <v>0</v>
      </c>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9">
        <f t="shared" si="122"/>
        <v>0</v>
      </c>
      <c r="AW207" s="529">
        <f t="shared" si="123"/>
        <v>0</v>
      </c>
      <c r="AX207" s="529">
        <f t="shared" si="124"/>
        <v>0</v>
      </c>
      <c r="AY207" s="38" t="e">
        <f>ROUND($AY$6*AZ207/$AZ$5,2)</f>
        <v>#REF!</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39">
        <f t="shared" si="120"/>
        <v>0</v>
      </c>
    </row>
    <row r="208" spans="1:72">
      <c r="A208" s="6"/>
      <c r="B208" s="31"/>
      <c r="C208" s="31"/>
      <c r="D208" s="1509" t="s">
        <v>3569</v>
      </c>
      <c r="E208" s="32" t="e">
        <f t="shared" ref="E208:E302" si="125">IF($C$3="是",ROUND($A$3*G208/$B$3,2),ROUND($A$3*(G208-AT208)/$B$3,2))</f>
        <v>#REF!</v>
      </c>
      <c r="F208" s="33"/>
      <c r="G208" s="34">
        <f t="shared" ref="G208:G299" si="126">H208+AC208+AT208</f>
        <v>0</v>
      </c>
      <c r="H208" s="35">
        <f t="shared" ref="H208:H299" si="127">SUMIF(I$12:AB$12,"总值",I208:AB208)</f>
        <v>0</v>
      </c>
      <c r="I208" s="1510">
        <f>铂郡面积表!E156</f>
        <v>0</v>
      </c>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9">
        <f t="shared" ref="AV208:AV302" si="129">A208</f>
        <v>0</v>
      </c>
      <c r="AW208" s="529">
        <f t="shared" ref="AW208:AW302" si="130">B208</f>
        <v>0</v>
      </c>
      <c r="AX208" s="529">
        <f t="shared" ref="AX208:AX302" si="131">C208</f>
        <v>0</v>
      </c>
      <c r="AY208" s="38" t="e">
        <f t="shared" ref="AY208:AY299" si="132">ROUND($AY$6*AZ208/$AZ$5,2)</f>
        <v>#REF!</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39">
        <f t="shared" ref="BT208:BT299" si="153">IF($D208="是",AR208-AS208,0)</f>
        <v>0</v>
      </c>
    </row>
    <row r="209" spans="1:72">
      <c r="A209" s="6"/>
      <c r="B209" s="31"/>
      <c r="C209" s="31"/>
      <c r="D209" s="1509" t="s">
        <v>3569</v>
      </c>
      <c r="E209" s="32" t="e">
        <f t="shared" si="125"/>
        <v>#REF!</v>
      </c>
      <c r="F209" s="33"/>
      <c r="G209" s="34">
        <f t="shared" si="126"/>
        <v>0</v>
      </c>
      <c r="H209" s="35">
        <f t="shared" si="127"/>
        <v>0</v>
      </c>
      <c r="I209" s="1510">
        <f>铂郡面积表!E157</f>
        <v>0</v>
      </c>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3"/>
      <c r="AU209" s="1512"/>
      <c r="AV209" s="529">
        <f t="shared" si="129"/>
        <v>0</v>
      </c>
      <c r="AW209" s="529">
        <f t="shared" si="130"/>
        <v>0</v>
      </c>
      <c r="AX209" s="529">
        <f t="shared" si="131"/>
        <v>0</v>
      </c>
      <c r="AY209" s="38" t="e">
        <f t="shared" si="132"/>
        <v>#REF!</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39">
        <f t="shared" si="153"/>
        <v>0</v>
      </c>
    </row>
    <row r="210" spans="1:72">
      <c r="A210" s="6"/>
      <c r="B210" s="31"/>
      <c r="C210" s="31"/>
      <c r="D210" s="1509" t="s">
        <v>3569</v>
      </c>
      <c r="E210" s="32" t="e">
        <f t="shared" si="125"/>
        <v>#REF!</v>
      </c>
      <c r="F210" s="33"/>
      <c r="G210" s="34">
        <f t="shared" si="126"/>
        <v>0</v>
      </c>
      <c r="H210" s="35">
        <f t="shared" si="127"/>
        <v>0</v>
      </c>
      <c r="I210" s="1510">
        <f>铂郡面积表!E158</f>
        <v>0</v>
      </c>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3"/>
      <c r="AU210" s="1512"/>
      <c r="AV210" s="529">
        <f t="shared" si="129"/>
        <v>0</v>
      </c>
      <c r="AW210" s="529">
        <f t="shared" si="130"/>
        <v>0</v>
      </c>
      <c r="AX210" s="529">
        <f t="shared" si="131"/>
        <v>0</v>
      </c>
      <c r="AY210" s="38" t="e">
        <f t="shared" si="132"/>
        <v>#REF!</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39">
        <f t="shared" si="153"/>
        <v>0</v>
      </c>
    </row>
    <row r="211" spans="1:72">
      <c r="A211" s="6"/>
      <c r="B211" s="31"/>
      <c r="C211" s="31"/>
      <c r="D211" s="1509" t="s">
        <v>3569</v>
      </c>
      <c r="E211" s="32" t="e">
        <f t="shared" si="125"/>
        <v>#REF!</v>
      </c>
      <c r="F211" s="33"/>
      <c r="G211" s="34">
        <f t="shared" si="126"/>
        <v>0</v>
      </c>
      <c r="H211" s="35">
        <f t="shared" si="127"/>
        <v>0</v>
      </c>
      <c r="I211" s="1510">
        <f>铂郡面积表!E159</f>
        <v>0</v>
      </c>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3"/>
      <c r="AU211" s="1512"/>
      <c r="AV211" s="529">
        <f t="shared" si="129"/>
        <v>0</v>
      </c>
      <c r="AW211" s="529">
        <f t="shared" si="130"/>
        <v>0</v>
      </c>
      <c r="AX211" s="529">
        <f t="shared" si="131"/>
        <v>0</v>
      </c>
      <c r="AY211" s="38" t="e">
        <f t="shared" si="132"/>
        <v>#REF!</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39">
        <f t="shared" si="153"/>
        <v>0</v>
      </c>
    </row>
    <row r="212" spans="1:72">
      <c r="A212" s="6"/>
      <c r="B212" s="31"/>
      <c r="C212" s="31"/>
      <c r="D212" s="1509" t="s">
        <v>3569</v>
      </c>
      <c r="E212" s="32" t="e">
        <f t="shared" si="125"/>
        <v>#REF!</v>
      </c>
      <c r="F212" s="33"/>
      <c r="G212" s="34">
        <f t="shared" si="126"/>
        <v>0</v>
      </c>
      <c r="H212" s="35">
        <f t="shared" si="127"/>
        <v>0</v>
      </c>
      <c r="I212" s="1510">
        <f>铂郡面积表!E160</f>
        <v>0</v>
      </c>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3"/>
      <c r="AU212" s="1512"/>
      <c r="AV212" s="529">
        <f t="shared" si="129"/>
        <v>0</v>
      </c>
      <c r="AW212" s="529">
        <f t="shared" si="130"/>
        <v>0</v>
      </c>
      <c r="AX212" s="529">
        <f t="shared" si="131"/>
        <v>0</v>
      </c>
      <c r="AY212" s="38" t="e">
        <f t="shared" si="132"/>
        <v>#REF!</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39">
        <f t="shared" si="153"/>
        <v>0</v>
      </c>
    </row>
    <row r="213" spans="1:72">
      <c r="A213" s="6"/>
      <c r="B213" s="31"/>
      <c r="C213" s="31"/>
      <c r="D213" s="1509" t="s">
        <v>3569</v>
      </c>
      <c r="E213" s="32" t="e">
        <f t="shared" si="125"/>
        <v>#REF!</v>
      </c>
      <c r="F213" s="33"/>
      <c r="G213" s="34">
        <f t="shared" si="126"/>
        <v>0</v>
      </c>
      <c r="H213" s="35">
        <f t="shared" si="127"/>
        <v>0</v>
      </c>
      <c r="I213" s="1510">
        <f>铂郡面积表!E161</f>
        <v>0</v>
      </c>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3"/>
      <c r="AU213" s="1512"/>
      <c r="AV213" s="529">
        <f t="shared" si="129"/>
        <v>0</v>
      </c>
      <c r="AW213" s="529">
        <f t="shared" si="130"/>
        <v>0</v>
      </c>
      <c r="AX213" s="529">
        <f t="shared" si="131"/>
        <v>0</v>
      </c>
      <c r="AY213" s="38" t="e">
        <f t="shared" si="132"/>
        <v>#REF!</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39">
        <f t="shared" si="153"/>
        <v>0</v>
      </c>
    </row>
    <row r="214" spans="1:72">
      <c r="A214" s="6"/>
      <c r="B214" s="31"/>
      <c r="C214" s="31"/>
      <c r="D214" s="1509" t="s">
        <v>3569</v>
      </c>
      <c r="E214" s="32" t="e">
        <f t="shared" si="125"/>
        <v>#REF!</v>
      </c>
      <c r="F214" s="33"/>
      <c r="G214" s="34">
        <f t="shared" si="126"/>
        <v>0</v>
      </c>
      <c r="H214" s="35">
        <f t="shared" si="127"/>
        <v>0</v>
      </c>
      <c r="I214" s="1510">
        <f>铂郡面积表!E162</f>
        <v>0</v>
      </c>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3"/>
      <c r="AU214" s="1512"/>
      <c r="AV214" s="529">
        <f t="shared" si="129"/>
        <v>0</v>
      </c>
      <c r="AW214" s="529">
        <f t="shared" si="130"/>
        <v>0</v>
      </c>
      <c r="AX214" s="529">
        <f t="shared" si="131"/>
        <v>0</v>
      </c>
      <c r="AY214" s="38" t="e">
        <f t="shared" si="132"/>
        <v>#REF!</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39">
        <f t="shared" si="153"/>
        <v>0</v>
      </c>
    </row>
    <row r="215" spans="1:72">
      <c r="A215" s="6"/>
      <c r="B215" s="31"/>
      <c r="C215" s="31"/>
      <c r="D215" s="1509" t="s">
        <v>3569</v>
      </c>
      <c r="E215" s="32" t="e">
        <f t="shared" si="125"/>
        <v>#REF!</v>
      </c>
      <c r="F215" s="33"/>
      <c r="G215" s="34">
        <f t="shared" si="126"/>
        <v>0</v>
      </c>
      <c r="H215" s="35">
        <f t="shared" si="127"/>
        <v>0</v>
      </c>
      <c r="I215" s="1510">
        <f>铂郡面积表!E163</f>
        <v>0</v>
      </c>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3"/>
      <c r="AU215" s="1512"/>
      <c r="AV215" s="529">
        <f t="shared" si="129"/>
        <v>0</v>
      </c>
      <c r="AW215" s="529">
        <f t="shared" si="130"/>
        <v>0</v>
      </c>
      <c r="AX215" s="529">
        <f t="shared" si="131"/>
        <v>0</v>
      </c>
      <c r="AY215" s="38" t="e">
        <f t="shared" si="132"/>
        <v>#REF!</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39">
        <f t="shared" si="153"/>
        <v>0</v>
      </c>
    </row>
    <row r="216" spans="1:72">
      <c r="A216" s="6"/>
      <c r="B216" s="31"/>
      <c r="C216" s="31"/>
      <c r="D216" s="1509" t="s">
        <v>3569</v>
      </c>
      <c r="E216" s="32" t="e">
        <f t="shared" si="125"/>
        <v>#REF!</v>
      </c>
      <c r="F216" s="33"/>
      <c r="G216" s="34">
        <f t="shared" si="126"/>
        <v>0</v>
      </c>
      <c r="H216" s="35">
        <f t="shared" si="127"/>
        <v>0</v>
      </c>
      <c r="I216" s="1510">
        <f>铂郡面积表!E164</f>
        <v>0</v>
      </c>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3"/>
      <c r="AU216" s="1512"/>
      <c r="AV216" s="529">
        <f t="shared" si="129"/>
        <v>0</v>
      </c>
      <c r="AW216" s="529">
        <f t="shared" si="130"/>
        <v>0</v>
      </c>
      <c r="AX216" s="529">
        <f t="shared" si="131"/>
        <v>0</v>
      </c>
      <c r="AY216" s="38" t="e">
        <f t="shared" si="132"/>
        <v>#REF!</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39">
        <f t="shared" si="153"/>
        <v>0</v>
      </c>
    </row>
    <row r="217" spans="1:72">
      <c r="A217" s="6"/>
      <c r="B217" s="31"/>
      <c r="C217" s="31"/>
      <c r="D217" s="1509" t="s">
        <v>3569</v>
      </c>
      <c r="E217" s="32" t="e">
        <f t="shared" si="125"/>
        <v>#REF!</v>
      </c>
      <c r="F217" s="33"/>
      <c r="G217" s="34">
        <f t="shared" si="126"/>
        <v>0</v>
      </c>
      <c r="H217" s="35">
        <f t="shared" si="127"/>
        <v>0</v>
      </c>
      <c r="I217" s="1510">
        <f>铂郡面积表!E165</f>
        <v>0</v>
      </c>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3"/>
      <c r="AU217" s="1512"/>
      <c r="AV217" s="529">
        <f t="shared" si="129"/>
        <v>0</v>
      </c>
      <c r="AW217" s="529">
        <f t="shared" si="130"/>
        <v>0</v>
      </c>
      <c r="AX217" s="529">
        <f t="shared" si="131"/>
        <v>0</v>
      </c>
      <c r="AY217" s="38" t="e">
        <f t="shared" si="132"/>
        <v>#REF!</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39">
        <f t="shared" si="153"/>
        <v>0</v>
      </c>
    </row>
    <row r="218" spans="1:72">
      <c r="A218" s="6"/>
      <c r="B218" s="31"/>
      <c r="C218" s="31"/>
      <c r="D218" s="1509" t="s">
        <v>3569</v>
      </c>
      <c r="E218" s="32" t="e">
        <f t="shared" si="125"/>
        <v>#REF!</v>
      </c>
      <c r="F218" s="33"/>
      <c r="G218" s="34">
        <f t="shared" si="126"/>
        <v>0</v>
      </c>
      <c r="H218" s="35">
        <f t="shared" si="127"/>
        <v>0</v>
      </c>
      <c r="I218" s="1510">
        <f>铂郡面积表!E166</f>
        <v>0</v>
      </c>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3"/>
      <c r="AU218" s="1512"/>
      <c r="AV218" s="529">
        <f t="shared" si="129"/>
        <v>0</v>
      </c>
      <c r="AW218" s="529">
        <f t="shared" si="130"/>
        <v>0</v>
      </c>
      <c r="AX218" s="529">
        <f t="shared" si="131"/>
        <v>0</v>
      </c>
      <c r="AY218" s="38" t="e">
        <f t="shared" si="132"/>
        <v>#REF!</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39">
        <f t="shared" si="153"/>
        <v>0</v>
      </c>
    </row>
    <row r="219" spans="1:72">
      <c r="A219" s="6"/>
      <c r="B219" s="31"/>
      <c r="C219" s="31"/>
      <c r="D219" s="1509" t="s">
        <v>3569</v>
      </c>
      <c r="E219" s="32" t="e">
        <f t="shared" si="125"/>
        <v>#REF!</v>
      </c>
      <c r="F219" s="33"/>
      <c r="G219" s="34">
        <f t="shared" si="126"/>
        <v>0</v>
      </c>
      <c r="H219" s="35">
        <f t="shared" si="127"/>
        <v>0</v>
      </c>
      <c r="I219" s="1510">
        <f>铂郡面积表!E167</f>
        <v>0</v>
      </c>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3"/>
      <c r="AU219" s="1512"/>
      <c r="AV219" s="529">
        <f t="shared" si="129"/>
        <v>0</v>
      </c>
      <c r="AW219" s="529">
        <f t="shared" si="130"/>
        <v>0</v>
      </c>
      <c r="AX219" s="529">
        <f t="shared" si="131"/>
        <v>0</v>
      </c>
      <c r="AY219" s="38" t="e">
        <f t="shared" si="132"/>
        <v>#REF!</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39">
        <f t="shared" si="153"/>
        <v>0</v>
      </c>
    </row>
    <row r="220" spans="1:72">
      <c r="A220" s="6"/>
      <c r="B220" s="31"/>
      <c r="C220" s="31"/>
      <c r="D220" s="1509" t="s">
        <v>3569</v>
      </c>
      <c r="E220" s="32" t="e">
        <f t="shared" si="125"/>
        <v>#REF!</v>
      </c>
      <c r="F220" s="33"/>
      <c r="G220" s="34">
        <f t="shared" si="126"/>
        <v>0</v>
      </c>
      <c r="H220" s="35">
        <f t="shared" si="127"/>
        <v>0</v>
      </c>
      <c r="I220" s="1510">
        <f>铂郡面积表!E168</f>
        <v>0</v>
      </c>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3"/>
      <c r="AU220" s="1512"/>
      <c r="AV220" s="529">
        <f t="shared" si="129"/>
        <v>0</v>
      </c>
      <c r="AW220" s="529">
        <f t="shared" si="130"/>
        <v>0</v>
      </c>
      <c r="AX220" s="529">
        <f t="shared" si="131"/>
        <v>0</v>
      </c>
      <c r="AY220" s="38" t="e">
        <f t="shared" si="132"/>
        <v>#REF!</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39">
        <f t="shared" si="153"/>
        <v>0</v>
      </c>
    </row>
    <row r="221" spans="1:72">
      <c r="A221" s="6"/>
      <c r="B221" s="31"/>
      <c r="C221" s="31"/>
      <c r="D221" s="1509" t="s">
        <v>3569</v>
      </c>
      <c r="E221" s="32" t="e">
        <f t="shared" si="125"/>
        <v>#REF!</v>
      </c>
      <c r="F221" s="33"/>
      <c r="G221" s="34">
        <f t="shared" si="126"/>
        <v>0</v>
      </c>
      <c r="H221" s="35">
        <f t="shared" si="127"/>
        <v>0</v>
      </c>
      <c r="I221" s="1510">
        <f>铂郡面积表!E169</f>
        <v>0</v>
      </c>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3"/>
      <c r="AU221" s="1512"/>
      <c r="AV221" s="529">
        <f t="shared" si="129"/>
        <v>0</v>
      </c>
      <c r="AW221" s="529">
        <f t="shared" si="130"/>
        <v>0</v>
      </c>
      <c r="AX221" s="529">
        <f t="shared" si="131"/>
        <v>0</v>
      </c>
      <c r="AY221" s="38" t="e">
        <f t="shared" si="132"/>
        <v>#REF!</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39">
        <f t="shared" si="153"/>
        <v>0</v>
      </c>
    </row>
    <row r="222" spans="1:72">
      <c r="A222" s="6"/>
      <c r="B222" s="31"/>
      <c r="C222" s="31"/>
      <c r="D222" s="1509" t="s">
        <v>3569</v>
      </c>
      <c r="E222" s="32" t="e">
        <f t="shared" si="125"/>
        <v>#REF!</v>
      </c>
      <c r="F222" s="33"/>
      <c r="G222" s="34">
        <f t="shared" si="126"/>
        <v>0</v>
      </c>
      <c r="H222" s="35">
        <f t="shared" si="127"/>
        <v>0</v>
      </c>
      <c r="I222" s="1510">
        <f>铂郡面积表!E170</f>
        <v>0</v>
      </c>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3"/>
      <c r="AU222" s="1512"/>
      <c r="AV222" s="529">
        <f t="shared" si="129"/>
        <v>0</v>
      </c>
      <c r="AW222" s="529">
        <f t="shared" si="130"/>
        <v>0</v>
      </c>
      <c r="AX222" s="529">
        <f t="shared" si="131"/>
        <v>0</v>
      </c>
      <c r="AY222" s="38" t="e">
        <f t="shared" si="132"/>
        <v>#REF!</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39">
        <f t="shared" si="153"/>
        <v>0</v>
      </c>
    </row>
    <row r="223" spans="1:72">
      <c r="A223" s="6"/>
      <c r="B223" s="31"/>
      <c r="C223" s="31"/>
      <c r="D223" s="1509" t="s">
        <v>3569</v>
      </c>
      <c r="E223" s="32" t="e">
        <f t="shared" si="125"/>
        <v>#REF!</v>
      </c>
      <c r="F223" s="33"/>
      <c r="G223" s="34">
        <f t="shared" si="126"/>
        <v>0</v>
      </c>
      <c r="H223" s="35">
        <f t="shared" si="127"/>
        <v>0</v>
      </c>
      <c r="I223" s="1510">
        <f>铂郡面积表!E171</f>
        <v>0</v>
      </c>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3"/>
      <c r="AU223" s="1512"/>
      <c r="AV223" s="529">
        <f t="shared" si="129"/>
        <v>0</v>
      </c>
      <c r="AW223" s="529">
        <f t="shared" si="130"/>
        <v>0</v>
      </c>
      <c r="AX223" s="529">
        <f t="shared" si="131"/>
        <v>0</v>
      </c>
      <c r="AY223" s="38" t="e">
        <f t="shared" si="132"/>
        <v>#REF!</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39">
        <f t="shared" si="153"/>
        <v>0</v>
      </c>
    </row>
    <row r="224" spans="1:72">
      <c r="A224" s="6"/>
      <c r="B224" s="31"/>
      <c r="C224" s="31"/>
      <c r="D224" s="1509" t="s">
        <v>3569</v>
      </c>
      <c r="E224" s="32" t="e">
        <f t="shared" si="125"/>
        <v>#REF!</v>
      </c>
      <c r="F224" s="33"/>
      <c r="G224" s="34">
        <f t="shared" si="126"/>
        <v>0</v>
      </c>
      <c r="H224" s="35">
        <f t="shared" si="127"/>
        <v>0</v>
      </c>
      <c r="I224" s="1510">
        <f>铂郡面积表!E172</f>
        <v>0</v>
      </c>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3"/>
      <c r="AU224" s="1512"/>
      <c r="AV224" s="529">
        <f t="shared" si="129"/>
        <v>0</v>
      </c>
      <c r="AW224" s="529">
        <f t="shared" si="130"/>
        <v>0</v>
      </c>
      <c r="AX224" s="529">
        <f t="shared" si="131"/>
        <v>0</v>
      </c>
      <c r="AY224" s="38" t="e">
        <f t="shared" si="132"/>
        <v>#REF!</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39">
        <f t="shared" si="153"/>
        <v>0</v>
      </c>
    </row>
    <row r="225" spans="1:72">
      <c r="A225" s="6"/>
      <c r="B225" s="31"/>
      <c r="C225" s="31"/>
      <c r="D225" s="1509" t="s">
        <v>3569</v>
      </c>
      <c r="E225" s="32" t="e">
        <f t="shared" si="125"/>
        <v>#REF!</v>
      </c>
      <c r="F225" s="33"/>
      <c r="G225" s="34">
        <f t="shared" si="126"/>
        <v>0</v>
      </c>
      <c r="H225" s="35">
        <f t="shared" si="127"/>
        <v>0</v>
      </c>
      <c r="I225" s="1510">
        <f>铂郡面积表!E173</f>
        <v>0</v>
      </c>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3"/>
      <c r="AU225" s="1512"/>
      <c r="AV225" s="529">
        <f t="shared" si="129"/>
        <v>0</v>
      </c>
      <c r="AW225" s="529">
        <f t="shared" si="130"/>
        <v>0</v>
      </c>
      <c r="AX225" s="529">
        <f t="shared" si="131"/>
        <v>0</v>
      </c>
      <c r="AY225" s="38" t="e">
        <f t="shared" si="132"/>
        <v>#REF!</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39">
        <f t="shared" si="153"/>
        <v>0</v>
      </c>
    </row>
    <row r="226" spans="1:72">
      <c r="A226" s="6"/>
      <c r="B226" s="31"/>
      <c r="C226" s="31"/>
      <c r="D226" s="1509" t="s">
        <v>3569</v>
      </c>
      <c r="E226" s="32" t="e">
        <f t="shared" si="125"/>
        <v>#REF!</v>
      </c>
      <c r="F226" s="33"/>
      <c r="G226" s="34">
        <f t="shared" si="126"/>
        <v>0</v>
      </c>
      <c r="H226" s="35">
        <f t="shared" si="127"/>
        <v>0</v>
      </c>
      <c r="I226" s="1510">
        <f>铂郡面积表!E174</f>
        <v>0</v>
      </c>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3"/>
      <c r="AU226" s="1512"/>
      <c r="AV226" s="529">
        <f t="shared" si="129"/>
        <v>0</v>
      </c>
      <c r="AW226" s="529">
        <f t="shared" si="130"/>
        <v>0</v>
      </c>
      <c r="AX226" s="529">
        <f t="shared" si="131"/>
        <v>0</v>
      </c>
      <c r="AY226" s="38" t="e">
        <f t="shared" si="132"/>
        <v>#REF!</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39">
        <f t="shared" si="153"/>
        <v>0</v>
      </c>
    </row>
    <row r="227" spans="1:72">
      <c r="A227" s="6"/>
      <c r="B227" s="31"/>
      <c r="C227" s="31"/>
      <c r="D227" s="1509" t="s">
        <v>3569</v>
      </c>
      <c r="E227" s="32" t="e">
        <f t="shared" si="125"/>
        <v>#REF!</v>
      </c>
      <c r="F227" s="33"/>
      <c r="G227" s="34">
        <f t="shared" si="126"/>
        <v>0</v>
      </c>
      <c r="H227" s="35">
        <f t="shared" si="127"/>
        <v>0</v>
      </c>
      <c r="I227" s="1510">
        <f>铂郡面积表!E175</f>
        <v>0</v>
      </c>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3"/>
      <c r="AU227" s="1512"/>
      <c r="AV227" s="529">
        <f t="shared" si="129"/>
        <v>0</v>
      </c>
      <c r="AW227" s="529">
        <f t="shared" si="130"/>
        <v>0</v>
      </c>
      <c r="AX227" s="529">
        <f t="shared" si="131"/>
        <v>0</v>
      </c>
      <c r="AY227" s="38" t="e">
        <f t="shared" si="132"/>
        <v>#REF!</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39">
        <f t="shared" si="153"/>
        <v>0</v>
      </c>
    </row>
    <row r="228" spans="1:72">
      <c r="A228" s="6"/>
      <c r="B228" s="31"/>
      <c r="C228" s="31"/>
      <c r="D228" s="1509" t="s">
        <v>3569</v>
      </c>
      <c r="E228" s="32" t="e">
        <f t="shared" si="125"/>
        <v>#REF!</v>
      </c>
      <c r="F228" s="33"/>
      <c r="G228" s="34">
        <f t="shared" si="126"/>
        <v>0</v>
      </c>
      <c r="H228" s="35">
        <f t="shared" si="127"/>
        <v>0</v>
      </c>
      <c r="I228" s="1510">
        <f>铂郡面积表!E176</f>
        <v>0</v>
      </c>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3"/>
      <c r="AU228" s="1512"/>
      <c r="AV228" s="529">
        <f t="shared" si="129"/>
        <v>0</v>
      </c>
      <c r="AW228" s="529">
        <f t="shared" si="130"/>
        <v>0</v>
      </c>
      <c r="AX228" s="529">
        <f t="shared" si="131"/>
        <v>0</v>
      </c>
      <c r="AY228" s="38" t="e">
        <f t="shared" si="132"/>
        <v>#REF!</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39">
        <f t="shared" si="153"/>
        <v>0</v>
      </c>
    </row>
    <row r="229" spans="1:72">
      <c r="A229" s="6"/>
      <c r="B229" s="31"/>
      <c r="C229" s="31"/>
      <c r="D229" s="1509" t="s">
        <v>3569</v>
      </c>
      <c r="E229" s="32" t="e">
        <f t="shared" si="125"/>
        <v>#REF!</v>
      </c>
      <c r="F229" s="33"/>
      <c r="G229" s="34">
        <f t="shared" si="126"/>
        <v>0</v>
      </c>
      <c r="H229" s="35">
        <f t="shared" si="127"/>
        <v>0</v>
      </c>
      <c r="I229" s="1510">
        <f>铂郡面积表!E177</f>
        <v>0</v>
      </c>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3"/>
      <c r="AU229" s="1512"/>
      <c r="AV229" s="529">
        <f t="shared" si="129"/>
        <v>0</v>
      </c>
      <c r="AW229" s="529">
        <f t="shared" si="130"/>
        <v>0</v>
      </c>
      <c r="AX229" s="529">
        <f t="shared" si="131"/>
        <v>0</v>
      </c>
      <c r="AY229" s="38" t="e">
        <f t="shared" si="132"/>
        <v>#REF!</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39">
        <f t="shared" si="153"/>
        <v>0</v>
      </c>
    </row>
    <row r="230" spans="1:72">
      <c r="A230" s="6"/>
      <c r="B230" s="31"/>
      <c r="C230" s="31"/>
      <c r="D230" s="1509" t="s">
        <v>3569</v>
      </c>
      <c r="E230" s="32" t="e">
        <f t="shared" si="125"/>
        <v>#REF!</v>
      </c>
      <c r="F230" s="33"/>
      <c r="G230" s="34">
        <f t="shared" si="126"/>
        <v>0</v>
      </c>
      <c r="H230" s="35">
        <f t="shared" si="127"/>
        <v>0</v>
      </c>
      <c r="I230" s="1510">
        <f>铂郡面积表!E178</f>
        <v>0</v>
      </c>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3"/>
      <c r="AU230" s="1512"/>
      <c r="AV230" s="529">
        <f t="shared" si="129"/>
        <v>0</v>
      </c>
      <c r="AW230" s="529">
        <f t="shared" si="130"/>
        <v>0</v>
      </c>
      <c r="AX230" s="529">
        <f t="shared" si="131"/>
        <v>0</v>
      </c>
      <c r="AY230" s="38" t="e">
        <f t="shared" si="132"/>
        <v>#REF!</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39">
        <f t="shared" si="153"/>
        <v>0</v>
      </c>
    </row>
    <row r="231" spans="1:72">
      <c r="A231" s="6"/>
      <c r="B231" s="31"/>
      <c r="C231" s="31"/>
      <c r="D231" s="1509" t="s">
        <v>3569</v>
      </c>
      <c r="E231" s="32" t="e">
        <f t="shared" si="125"/>
        <v>#REF!</v>
      </c>
      <c r="F231" s="33"/>
      <c r="G231" s="34">
        <f t="shared" si="126"/>
        <v>0</v>
      </c>
      <c r="H231" s="35">
        <f t="shared" si="127"/>
        <v>0</v>
      </c>
      <c r="I231" s="1510">
        <f>铂郡面积表!E179</f>
        <v>0</v>
      </c>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3"/>
      <c r="AU231" s="1512"/>
      <c r="AV231" s="529">
        <f t="shared" si="129"/>
        <v>0</v>
      </c>
      <c r="AW231" s="529">
        <f t="shared" si="130"/>
        <v>0</v>
      </c>
      <c r="AX231" s="529">
        <f t="shared" si="131"/>
        <v>0</v>
      </c>
      <c r="AY231" s="38" t="e">
        <f t="shared" si="132"/>
        <v>#REF!</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39">
        <f t="shared" si="153"/>
        <v>0</v>
      </c>
    </row>
    <row r="232" spans="1:72">
      <c r="A232" s="6"/>
      <c r="B232" s="31"/>
      <c r="C232" s="31"/>
      <c r="D232" s="1509" t="s">
        <v>3569</v>
      </c>
      <c r="E232" s="32" t="e">
        <f t="shared" si="125"/>
        <v>#REF!</v>
      </c>
      <c r="F232" s="33"/>
      <c r="G232" s="34">
        <f t="shared" si="126"/>
        <v>0</v>
      </c>
      <c r="H232" s="35">
        <f t="shared" si="127"/>
        <v>0</v>
      </c>
      <c r="I232" s="1510">
        <f>铂郡面积表!E180</f>
        <v>0</v>
      </c>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3"/>
      <c r="AU232" s="1512"/>
      <c r="AV232" s="529">
        <f t="shared" si="129"/>
        <v>0</v>
      </c>
      <c r="AW232" s="529">
        <f t="shared" si="130"/>
        <v>0</v>
      </c>
      <c r="AX232" s="529">
        <f t="shared" si="131"/>
        <v>0</v>
      </c>
      <c r="AY232" s="38" t="e">
        <f t="shared" si="132"/>
        <v>#REF!</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39">
        <f t="shared" si="153"/>
        <v>0</v>
      </c>
    </row>
    <row r="233" spans="1:72">
      <c r="A233" s="6"/>
      <c r="B233" s="31"/>
      <c r="C233" s="31"/>
      <c r="D233" s="1509" t="s">
        <v>3569</v>
      </c>
      <c r="E233" s="32" t="e">
        <f t="shared" si="125"/>
        <v>#REF!</v>
      </c>
      <c r="F233" s="33"/>
      <c r="G233" s="34">
        <f t="shared" si="126"/>
        <v>0</v>
      </c>
      <c r="H233" s="35">
        <f t="shared" si="127"/>
        <v>0</v>
      </c>
      <c r="I233" s="1510">
        <f>铂郡面积表!E181</f>
        <v>0</v>
      </c>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3"/>
      <c r="AU233" s="1512"/>
      <c r="AV233" s="529">
        <f t="shared" si="129"/>
        <v>0</v>
      </c>
      <c r="AW233" s="529">
        <f t="shared" si="130"/>
        <v>0</v>
      </c>
      <c r="AX233" s="529">
        <f t="shared" si="131"/>
        <v>0</v>
      </c>
      <c r="AY233" s="38" t="e">
        <f t="shared" si="132"/>
        <v>#REF!</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39">
        <f t="shared" si="153"/>
        <v>0</v>
      </c>
    </row>
    <row r="234" spans="1:72">
      <c r="A234" s="6"/>
      <c r="B234" s="31"/>
      <c r="C234" s="31"/>
      <c r="D234" s="1509" t="s">
        <v>3569</v>
      </c>
      <c r="E234" s="32" t="e">
        <f t="shared" si="125"/>
        <v>#REF!</v>
      </c>
      <c r="F234" s="33"/>
      <c r="G234" s="34">
        <f t="shared" si="126"/>
        <v>0</v>
      </c>
      <c r="H234" s="35">
        <f t="shared" si="127"/>
        <v>0</v>
      </c>
      <c r="I234" s="1510">
        <f>铂郡面积表!E182</f>
        <v>0</v>
      </c>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3"/>
      <c r="AU234" s="1512"/>
      <c r="AV234" s="529">
        <f t="shared" si="129"/>
        <v>0</v>
      </c>
      <c r="AW234" s="529">
        <f t="shared" si="130"/>
        <v>0</v>
      </c>
      <c r="AX234" s="529">
        <f t="shared" si="131"/>
        <v>0</v>
      </c>
      <c r="AY234" s="38" t="e">
        <f t="shared" si="132"/>
        <v>#REF!</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39">
        <f t="shared" si="153"/>
        <v>0</v>
      </c>
    </row>
    <row r="235" spans="1:72">
      <c r="A235" s="6"/>
      <c r="B235" s="31"/>
      <c r="C235" s="31"/>
      <c r="D235" s="1509" t="s">
        <v>3569</v>
      </c>
      <c r="E235" s="32" t="e">
        <f t="shared" si="125"/>
        <v>#REF!</v>
      </c>
      <c r="F235" s="33"/>
      <c r="G235" s="34">
        <f t="shared" si="126"/>
        <v>0</v>
      </c>
      <c r="H235" s="35">
        <f t="shared" si="127"/>
        <v>0</v>
      </c>
      <c r="I235" s="1510">
        <f>铂郡面积表!E183</f>
        <v>0</v>
      </c>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3"/>
      <c r="AU235" s="1512"/>
      <c r="AV235" s="529">
        <f t="shared" si="129"/>
        <v>0</v>
      </c>
      <c r="AW235" s="529">
        <f t="shared" si="130"/>
        <v>0</v>
      </c>
      <c r="AX235" s="529">
        <f t="shared" si="131"/>
        <v>0</v>
      </c>
      <c r="AY235" s="38" t="e">
        <f t="shared" si="132"/>
        <v>#REF!</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39">
        <f t="shared" si="153"/>
        <v>0</v>
      </c>
    </row>
    <row r="236" spans="1:72">
      <c r="A236" s="6"/>
      <c r="B236" s="31"/>
      <c r="C236" s="31"/>
      <c r="D236" s="1509" t="s">
        <v>3569</v>
      </c>
      <c r="E236" s="32" t="e">
        <f t="shared" si="125"/>
        <v>#REF!</v>
      </c>
      <c r="F236" s="33"/>
      <c r="G236" s="34">
        <f t="shared" si="126"/>
        <v>0</v>
      </c>
      <c r="H236" s="35">
        <f t="shared" si="127"/>
        <v>0</v>
      </c>
      <c r="I236" s="1510">
        <f>铂郡面积表!E184</f>
        <v>0</v>
      </c>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3"/>
      <c r="AU236" s="1512"/>
      <c r="AV236" s="529">
        <f t="shared" si="129"/>
        <v>0</v>
      </c>
      <c r="AW236" s="529">
        <f t="shared" si="130"/>
        <v>0</v>
      </c>
      <c r="AX236" s="529">
        <f t="shared" si="131"/>
        <v>0</v>
      </c>
      <c r="AY236" s="38" t="e">
        <f t="shared" si="132"/>
        <v>#REF!</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39">
        <f t="shared" si="153"/>
        <v>0</v>
      </c>
    </row>
    <row r="237" spans="1:72">
      <c r="A237" s="6"/>
      <c r="B237" s="31"/>
      <c r="C237" s="31"/>
      <c r="D237" s="1509" t="s">
        <v>3569</v>
      </c>
      <c r="E237" s="32" t="e">
        <f t="shared" si="125"/>
        <v>#REF!</v>
      </c>
      <c r="F237" s="33"/>
      <c r="G237" s="34">
        <f t="shared" si="126"/>
        <v>0</v>
      </c>
      <c r="H237" s="35">
        <f t="shared" si="127"/>
        <v>0</v>
      </c>
      <c r="I237" s="1510">
        <f>铂郡面积表!E185</f>
        <v>0</v>
      </c>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3"/>
      <c r="AU237" s="1512"/>
      <c r="AV237" s="529">
        <f t="shared" si="129"/>
        <v>0</v>
      </c>
      <c r="AW237" s="529">
        <f t="shared" si="130"/>
        <v>0</v>
      </c>
      <c r="AX237" s="529">
        <f t="shared" si="131"/>
        <v>0</v>
      </c>
      <c r="AY237" s="38" t="e">
        <f t="shared" si="132"/>
        <v>#REF!</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39">
        <f t="shared" si="153"/>
        <v>0</v>
      </c>
    </row>
    <row r="238" spans="1:72">
      <c r="A238" s="6"/>
      <c r="B238" s="31"/>
      <c r="C238" s="31"/>
      <c r="D238" s="1509" t="s">
        <v>3569</v>
      </c>
      <c r="E238" s="32" t="e">
        <f t="shared" si="125"/>
        <v>#REF!</v>
      </c>
      <c r="F238" s="33"/>
      <c r="G238" s="34">
        <f t="shared" si="126"/>
        <v>0</v>
      </c>
      <c r="H238" s="35">
        <f t="shared" si="127"/>
        <v>0</v>
      </c>
      <c r="I238" s="1510">
        <f>铂郡面积表!E186</f>
        <v>0</v>
      </c>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3"/>
      <c r="AU238" s="1512"/>
      <c r="AV238" s="529">
        <f t="shared" si="129"/>
        <v>0</v>
      </c>
      <c r="AW238" s="529">
        <f t="shared" si="130"/>
        <v>0</v>
      </c>
      <c r="AX238" s="529">
        <f t="shared" si="131"/>
        <v>0</v>
      </c>
      <c r="AY238" s="38" t="e">
        <f t="shared" si="132"/>
        <v>#REF!</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39">
        <f t="shared" si="153"/>
        <v>0</v>
      </c>
    </row>
    <row r="239" spans="1:72">
      <c r="A239" s="6"/>
      <c r="B239" s="31"/>
      <c r="C239" s="31"/>
      <c r="D239" s="1509" t="s">
        <v>3569</v>
      </c>
      <c r="E239" s="32" t="e">
        <f t="shared" si="125"/>
        <v>#REF!</v>
      </c>
      <c r="F239" s="33"/>
      <c r="G239" s="34">
        <f t="shared" si="126"/>
        <v>0</v>
      </c>
      <c r="H239" s="35">
        <f t="shared" si="127"/>
        <v>0</v>
      </c>
      <c r="I239" s="1510">
        <f>铂郡面积表!E187</f>
        <v>0</v>
      </c>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3"/>
      <c r="AU239" s="1512"/>
      <c r="AV239" s="529">
        <f t="shared" si="129"/>
        <v>0</v>
      </c>
      <c r="AW239" s="529">
        <f t="shared" si="130"/>
        <v>0</v>
      </c>
      <c r="AX239" s="529">
        <f t="shared" si="131"/>
        <v>0</v>
      </c>
      <c r="AY239" s="38" t="e">
        <f t="shared" si="132"/>
        <v>#REF!</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39">
        <f t="shared" si="153"/>
        <v>0</v>
      </c>
    </row>
    <row r="240" spans="1:72">
      <c r="A240" s="6"/>
      <c r="B240" s="31"/>
      <c r="C240" s="31"/>
      <c r="D240" s="1509" t="s">
        <v>3569</v>
      </c>
      <c r="E240" s="32" t="e">
        <f t="shared" si="125"/>
        <v>#REF!</v>
      </c>
      <c r="F240" s="33"/>
      <c r="G240" s="34">
        <f t="shared" si="126"/>
        <v>0</v>
      </c>
      <c r="H240" s="35">
        <f t="shared" si="127"/>
        <v>0</v>
      </c>
      <c r="I240" s="1510">
        <f>铂郡面积表!E188</f>
        <v>0</v>
      </c>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3"/>
      <c r="AU240" s="1512"/>
      <c r="AV240" s="529">
        <f t="shared" si="129"/>
        <v>0</v>
      </c>
      <c r="AW240" s="529">
        <f t="shared" si="130"/>
        <v>0</v>
      </c>
      <c r="AX240" s="529">
        <f t="shared" si="131"/>
        <v>0</v>
      </c>
      <c r="AY240" s="38" t="e">
        <f t="shared" si="132"/>
        <v>#REF!</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39">
        <f t="shared" si="153"/>
        <v>0</v>
      </c>
    </row>
    <row r="241" spans="1:72">
      <c r="A241" s="6"/>
      <c r="B241" s="31"/>
      <c r="C241" s="31"/>
      <c r="D241" s="1509" t="s">
        <v>3569</v>
      </c>
      <c r="E241" s="32" t="e">
        <f t="shared" si="125"/>
        <v>#REF!</v>
      </c>
      <c r="F241" s="33"/>
      <c r="G241" s="34">
        <f t="shared" si="126"/>
        <v>0</v>
      </c>
      <c r="H241" s="35">
        <f t="shared" si="127"/>
        <v>0</v>
      </c>
      <c r="I241" s="1510">
        <f>铂郡面积表!E189</f>
        <v>0</v>
      </c>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3"/>
      <c r="AU241" s="1512"/>
      <c r="AV241" s="529">
        <f t="shared" si="129"/>
        <v>0</v>
      </c>
      <c r="AW241" s="529">
        <f t="shared" si="130"/>
        <v>0</v>
      </c>
      <c r="AX241" s="529">
        <f t="shared" si="131"/>
        <v>0</v>
      </c>
      <c r="AY241" s="38" t="e">
        <f t="shared" si="132"/>
        <v>#REF!</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39">
        <f t="shared" si="153"/>
        <v>0</v>
      </c>
    </row>
    <row r="242" spans="1:72">
      <c r="A242" s="6"/>
      <c r="B242" s="31"/>
      <c r="C242" s="31"/>
      <c r="D242" s="1509" t="s">
        <v>3569</v>
      </c>
      <c r="E242" s="32" t="e">
        <f t="shared" si="125"/>
        <v>#REF!</v>
      </c>
      <c r="F242" s="33"/>
      <c r="G242" s="34">
        <f t="shared" si="126"/>
        <v>0</v>
      </c>
      <c r="H242" s="35">
        <f t="shared" si="127"/>
        <v>0</v>
      </c>
      <c r="I242" s="1510">
        <f>铂郡面积表!E190</f>
        <v>0</v>
      </c>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3"/>
      <c r="AU242" s="1512"/>
      <c r="AV242" s="529">
        <f t="shared" si="129"/>
        <v>0</v>
      </c>
      <c r="AW242" s="529">
        <f t="shared" si="130"/>
        <v>0</v>
      </c>
      <c r="AX242" s="529">
        <f t="shared" si="131"/>
        <v>0</v>
      </c>
      <c r="AY242" s="38" t="e">
        <f t="shared" si="132"/>
        <v>#REF!</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39">
        <f t="shared" si="153"/>
        <v>0</v>
      </c>
    </row>
    <row r="243" spans="1:72">
      <c r="A243" s="6"/>
      <c r="B243" s="31"/>
      <c r="C243" s="31"/>
      <c r="D243" s="1509" t="s">
        <v>3569</v>
      </c>
      <c r="E243" s="32" t="e">
        <f t="shared" si="125"/>
        <v>#REF!</v>
      </c>
      <c r="F243" s="33"/>
      <c r="G243" s="34">
        <f t="shared" si="126"/>
        <v>0</v>
      </c>
      <c r="H243" s="35">
        <f t="shared" si="127"/>
        <v>0</v>
      </c>
      <c r="I243" s="1510">
        <f>铂郡面积表!E191</f>
        <v>0</v>
      </c>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3"/>
      <c r="AU243" s="1512"/>
      <c r="AV243" s="529">
        <f t="shared" si="129"/>
        <v>0</v>
      </c>
      <c r="AW243" s="529">
        <f t="shared" si="130"/>
        <v>0</v>
      </c>
      <c r="AX243" s="529">
        <f t="shared" si="131"/>
        <v>0</v>
      </c>
      <c r="AY243" s="38" t="e">
        <f t="shared" si="132"/>
        <v>#REF!</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39">
        <f t="shared" si="153"/>
        <v>0</v>
      </c>
    </row>
    <row r="244" spans="1:72">
      <c r="A244" s="6"/>
      <c r="B244" s="31"/>
      <c r="C244" s="31"/>
      <c r="D244" s="1509" t="s">
        <v>3569</v>
      </c>
      <c r="E244" s="32" t="e">
        <f t="shared" si="125"/>
        <v>#REF!</v>
      </c>
      <c r="F244" s="33"/>
      <c r="G244" s="34">
        <f t="shared" si="126"/>
        <v>0</v>
      </c>
      <c r="H244" s="35">
        <f t="shared" si="127"/>
        <v>0</v>
      </c>
      <c r="I244" s="1510">
        <f>铂郡面积表!E192</f>
        <v>0</v>
      </c>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3"/>
      <c r="AU244" s="1512"/>
      <c r="AV244" s="529">
        <f t="shared" si="129"/>
        <v>0</v>
      </c>
      <c r="AW244" s="529">
        <f t="shared" si="130"/>
        <v>0</v>
      </c>
      <c r="AX244" s="529">
        <f t="shared" si="131"/>
        <v>0</v>
      </c>
      <c r="AY244" s="38" t="e">
        <f t="shared" si="132"/>
        <v>#REF!</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39">
        <f t="shared" si="153"/>
        <v>0</v>
      </c>
    </row>
    <row r="245" spans="1:72">
      <c r="A245" s="6"/>
      <c r="B245" s="31"/>
      <c r="C245" s="31"/>
      <c r="D245" s="1509" t="s">
        <v>3569</v>
      </c>
      <c r="E245" s="32" t="e">
        <f t="shared" si="125"/>
        <v>#REF!</v>
      </c>
      <c r="F245" s="33"/>
      <c r="G245" s="34">
        <f t="shared" si="126"/>
        <v>0</v>
      </c>
      <c r="H245" s="35">
        <f t="shared" si="127"/>
        <v>0</v>
      </c>
      <c r="I245" s="1510">
        <f>铂郡面积表!E193</f>
        <v>0</v>
      </c>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3"/>
      <c r="AU245" s="1512"/>
      <c r="AV245" s="529">
        <f t="shared" si="129"/>
        <v>0</v>
      </c>
      <c r="AW245" s="529">
        <f t="shared" si="130"/>
        <v>0</v>
      </c>
      <c r="AX245" s="529">
        <f t="shared" si="131"/>
        <v>0</v>
      </c>
      <c r="AY245" s="38" t="e">
        <f t="shared" si="132"/>
        <v>#REF!</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39">
        <f t="shared" si="153"/>
        <v>0</v>
      </c>
    </row>
    <row r="246" spans="1:72">
      <c r="A246" s="6"/>
      <c r="B246" s="31"/>
      <c r="C246" s="31"/>
      <c r="D246" s="1509" t="s">
        <v>3569</v>
      </c>
      <c r="E246" s="32" t="e">
        <f t="shared" si="125"/>
        <v>#REF!</v>
      </c>
      <c r="F246" s="33"/>
      <c r="G246" s="34">
        <f t="shared" si="126"/>
        <v>0</v>
      </c>
      <c r="H246" s="35">
        <f t="shared" si="127"/>
        <v>0</v>
      </c>
      <c r="I246" s="1510">
        <f>铂郡面积表!E194</f>
        <v>0</v>
      </c>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3"/>
      <c r="AU246" s="1512"/>
      <c r="AV246" s="529">
        <f t="shared" si="129"/>
        <v>0</v>
      </c>
      <c r="AW246" s="529">
        <f t="shared" si="130"/>
        <v>0</v>
      </c>
      <c r="AX246" s="529">
        <f t="shared" si="131"/>
        <v>0</v>
      </c>
      <c r="AY246" s="38" t="e">
        <f t="shared" si="132"/>
        <v>#REF!</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39">
        <f t="shared" si="153"/>
        <v>0</v>
      </c>
    </row>
    <row r="247" spans="1:72">
      <c r="A247" s="6"/>
      <c r="B247" s="31"/>
      <c r="C247" s="31"/>
      <c r="D247" s="1509" t="s">
        <v>3569</v>
      </c>
      <c r="E247" s="32" t="e">
        <f t="shared" si="125"/>
        <v>#REF!</v>
      </c>
      <c r="F247" s="33"/>
      <c r="G247" s="34">
        <f t="shared" si="126"/>
        <v>0</v>
      </c>
      <c r="H247" s="35">
        <f t="shared" si="127"/>
        <v>0</v>
      </c>
      <c r="I247" s="1510">
        <f>铂郡面积表!E195</f>
        <v>0</v>
      </c>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3"/>
      <c r="AU247" s="1512"/>
      <c r="AV247" s="529">
        <f t="shared" si="129"/>
        <v>0</v>
      </c>
      <c r="AW247" s="529">
        <f t="shared" si="130"/>
        <v>0</v>
      </c>
      <c r="AX247" s="529">
        <f t="shared" si="131"/>
        <v>0</v>
      </c>
      <c r="AY247" s="38" t="e">
        <f t="shared" si="132"/>
        <v>#REF!</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39">
        <f t="shared" si="153"/>
        <v>0</v>
      </c>
    </row>
    <row r="248" spans="1:72">
      <c r="A248" s="6"/>
      <c r="B248" s="31"/>
      <c r="C248" s="31"/>
      <c r="D248" s="1509" t="s">
        <v>3569</v>
      </c>
      <c r="E248" s="32" t="e">
        <f t="shared" si="125"/>
        <v>#REF!</v>
      </c>
      <c r="F248" s="33"/>
      <c r="G248" s="34">
        <f t="shared" si="126"/>
        <v>0</v>
      </c>
      <c r="H248" s="35">
        <f t="shared" si="127"/>
        <v>0</v>
      </c>
      <c r="I248" s="1510">
        <f>铂郡面积表!E196</f>
        <v>0</v>
      </c>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3"/>
      <c r="AU248" s="1512"/>
      <c r="AV248" s="529">
        <f t="shared" si="129"/>
        <v>0</v>
      </c>
      <c r="AW248" s="529">
        <f t="shared" si="130"/>
        <v>0</v>
      </c>
      <c r="AX248" s="529">
        <f t="shared" si="131"/>
        <v>0</v>
      </c>
      <c r="AY248" s="38" t="e">
        <f t="shared" si="132"/>
        <v>#REF!</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39">
        <f t="shared" si="153"/>
        <v>0</v>
      </c>
    </row>
    <row r="249" spans="1:72">
      <c r="A249" s="6"/>
      <c r="B249" s="31"/>
      <c r="C249" s="31"/>
      <c r="D249" s="1509" t="s">
        <v>3569</v>
      </c>
      <c r="E249" s="32" t="e">
        <f t="shared" si="125"/>
        <v>#REF!</v>
      </c>
      <c r="F249" s="33"/>
      <c r="G249" s="34">
        <f t="shared" si="126"/>
        <v>0</v>
      </c>
      <c r="H249" s="35">
        <f t="shared" si="127"/>
        <v>0</v>
      </c>
      <c r="I249" s="1510">
        <f>铂郡面积表!E197</f>
        <v>0</v>
      </c>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3"/>
      <c r="AU249" s="1512"/>
      <c r="AV249" s="529">
        <f t="shared" si="129"/>
        <v>0</v>
      </c>
      <c r="AW249" s="529">
        <f t="shared" si="130"/>
        <v>0</v>
      </c>
      <c r="AX249" s="529">
        <f t="shared" si="131"/>
        <v>0</v>
      </c>
      <c r="AY249" s="38" t="e">
        <f t="shared" si="132"/>
        <v>#REF!</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39">
        <f t="shared" si="153"/>
        <v>0</v>
      </c>
    </row>
    <row r="250" spans="1:72">
      <c r="A250" s="6"/>
      <c r="B250" s="31"/>
      <c r="C250" s="31"/>
      <c r="D250" s="1509" t="s">
        <v>3569</v>
      </c>
      <c r="E250" s="32" t="e">
        <f t="shared" si="125"/>
        <v>#REF!</v>
      </c>
      <c r="F250" s="33"/>
      <c r="G250" s="34">
        <f t="shared" si="126"/>
        <v>0</v>
      </c>
      <c r="H250" s="35">
        <f t="shared" si="127"/>
        <v>0</v>
      </c>
      <c r="I250" s="1510">
        <f>铂郡面积表!E198</f>
        <v>0</v>
      </c>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3"/>
      <c r="AU250" s="1512"/>
      <c r="AV250" s="529">
        <f t="shared" si="129"/>
        <v>0</v>
      </c>
      <c r="AW250" s="529">
        <f t="shared" si="130"/>
        <v>0</v>
      </c>
      <c r="AX250" s="529">
        <f t="shared" si="131"/>
        <v>0</v>
      </c>
      <c r="AY250" s="38" t="e">
        <f t="shared" si="132"/>
        <v>#REF!</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39">
        <f t="shared" si="153"/>
        <v>0</v>
      </c>
    </row>
    <row r="251" spans="1:72">
      <c r="A251" s="6"/>
      <c r="B251" s="31"/>
      <c r="C251" s="31"/>
      <c r="D251" s="1509" t="s">
        <v>3569</v>
      </c>
      <c r="E251" s="32" t="e">
        <f t="shared" si="125"/>
        <v>#REF!</v>
      </c>
      <c r="F251" s="33"/>
      <c r="G251" s="34">
        <f t="shared" si="126"/>
        <v>0</v>
      </c>
      <c r="H251" s="35">
        <f t="shared" si="127"/>
        <v>0</v>
      </c>
      <c r="I251" s="1510">
        <f>铂郡面积表!E199</f>
        <v>0</v>
      </c>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3"/>
      <c r="AU251" s="1512"/>
      <c r="AV251" s="529">
        <f t="shared" si="129"/>
        <v>0</v>
      </c>
      <c r="AW251" s="529">
        <f t="shared" si="130"/>
        <v>0</v>
      </c>
      <c r="AX251" s="529">
        <f t="shared" si="131"/>
        <v>0</v>
      </c>
      <c r="AY251" s="38" t="e">
        <f t="shared" si="132"/>
        <v>#REF!</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39">
        <f t="shared" si="153"/>
        <v>0</v>
      </c>
    </row>
    <row r="252" spans="1:72">
      <c r="A252" s="6"/>
      <c r="B252" s="31"/>
      <c r="C252" s="31"/>
      <c r="D252" s="1509" t="s">
        <v>3569</v>
      </c>
      <c r="E252" s="32" t="e">
        <f t="shared" si="125"/>
        <v>#REF!</v>
      </c>
      <c r="F252" s="33"/>
      <c r="G252" s="34">
        <f t="shared" si="126"/>
        <v>0</v>
      </c>
      <c r="H252" s="35">
        <f t="shared" si="127"/>
        <v>0</v>
      </c>
      <c r="I252" s="1510">
        <f>铂郡面积表!E200</f>
        <v>0</v>
      </c>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3"/>
      <c r="AU252" s="1512"/>
      <c r="AV252" s="529">
        <f t="shared" si="129"/>
        <v>0</v>
      </c>
      <c r="AW252" s="529">
        <f t="shared" si="130"/>
        <v>0</v>
      </c>
      <c r="AX252" s="529">
        <f t="shared" si="131"/>
        <v>0</v>
      </c>
      <c r="AY252" s="38" t="e">
        <f t="shared" si="132"/>
        <v>#REF!</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39">
        <f t="shared" si="153"/>
        <v>0</v>
      </c>
    </row>
    <row r="253" spans="1:72">
      <c r="A253" s="6"/>
      <c r="B253" s="31"/>
      <c r="C253" s="31"/>
      <c r="D253" s="1509" t="s">
        <v>3569</v>
      </c>
      <c r="E253" s="32" t="e">
        <f t="shared" si="125"/>
        <v>#REF!</v>
      </c>
      <c r="F253" s="33"/>
      <c r="G253" s="34">
        <f t="shared" si="126"/>
        <v>0</v>
      </c>
      <c r="H253" s="35">
        <f t="shared" si="127"/>
        <v>0</v>
      </c>
      <c r="I253" s="1510">
        <f>铂郡面积表!E201</f>
        <v>0</v>
      </c>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3"/>
      <c r="AU253" s="1512"/>
      <c r="AV253" s="529">
        <f t="shared" si="129"/>
        <v>0</v>
      </c>
      <c r="AW253" s="529">
        <f t="shared" si="130"/>
        <v>0</v>
      </c>
      <c r="AX253" s="529">
        <f t="shared" si="131"/>
        <v>0</v>
      </c>
      <c r="AY253" s="38" t="e">
        <f t="shared" si="132"/>
        <v>#REF!</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39">
        <f t="shared" si="153"/>
        <v>0</v>
      </c>
    </row>
    <row r="254" spans="1:72">
      <c r="A254" s="6"/>
      <c r="B254" s="31"/>
      <c r="C254" s="31"/>
      <c r="D254" s="1509" t="s">
        <v>3569</v>
      </c>
      <c r="E254" s="32" t="e">
        <f t="shared" si="125"/>
        <v>#REF!</v>
      </c>
      <c r="F254" s="33"/>
      <c r="G254" s="34">
        <f t="shared" si="126"/>
        <v>0</v>
      </c>
      <c r="H254" s="35">
        <f t="shared" si="127"/>
        <v>0</v>
      </c>
      <c r="I254" s="1510">
        <f>铂郡面积表!E202</f>
        <v>0</v>
      </c>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3"/>
      <c r="AU254" s="1512"/>
      <c r="AV254" s="529">
        <f t="shared" si="129"/>
        <v>0</v>
      </c>
      <c r="AW254" s="529">
        <f t="shared" si="130"/>
        <v>0</v>
      </c>
      <c r="AX254" s="529">
        <f t="shared" si="131"/>
        <v>0</v>
      </c>
      <c r="AY254" s="38" t="e">
        <f t="shared" si="132"/>
        <v>#REF!</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39">
        <f t="shared" si="153"/>
        <v>0</v>
      </c>
    </row>
    <row r="255" spans="1:72">
      <c r="A255" s="6"/>
      <c r="B255" s="31"/>
      <c r="C255" s="31"/>
      <c r="D255" s="1509" t="s">
        <v>3569</v>
      </c>
      <c r="E255" s="32" t="e">
        <f t="shared" si="125"/>
        <v>#REF!</v>
      </c>
      <c r="F255" s="33"/>
      <c r="G255" s="34">
        <f t="shared" si="126"/>
        <v>0</v>
      </c>
      <c r="H255" s="35">
        <f t="shared" si="127"/>
        <v>0</v>
      </c>
      <c r="I255" s="1510">
        <f>铂郡面积表!E203</f>
        <v>0</v>
      </c>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3"/>
      <c r="AU255" s="1512"/>
      <c r="AV255" s="529">
        <f t="shared" si="129"/>
        <v>0</v>
      </c>
      <c r="AW255" s="529">
        <f t="shared" si="130"/>
        <v>0</v>
      </c>
      <c r="AX255" s="529">
        <f t="shared" si="131"/>
        <v>0</v>
      </c>
      <c r="AY255" s="38" t="e">
        <f t="shared" si="132"/>
        <v>#REF!</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39">
        <f t="shared" si="153"/>
        <v>0</v>
      </c>
    </row>
    <row r="256" spans="1:72">
      <c r="A256" s="6"/>
      <c r="B256" s="31"/>
      <c r="C256" s="31"/>
      <c r="D256" s="1509" t="s">
        <v>3569</v>
      </c>
      <c r="E256" s="32" t="e">
        <f t="shared" si="125"/>
        <v>#REF!</v>
      </c>
      <c r="F256" s="33"/>
      <c r="G256" s="34">
        <f t="shared" si="126"/>
        <v>0</v>
      </c>
      <c r="H256" s="35">
        <f t="shared" si="127"/>
        <v>0</v>
      </c>
      <c r="I256" s="1510">
        <f>铂郡面积表!E204</f>
        <v>0</v>
      </c>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3"/>
      <c r="AU256" s="1512"/>
      <c r="AV256" s="529">
        <f t="shared" si="129"/>
        <v>0</v>
      </c>
      <c r="AW256" s="529">
        <f t="shared" si="130"/>
        <v>0</v>
      </c>
      <c r="AX256" s="529">
        <f t="shared" si="131"/>
        <v>0</v>
      </c>
      <c r="AY256" s="38" t="e">
        <f t="shared" si="132"/>
        <v>#REF!</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39">
        <f t="shared" si="153"/>
        <v>0</v>
      </c>
    </row>
    <row r="257" spans="1:72">
      <c r="A257" s="6"/>
      <c r="B257" s="31"/>
      <c r="C257" s="31"/>
      <c r="D257" s="1509" t="s">
        <v>3569</v>
      </c>
      <c r="E257" s="32" t="e">
        <f t="shared" si="125"/>
        <v>#REF!</v>
      </c>
      <c r="F257" s="33"/>
      <c r="G257" s="34">
        <f t="shared" si="126"/>
        <v>0</v>
      </c>
      <c r="H257" s="35">
        <f t="shared" si="127"/>
        <v>0</v>
      </c>
      <c r="I257" s="1510">
        <f>铂郡面积表!E205</f>
        <v>0</v>
      </c>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3"/>
      <c r="AU257" s="1512"/>
      <c r="AV257" s="529">
        <f t="shared" si="129"/>
        <v>0</v>
      </c>
      <c r="AW257" s="529">
        <f t="shared" si="130"/>
        <v>0</v>
      </c>
      <c r="AX257" s="529">
        <f t="shared" si="131"/>
        <v>0</v>
      </c>
      <c r="AY257" s="38" t="e">
        <f t="shared" si="132"/>
        <v>#REF!</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39">
        <f t="shared" si="153"/>
        <v>0</v>
      </c>
    </row>
    <row r="258" spans="1:72">
      <c r="A258" s="6"/>
      <c r="B258" s="31"/>
      <c r="C258" s="31"/>
      <c r="D258" s="1509" t="s">
        <v>3569</v>
      </c>
      <c r="E258" s="32" t="e">
        <f t="shared" si="125"/>
        <v>#REF!</v>
      </c>
      <c r="F258" s="33"/>
      <c r="G258" s="34">
        <f t="shared" si="126"/>
        <v>0</v>
      </c>
      <c r="H258" s="35">
        <f t="shared" si="127"/>
        <v>0</v>
      </c>
      <c r="I258" s="1510">
        <f>铂郡面积表!E206</f>
        <v>0</v>
      </c>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3"/>
      <c r="AU258" s="1512"/>
      <c r="AV258" s="529">
        <f t="shared" si="129"/>
        <v>0</v>
      </c>
      <c r="AW258" s="529">
        <f t="shared" si="130"/>
        <v>0</v>
      </c>
      <c r="AX258" s="529">
        <f t="shared" si="131"/>
        <v>0</v>
      </c>
      <c r="AY258" s="38" t="e">
        <f t="shared" si="132"/>
        <v>#REF!</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39">
        <f t="shared" si="153"/>
        <v>0</v>
      </c>
    </row>
    <row r="259" spans="1:72">
      <c r="A259" s="6"/>
      <c r="B259" s="31"/>
      <c r="C259" s="31"/>
      <c r="D259" s="1509" t="s">
        <v>3569</v>
      </c>
      <c r="E259" s="32" t="e">
        <f t="shared" si="125"/>
        <v>#REF!</v>
      </c>
      <c r="F259" s="33"/>
      <c r="G259" s="34">
        <f t="shared" si="126"/>
        <v>0</v>
      </c>
      <c r="H259" s="35">
        <f t="shared" si="127"/>
        <v>0</v>
      </c>
      <c r="I259" s="1510">
        <f>铂郡面积表!E207</f>
        <v>0</v>
      </c>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3"/>
      <c r="AU259" s="1512"/>
      <c r="AV259" s="529">
        <f t="shared" si="129"/>
        <v>0</v>
      </c>
      <c r="AW259" s="529">
        <f t="shared" si="130"/>
        <v>0</v>
      </c>
      <c r="AX259" s="529">
        <f t="shared" si="131"/>
        <v>0</v>
      </c>
      <c r="AY259" s="38" t="e">
        <f t="shared" si="132"/>
        <v>#REF!</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39">
        <f t="shared" si="153"/>
        <v>0</v>
      </c>
    </row>
    <row r="260" spans="1:72">
      <c r="A260" s="6"/>
      <c r="B260" s="31"/>
      <c r="C260" s="31"/>
      <c r="D260" s="1509" t="s">
        <v>3569</v>
      </c>
      <c r="E260" s="32" t="e">
        <f t="shared" si="125"/>
        <v>#REF!</v>
      </c>
      <c r="F260" s="33"/>
      <c r="G260" s="34">
        <f t="shared" si="126"/>
        <v>0</v>
      </c>
      <c r="H260" s="35">
        <f t="shared" si="127"/>
        <v>0</v>
      </c>
      <c r="I260" s="1510">
        <f>铂郡面积表!E208</f>
        <v>0</v>
      </c>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3"/>
      <c r="AU260" s="1512"/>
      <c r="AV260" s="529">
        <f t="shared" si="129"/>
        <v>0</v>
      </c>
      <c r="AW260" s="529">
        <f t="shared" si="130"/>
        <v>0</v>
      </c>
      <c r="AX260" s="529">
        <f t="shared" si="131"/>
        <v>0</v>
      </c>
      <c r="AY260" s="38" t="e">
        <f t="shared" si="132"/>
        <v>#REF!</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39">
        <f t="shared" si="153"/>
        <v>0</v>
      </c>
    </row>
    <row r="261" spans="1:72">
      <c r="A261" s="6"/>
      <c r="B261" s="31"/>
      <c r="C261" s="31"/>
      <c r="D261" s="1509" t="s">
        <v>3569</v>
      </c>
      <c r="E261" s="32" t="e">
        <f t="shared" si="125"/>
        <v>#REF!</v>
      </c>
      <c r="F261" s="33"/>
      <c r="G261" s="34">
        <f t="shared" si="126"/>
        <v>0</v>
      </c>
      <c r="H261" s="35">
        <f t="shared" si="127"/>
        <v>0</v>
      </c>
      <c r="I261" s="1510">
        <f>铂郡面积表!E209</f>
        <v>0</v>
      </c>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3"/>
      <c r="AU261" s="1512"/>
      <c r="AV261" s="529">
        <f t="shared" si="129"/>
        <v>0</v>
      </c>
      <c r="AW261" s="529">
        <f t="shared" si="130"/>
        <v>0</v>
      </c>
      <c r="AX261" s="529">
        <f t="shared" si="131"/>
        <v>0</v>
      </c>
      <c r="AY261" s="38" t="e">
        <f t="shared" si="132"/>
        <v>#REF!</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39">
        <f t="shared" si="153"/>
        <v>0</v>
      </c>
    </row>
    <row r="262" spans="1:72">
      <c r="A262" s="6"/>
      <c r="B262" s="31"/>
      <c r="C262" s="31"/>
      <c r="D262" s="1509" t="s">
        <v>3569</v>
      </c>
      <c r="E262" s="32" t="e">
        <f t="shared" si="125"/>
        <v>#REF!</v>
      </c>
      <c r="F262" s="33"/>
      <c r="G262" s="34">
        <f t="shared" si="126"/>
        <v>0</v>
      </c>
      <c r="H262" s="35">
        <f t="shared" si="127"/>
        <v>0</v>
      </c>
      <c r="I262" s="1510">
        <f>铂郡面积表!E210</f>
        <v>0</v>
      </c>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3"/>
      <c r="AU262" s="1512"/>
      <c r="AV262" s="529">
        <f t="shared" si="129"/>
        <v>0</v>
      </c>
      <c r="AW262" s="529">
        <f t="shared" si="130"/>
        <v>0</v>
      </c>
      <c r="AX262" s="529">
        <f t="shared" si="131"/>
        <v>0</v>
      </c>
      <c r="AY262" s="38" t="e">
        <f t="shared" si="132"/>
        <v>#REF!</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39">
        <f t="shared" si="153"/>
        <v>0</v>
      </c>
    </row>
    <row r="263" spans="1:72">
      <c r="A263" s="6"/>
      <c r="B263" s="31"/>
      <c r="C263" s="31"/>
      <c r="D263" s="1509" t="s">
        <v>3569</v>
      </c>
      <c r="E263" s="32" t="e">
        <f t="shared" si="125"/>
        <v>#REF!</v>
      </c>
      <c r="F263" s="33"/>
      <c r="G263" s="34">
        <f t="shared" si="126"/>
        <v>0</v>
      </c>
      <c r="H263" s="35">
        <f t="shared" si="127"/>
        <v>0</v>
      </c>
      <c r="I263" s="1510">
        <f>铂郡面积表!E211</f>
        <v>0</v>
      </c>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3"/>
      <c r="AU263" s="1512"/>
      <c r="AV263" s="529">
        <f t="shared" si="129"/>
        <v>0</v>
      </c>
      <c r="AW263" s="529">
        <f t="shared" si="130"/>
        <v>0</v>
      </c>
      <c r="AX263" s="529">
        <f t="shared" si="131"/>
        <v>0</v>
      </c>
      <c r="AY263" s="38" t="e">
        <f t="shared" si="132"/>
        <v>#REF!</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39">
        <f t="shared" si="153"/>
        <v>0</v>
      </c>
    </row>
    <row r="264" spans="1:72">
      <c r="A264" s="6"/>
      <c r="B264" s="31"/>
      <c r="C264" s="31"/>
      <c r="D264" s="1509" t="s">
        <v>3569</v>
      </c>
      <c r="E264" s="32" t="e">
        <f t="shared" si="125"/>
        <v>#REF!</v>
      </c>
      <c r="F264" s="33"/>
      <c r="G264" s="34">
        <f t="shared" si="126"/>
        <v>0</v>
      </c>
      <c r="H264" s="35">
        <f t="shared" si="127"/>
        <v>0</v>
      </c>
      <c r="I264" s="1510">
        <f>铂郡面积表!E212</f>
        <v>0</v>
      </c>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3"/>
      <c r="AU264" s="1512"/>
      <c r="AV264" s="529">
        <f t="shared" si="129"/>
        <v>0</v>
      </c>
      <c r="AW264" s="529">
        <f t="shared" si="130"/>
        <v>0</v>
      </c>
      <c r="AX264" s="529">
        <f t="shared" si="131"/>
        <v>0</v>
      </c>
      <c r="AY264" s="38" t="e">
        <f t="shared" si="132"/>
        <v>#REF!</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39">
        <f t="shared" si="153"/>
        <v>0</v>
      </c>
    </row>
    <row r="265" spans="1:72">
      <c r="A265" s="6"/>
      <c r="B265" s="31"/>
      <c r="C265" s="31"/>
      <c r="D265" s="1509" t="s">
        <v>3569</v>
      </c>
      <c r="E265" s="32" t="e">
        <f t="shared" si="125"/>
        <v>#REF!</v>
      </c>
      <c r="F265" s="33"/>
      <c r="G265" s="34">
        <f t="shared" si="126"/>
        <v>0</v>
      </c>
      <c r="H265" s="35">
        <f t="shared" si="127"/>
        <v>0</v>
      </c>
      <c r="I265" s="1510">
        <f>铂郡面积表!E213</f>
        <v>0</v>
      </c>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3"/>
      <c r="AU265" s="1512"/>
      <c r="AV265" s="529">
        <f t="shared" si="129"/>
        <v>0</v>
      </c>
      <c r="AW265" s="529">
        <f t="shared" si="130"/>
        <v>0</v>
      </c>
      <c r="AX265" s="529">
        <f t="shared" si="131"/>
        <v>0</v>
      </c>
      <c r="AY265" s="38" t="e">
        <f t="shared" si="132"/>
        <v>#REF!</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39">
        <f t="shared" si="153"/>
        <v>0</v>
      </c>
    </row>
    <row r="266" spans="1:72">
      <c r="A266" s="6"/>
      <c r="B266" s="31"/>
      <c r="C266" s="31"/>
      <c r="D266" s="1509" t="s">
        <v>3569</v>
      </c>
      <c r="E266" s="32" t="e">
        <f t="shared" si="125"/>
        <v>#REF!</v>
      </c>
      <c r="F266" s="33"/>
      <c r="G266" s="34">
        <f t="shared" si="126"/>
        <v>0</v>
      </c>
      <c r="H266" s="35">
        <f t="shared" si="127"/>
        <v>0</v>
      </c>
      <c r="I266" s="1510">
        <f>铂郡面积表!E214</f>
        <v>0</v>
      </c>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3"/>
      <c r="AU266" s="1512"/>
      <c r="AV266" s="529">
        <f t="shared" si="129"/>
        <v>0</v>
      </c>
      <c r="AW266" s="529">
        <f t="shared" si="130"/>
        <v>0</v>
      </c>
      <c r="AX266" s="529">
        <f t="shared" si="131"/>
        <v>0</v>
      </c>
      <c r="AY266" s="38" t="e">
        <f t="shared" si="132"/>
        <v>#REF!</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39">
        <f t="shared" si="153"/>
        <v>0</v>
      </c>
    </row>
    <row r="267" spans="1:72">
      <c r="A267" s="6"/>
      <c r="B267" s="31"/>
      <c r="C267" s="31"/>
      <c r="D267" s="1509" t="s">
        <v>3569</v>
      </c>
      <c r="E267" s="32" t="e">
        <f t="shared" si="125"/>
        <v>#REF!</v>
      </c>
      <c r="F267" s="33"/>
      <c r="G267" s="34">
        <f t="shared" si="126"/>
        <v>0</v>
      </c>
      <c r="H267" s="35">
        <f t="shared" si="127"/>
        <v>0</v>
      </c>
      <c r="I267" s="1510">
        <f>铂郡面积表!E215</f>
        <v>0</v>
      </c>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3"/>
      <c r="AU267" s="1512"/>
      <c r="AV267" s="529">
        <f t="shared" si="129"/>
        <v>0</v>
      </c>
      <c r="AW267" s="529">
        <f t="shared" si="130"/>
        <v>0</v>
      </c>
      <c r="AX267" s="529">
        <f t="shared" si="131"/>
        <v>0</v>
      </c>
      <c r="AY267" s="38" t="e">
        <f t="shared" si="132"/>
        <v>#REF!</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39">
        <f t="shared" si="153"/>
        <v>0</v>
      </c>
    </row>
    <row r="268" spans="1:72">
      <c r="A268" s="6"/>
      <c r="B268" s="31"/>
      <c r="C268" s="31"/>
      <c r="D268" s="1509" t="s">
        <v>3569</v>
      </c>
      <c r="E268" s="32" t="e">
        <f t="shared" si="125"/>
        <v>#REF!</v>
      </c>
      <c r="F268" s="33"/>
      <c r="G268" s="34">
        <f t="shared" si="126"/>
        <v>0</v>
      </c>
      <c r="H268" s="35">
        <f t="shared" si="127"/>
        <v>0</v>
      </c>
      <c r="I268" s="1510">
        <f>铂郡面积表!E216</f>
        <v>0</v>
      </c>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3"/>
      <c r="AU268" s="1512"/>
      <c r="AV268" s="529">
        <f t="shared" si="129"/>
        <v>0</v>
      </c>
      <c r="AW268" s="529">
        <f t="shared" si="130"/>
        <v>0</v>
      </c>
      <c r="AX268" s="529">
        <f t="shared" si="131"/>
        <v>0</v>
      </c>
      <c r="AY268" s="38" t="e">
        <f t="shared" si="132"/>
        <v>#REF!</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39">
        <f t="shared" si="153"/>
        <v>0</v>
      </c>
    </row>
    <row r="269" spans="1:72">
      <c r="A269" s="6"/>
      <c r="B269" s="31"/>
      <c r="C269" s="31"/>
      <c r="D269" s="1509" t="s">
        <v>3569</v>
      </c>
      <c r="E269" s="32" t="e">
        <f t="shared" si="125"/>
        <v>#REF!</v>
      </c>
      <c r="F269" s="33"/>
      <c r="G269" s="34">
        <f t="shared" si="126"/>
        <v>0</v>
      </c>
      <c r="H269" s="35">
        <f t="shared" si="127"/>
        <v>0</v>
      </c>
      <c r="I269" s="1510">
        <f>铂郡面积表!E217</f>
        <v>0</v>
      </c>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3"/>
      <c r="AU269" s="1512"/>
      <c r="AV269" s="529">
        <f t="shared" si="129"/>
        <v>0</v>
      </c>
      <c r="AW269" s="529">
        <f t="shared" si="130"/>
        <v>0</v>
      </c>
      <c r="AX269" s="529">
        <f t="shared" si="131"/>
        <v>0</v>
      </c>
      <c r="AY269" s="38" t="e">
        <f t="shared" si="132"/>
        <v>#REF!</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39">
        <f t="shared" si="153"/>
        <v>0</v>
      </c>
    </row>
    <row r="270" spans="1:72">
      <c r="A270" s="6"/>
      <c r="B270" s="31"/>
      <c r="C270" s="31"/>
      <c r="D270" s="1509" t="s">
        <v>3569</v>
      </c>
      <c r="E270" s="32" t="e">
        <f t="shared" si="125"/>
        <v>#REF!</v>
      </c>
      <c r="F270" s="33"/>
      <c r="G270" s="34">
        <f t="shared" si="126"/>
        <v>0</v>
      </c>
      <c r="H270" s="35">
        <f t="shared" si="127"/>
        <v>0</v>
      </c>
      <c r="I270" s="1510">
        <f>铂郡面积表!E218</f>
        <v>0</v>
      </c>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3"/>
      <c r="AU270" s="1512"/>
      <c r="AV270" s="529">
        <f t="shared" si="129"/>
        <v>0</v>
      </c>
      <c r="AW270" s="529">
        <f t="shared" si="130"/>
        <v>0</v>
      </c>
      <c r="AX270" s="529">
        <f t="shared" si="131"/>
        <v>0</v>
      </c>
      <c r="AY270" s="38" t="e">
        <f t="shared" si="132"/>
        <v>#REF!</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39">
        <f t="shared" si="153"/>
        <v>0</v>
      </c>
    </row>
    <row r="271" spans="1:72">
      <c r="A271" s="6"/>
      <c r="B271" s="31"/>
      <c r="C271" s="31"/>
      <c r="D271" s="1509" t="s">
        <v>3569</v>
      </c>
      <c r="E271" s="32" t="e">
        <f t="shared" si="125"/>
        <v>#REF!</v>
      </c>
      <c r="F271" s="33"/>
      <c r="G271" s="34">
        <f t="shared" si="126"/>
        <v>0</v>
      </c>
      <c r="H271" s="35">
        <f t="shared" si="127"/>
        <v>0</v>
      </c>
      <c r="I271" s="1510">
        <f>铂郡面积表!E219</f>
        <v>0</v>
      </c>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3"/>
      <c r="AU271" s="1512"/>
      <c r="AV271" s="529">
        <f t="shared" si="129"/>
        <v>0</v>
      </c>
      <c r="AW271" s="529">
        <f t="shared" si="130"/>
        <v>0</v>
      </c>
      <c r="AX271" s="529">
        <f t="shared" si="131"/>
        <v>0</v>
      </c>
      <c r="AY271" s="38" t="e">
        <f t="shared" si="132"/>
        <v>#REF!</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39">
        <f t="shared" si="153"/>
        <v>0</v>
      </c>
    </row>
    <row r="272" spans="1:72">
      <c r="A272" s="6"/>
      <c r="B272" s="31"/>
      <c r="C272" s="31"/>
      <c r="D272" s="1509" t="s">
        <v>3569</v>
      </c>
      <c r="E272" s="32" t="e">
        <f t="shared" si="125"/>
        <v>#REF!</v>
      </c>
      <c r="F272" s="33"/>
      <c r="G272" s="34">
        <f t="shared" si="126"/>
        <v>0</v>
      </c>
      <c r="H272" s="35">
        <f t="shared" si="127"/>
        <v>0</v>
      </c>
      <c r="I272" s="1510">
        <f>铂郡面积表!E220</f>
        <v>0</v>
      </c>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3"/>
      <c r="AU272" s="1512"/>
      <c r="AV272" s="529">
        <f t="shared" si="129"/>
        <v>0</v>
      </c>
      <c r="AW272" s="529">
        <f t="shared" si="130"/>
        <v>0</v>
      </c>
      <c r="AX272" s="529">
        <f t="shared" si="131"/>
        <v>0</v>
      </c>
      <c r="AY272" s="38" t="e">
        <f t="shared" si="132"/>
        <v>#REF!</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39">
        <f t="shared" si="153"/>
        <v>0</v>
      </c>
    </row>
    <row r="273" spans="1:72">
      <c r="A273" s="6"/>
      <c r="B273" s="31"/>
      <c r="C273" s="31"/>
      <c r="D273" s="1509" t="s">
        <v>3569</v>
      </c>
      <c r="E273" s="32" t="e">
        <f t="shared" si="125"/>
        <v>#REF!</v>
      </c>
      <c r="F273" s="33"/>
      <c r="G273" s="34">
        <f t="shared" si="126"/>
        <v>0</v>
      </c>
      <c r="H273" s="35">
        <f t="shared" si="127"/>
        <v>0</v>
      </c>
      <c r="I273" s="1510">
        <f>铂郡面积表!E221</f>
        <v>0</v>
      </c>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3"/>
      <c r="AU273" s="1512"/>
      <c r="AV273" s="529">
        <f t="shared" si="129"/>
        <v>0</v>
      </c>
      <c r="AW273" s="529">
        <f t="shared" si="130"/>
        <v>0</v>
      </c>
      <c r="AX273" s="529">
        <f t="shared" si="131"/>
        <v>0</v>
      </c>
      <c r="AY273" s="38" t="e">
        <f t="shared" si="132"/>
        <v>#REF!</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39">
        <f t="shared" si="153"/>
        <v>0</v>
      </c>
    </row>
    <row r="274" spans="1:72">
      <c r="A274" s="6"/>
      <c r="B274" s="31"/>
      <c r="C274" s="31"/>
      <c r="D274" s="1509" t="s">
        <v>3569</v>
      </c>
      <c r="E274" s="32" t="e">
        <f t="shared" si="125"/>
        <v>#REF!</v>
      </c>
      <c r="F274" s="33"/>
      <c r="G274" s="34">
        <f t="shared" si="126"/>
        <v>0</v>
      </c>
      <c r="H274" s="35">
        <f t="shared" si="127"/>
        <v>0</v>
      </c>
      <c r="I274" s="1510">
        <f>铂郡面积表!E222</f>
        <v>0</v>
      </c>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3"/>
      <c r="AU274" s="1512"/>
      <c r="AV274" s="529">
        <f t="shared" si="129"/>
        <v>0</v>
      </c>
      <c r="AW274" s="529">
        <f t="shared" si="130"/>
        <v>0</v>
      </c>
      <c r="AX274" s="529">
        <f t="shared" si="131"/>
        <v>0</v>
      </c>
      <c r="AY274" s="38" t="e">
        <f t="shared" si="132"/>
        <v>#REF!</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39">
        <f t="shared" si="153"/>
        <v>0</v>
      </c>
    </row>
    <row r="275" spans="1:72">
      <c r="A275" s="6"/>
      <c r="B275" s="31"/>
      <c r="C275" s="31"/>
      <c r="D275" s="1509" t="s">
        <v>3569</v>
      </c>
      <c r="E275" s="32" t="e">
        <f t="shared" si="125"/>
        <v>#REF!</v>
      </c>
      <c r="F275" s="33"/>
      <c r="G275" s="34">
        <f t="shared" si="126"/>
        <v>0</v>
      </c>
      <c r="H275" s="35">
        <f t="shared" si="127"/>
        <v>0</v>
      </c>
      <c r="I275" s="1510">
        <f>铂郡面积表!E223</f>
        <v>0</v>
      </c>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3"/>
      <c r="AU275" s="1512"/>
      <c r="AV275" s="529">
        <f t="shared" si="129"/>
        <v>0</v>
      </c>
      <c r="AW275" s="529">
        <f t="shared" si="130"/>
        <v>0</v>
      </c>
      <c r="AX275" s="529">
        <f t="shared" si="131"/>
        <v>0</v>
      </c>
      <c r="AY275" s="38" t="e">
        <f t="shared" si="132"/>
        <v>#REF!</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39">
        <f t="shared" si="153"/>
        <v>0</v>
      </c>
    </row>
    <row r="276" spans="1:72">
      <c r="A276" s="6"/>
      <c r="B276" s="31"/>
      <c r="C276" s="31"/>
      <c r="D276" s="1509" t="s">
        <v>3569</v>
      </c>
      <c r="E276" s="32" t="e">
        <f t="shared" si="125"/>
        <v>#REF!</v>
      </c>
      <c r="F276" s="33"/>
      <c r="G276" s="34">
        <f t="shared" si="126"/>
        <v>0</v>
      </c>
      <c r="H276" s="35">
        <f t="shared" si="127"/>
        <v>0</v>
      </c>
      <c r="I276" s="1510">
        <f>铂郡面积表!E224</f>
        <v>0</v>
      </c>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3"/>
      <c r="AU276" s="1512"/>
      <c r="AV276" s="529">
        <f t="shared" si="129"/>
        <v>0</v>
      </c>
      <c r="AW276" s="529">
        <f t="shared" si="130"/>
        <v>0</v>
      </c>
      <c r="AX276" s="529">
        <f t="shared" si="131"/>
        <v>0</v>
      </c>
      <c r="AY276" s="38" t="e">
        <f t="shared" si="132"/>
        <v>#REF!</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39">
        <f t="shared" si="153"/>
        <v>0</v>
      </c>
    </row>
    <row r="277" spans="1:72">
      <c r="A277" s="6"/>
      <c r="B277" s="31"/>
      <c r="C277" s="31"/>
      <c r="D277" s="1509" t="s">
        <v>3569</v>
      </c>
      <c r="E277" s="32" t="e">
        <f t="shared" si="125"/>
        <v>#REF!</v>
      </c>
      <c r="F277" s="33"/>
      <c r="G277" s="34">
        <f t="shared" si="126"/>
        <v>0</v>
      </c>
      <c r="H277" s="35">
        <f t="shared" si="127"/>
        <v>0</v>
      </c>
      <c r="I277" s="1510">
        <f>铂郡面积表!E225</f>
        <v>0</v>
      </c>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3"/>
      <c r="AU277" s="1512"/>
      <c r="AV277" s="529">
        <f t="shared" si="129"/>
        <v>0</v>
      </c>
      <c r="AW277" s="529">
        <f t="shared" si="130"/>
        <v>0</v>
      </c>
      <c r="AX277" s="529">
        <f t="shared" si="131"/>
        <v>0</v>
      </c>
      <c r="AY277" s="38" t="e">
        <f t="shared" si="132"/>
        <v>#REF!</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39">
        <f t="shared" si="153"/>
        <v>0</v>
      </c>
    </row>
    <row r="278" spans="1:72">
      <c r="A278" s="6"/>
      <c r="B278" s="31"/>
      <c r="C278" s="31"/>
      <c r="D278" s="1509" t="s">
        <v>3569</v>
      </c>
      <c r="E278" s="32" t="e">
        <f t="shared" si="125"/>
        <v>#REF!</v>
      </c>
      <c r="F278" s="33"/>
      <c r="G278" s="34">
        <f t="shared" si="126"/>
        <v>0</v>
      </c>
      <c r="H278" s="35">
        <f t="shared" si="127"/>
        <v>0</v>
      </c>
      <c r="I278" s="1510">
        <f>铂郡面积表!E226</f>
        <v>0</v>
      </c>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3"/>
      <c r="AU278" s="1512"/>
      <c r="AV278" s="529">
        <f t="shared" si="129"/>
        <v>0</v>
      </c>
      <c r="AW278" s="529">
        <f t="shared" si="130"/>
        <v>0</v>
      </c>
      <c r="AX278" s="529">
        <f t="shared" si="131"/>
        <v>0</v>
      </c>
      <c r="AY278" s="38" t="e">
        <f t="shared" si="132"/>
        <v>#REF!</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39">
        <f t="shared" si="153"/>
        <v>0</v>
      </c>
    </row>
    <row r="279" spans="1:72">
      <c r="A279" s="6"/>
      <c r="B279" s="31"/>
      <c r="C279" s="31"/>
      <c r="D279" s="1509" t="s">
        <v>3569</v>
      </c>
      <c r="E279" s="32" t="e">
        <f t="shared" si="125"/>
        <v>#REF!</v>
      </c>
      <c r="F279" s="33"/>
      <c r="G279" s="34">
        <f t="shared" si="126"/>
        <v>0</v>
      </c>
      <c r="H279" s="35">
        <f t="shared" si="127"/>
        <v>0</v>
      </c>
      <c r="I279" s="1510">
        <f>铂郡面积表!E227</f>
        <v>0</v>
      </c>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3"/>
      <c r="AU279" s="1512"/>
      <c r="AV279" s="529">
        <f t="shared" si="129"/>
        <v>0</v>
      </c>
      <c r="AW279" s="529">
        <f t="shared" si="130"/>
        <v>0</v>
      </c>
      <c r="AX279" s="529">
        <f t="shared" si="131"/>
        <v>0</v>
      </c>
      <c r="AY279" s="38" t="e">
        <f t="shared" si="132"/>
        <v>#REF!</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39">
        <f t="shared" si="153"/>
        <v>0</v>
      </c>
    </row>
    <row r="280" spans="1:72">
      <c r="A280" s="6"/>
      <c r="B280" s="31"/>
      <c r="C280" s="31"/>
      <c r="D280" s="1509" t="s">
        <v>3569</v>
      </c>
      <c r="E280" s="32" t="e">
        <f t="shared" si="125"/>
        <v>#REF!</v>
      </c>
      <c r="F280" s="33"/>
      <c r="G280" s="34">
        <f t="shared" si="126"/>
        <v>0</v>
      </c>
      <c r="H280" s="35">
        <f t="shared" si="127"/>
        <v>0</v>
      </c>
      <c r="I280" s="1510">
        <f>铂郡面积表!E228</f>
        <v>0</v>
      </c>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3"/>
      <c r="AU280" s="1512"/>
      <c r="AV280" s="529">
        <f t="shared" si="129"/>
        <v>0</v>
      </c>
      <c r="AW280" s="529">
        <f t="shared" si="130"/>
        <v>0</v>
      </c>
      <c r="AX280" s="529">
        <f t="shared" si="131"/>
        <v>0</v>
      </c>
      <c r="AY280" s="38" t="e">
        <f t="shared" si="132"/>
        <v>#REF!</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39">
        <f t="shared" si="153"/>
        <v>0</v>
      </c>
    </row>
    <row r="281" spans="1:72">
      <c r="A281" s="6"/>
      <c r="B281" s="31"/>
      <c r="C281" s="31"/>
      <c r="D281" s="1509" t="s">
        <v>3569</v>
      </c>
      <c r="E281" s="32" t="e">
        <f t="shared" si="125"/>
        <v>#REF!</v>
      </c>
      <c r="F281" s="33"/>
      <c r="G281" s="34">
        <f t="shared" si="126"/>
        <v>0</v>
      </c>
      <c r="H281" s="35">
        <f t="shared" si="127"/>
        <v>0</v>
      </c>
      <c r="I281" s="1510">
        <f>铂郡面积表!E229</f>
        <v>0</v>
      </c>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3"/>
      <c r="AU281" s="1512"/>
      <c r="AV281" s="529">
        <f t="shared" si="129"/>
        <v>0</v>
      </c>
      <c r="AW281" s="529">
        <f t="shared" si="130"/>
        <v>0</v>
      </c>
      <c r="AX281" s="529">
        <f t="shared" si="131"/>
        <v>0</v>
      </c>
      <c r="AY281" s="38" t="e">
        <f t="shared" si="132"/>
        <v>#REF!</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39">
        <f t="shared" si="153"/>
        <v>0</v>
      </c>
    </row>
    <row r="282" spans="1:72">
      <c r="A282" s="6"/>
      <c r="B282" s="31"/>
      <c r="C282" s="31"/>
      <c r="D282" s="1509" t="s">
        <v>3569</v>
      </c>
      <c r="E282" s="32" t="e">
        <f t="shared" si="125"/>
        <v>#REF!</v>
      </c>
      <c r="F282" s="33"/>
      <c r="G282" s="34">
        <f t="shared" si="126"/>
        <v>0</v>
      </c>
      <c r="H282" s="35">
        <f t="shared" si="127"/>
        <v>0</v>
      </c>
      <c r="I282" s="1510">
        <f>铂郡面积表!E230</f>
        <v>0</v>
      </c>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3"/>
      <c r="AU282" s="1512"/>
      <c r="AV282" s="529">
        <f t="shared" si="129"/>
        <v>0</v>
      </c>
      <c r="AW282" s="529">
        <f t="shared" si="130"/>
        <v>0</v>
      </c>
      <c r="AX282" s="529">
        <f t="shared" si="131"/>
        <v>0</v>
      </c>
      <c r="AY282" s="38" t="e">
        <f t="shared" si="132"/>
        <v>#REF!</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39">
        <f t="shared" si="153"/>
        <v>0</v>
      </c>
    </row>
    <row r="283" spans="1:72">
      <c r="A283" s="6"/>
      <c r="B283" s="31"/>
      <c r="C283" s="31"/>
      <c r="D283" s="1509" t="s">
        <v>3569</v>
      </c>
      <c r="E283" s="32" t="e">
        <f t="shared" si="125"/>
        <v>#REF!</v>
      </c>
      <c r="F283" s="33"/>
      <c r="G283" s="34">
        <f t="shared" si="126"/>
        <v>0</v>
      </c>
      <c r="H283" s="35">
        <f t="shared" si="127"/>
        <v>0</v>
      </c>
      <c r="I283" s="1510">
        <f>铂郡面积表!E231</f>
        <v>0</v>
      </c>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3"/>
      <c r="AU283" s="1512"/>
      <c r="AV283" s="529">
        <f t="shared" si="129"/>
        <v>0</v>
      </c>
      <c r="AW283" s="529">
        <f t="shared" si="130"/>
        <v>0</v>
      </c>
      <c r="AX283" s="529">
        <f t="shared" si="131"/>
        <v>0</v>
      </c>
      <c r="AY283" s="38" t="e">
        <f t="shared" si="132"/>
        <v>#REF!</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39">
        <f t="shared" si="153"/>
        <v>0</v>
      </c>
    </row>
    <row r="284" spans="1:72">
      <c r="A284" s="6"/>
      <c r="B284" s="31"/>
      <c r="C284" s="31"/>
      <c r="D284" s="1509" t="s">
        <v>3569</v>
      </c>
      <c r="E284" s="32" t="e">
        <f t="shared" si="125"/>
        <v>#REF!</v>
      </c>
      <c r="F284" s="33"/>
      <c r="G284" s="34">
        <f t="shared" si="126"/>
        <v>0</v>
      </c>
      <c r="H284" s="35">
        <f t="shared" si="127"/>
        <v>0</v>
      </c>
      <c r="I284" s="1510">
        <f>铂郡面积表!E232</f>
        <v>0</v>
      </c>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3"/>
      <c r="AU284" s="1512"/>
      <c r="AV284" s="529">
        <f t="shared" si="129"/>
        <v>0</v>
      </c>
      <c r="AW284" s="529">
        <f t="shared" si="130"/>
        <v>0</v>
      </c>
      <c r="AX284" s="529">
        <f t="shared" si="131"/>
        <v>0</v>
      </c>
      <c r="AY284" s="38" t="e">
        <f t="shared" si="132"/>
        <v>#REF!</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39">
        <f t="shared" si="153"/>
        <v>0</v>
      </c>
    </row>
    <row r="285" spans="1:72">
      <c r="A285" s="6"/>
      <c r="B285" s="31"/>
      <c r="C285" s="31"/>
      <c r="D285" s="1509" t="s">
        <v>3569</v>
      </c>
      <c r="E285" s="32" t="e">
        <f t="shared" si="125"/>
        <v>#REF!</v>
      </c>
      <c r="F285" s="33"/>
      <c r="G285" s="34">
        <f t="shared" si="126"/>
        <v>0</v>
      </c>
      <c r="H285" s="35">
        <f t="shared" si="127"/>
        <v>0</v>
      </c>
      <c r="I285" s="1510">
        <f>铂郡面积表!E233</f>
        <v>0</v>
      </c>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3"/>
      <c r="AU285" s="1512"/>
      <c r="AV285" s="529">
        <f t="shared" si="129"/>
        <v>0</v>
      </c>
      <c r="AW285" s="529">
        <f t="shared" si="130"/>
        <v>0</v>
      </c>
      <c r="AX285" s="529">
        <f t="shared" si="131"/>
        <v>0</v>
      </c>
      <c r="AY285" s="38" t="e">
        <f t="shared" si="132"/>
        <v>#REF!</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39">
        <f t="shared" si="153"/>
        <v>0</v>
      </c>
    </row>
    <row r="286" spans="1:72">
      <c r="A286" s="6"/>
      <c r="B286" s="31"/>
      <c r="C286" s="31"/>
      <c r="D286" s="1509" t="s">
        <v>3569</v>
      </c>
      <c r="E286" s="32" t="e">
        <f t="shared" si="125"/>
        <v>#REF!</v>
      </c>
      <c r="F286" s="33"/>
      <c r="G286" s="34">
        <f t="shared" si="126"/>
        <v>0</v>
      </c>
      <c r="H286" s="35">
        <f t="shared" si="127"/>
        <v>0</v>
      </c>
      <c r="I286" s="1510">
        <f>铂郡面积表!E234</f>
        <v>0</v>
      </c>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3"/>
      <c r="AU286" s="1512"/>
      <c r="AV286" s="529">
        <f t="shared" si="129"/>
        <v>0</v>
      </c>
      <c r="AW286" s="529">
        <f t="shared" si="130"/>
        <v>0</v>
      </c>
      <c r="AX286" s="529">
        <f t="shared" si="131"/>
        <v>0</v>
      </c>
      <c r="AY286" s="38" t="e">
        <f t="shared" si="132"/>
        <v>#REF!</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39">
        <f t="shared" si="153"/>
        <v>0</v>
      </c>
    </row>
    <row r="287" spans="1:72">
      <c r="A287" s="6"/>
      <c r="B287" s="31"/>
      <c r="C287" s="31"/>
      <c r="D287" s="1509" t="s">
        <v>3569</v>
      </c>
      <c r="E287" s="32" t="e">
        <f t="shared" si="125"/>
        <v>#REF!</v>
      </c>
      <c r="F287" s="33"/>
      <c r="G287" s="34">
        <f t="shared" si="126"/>
        <v>0</v>
      </c>
      <c r="H287" s="35">
        <f t="shared" si="127"/>
        <v>0</v>
      </c>
      <c r="I287" s="1510">
        <f>铂郡面积表!E235</f>
        <v>0</v>
      </c>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3"/>
      <c r="AU287" s="1512"/>
      <c r="AV287" s="529">
        <f t="shared" si="129"/>
        <v>0</v>
      </c>
      <c r="AW287" s="529">
        <f t="shared" si="130"/>
        <v>0</v>
      </c>
      <c r="AX287" s="529">
        <f t="shared" si="131"/>
        <v>0</v>
      </c>
      <c r="AY287" s="38" t="e">
        <f t="shared" si="132"/>
        <v>#REF!</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39">
        <f t="shared" si="153"/>
        <v>0</v>
      </c>
    </row>
    <row r="288" spans="1:72">
      <c r="A288" s="6"/>
      <c r="B288" s="31"/>
      <c r="C288" s="31"/>
      <c r="D288" s="1509" t="s">
        <v>3569</v>
      </c>
      <c r="E288" s="32" t="e">
        <f t="shared" si="125"/>
        <v>#REF!</v>
      </c>
      <c r="F288" s="33"/>
      <c r="G288" s="34">
        <f t="shared" si="126"/>
        <v>0</v>
      </c>
      <c r="H288" s="35">
        <f t="shared" si="127"/>
        <v>0</v>
      </c>
      <c r="I288" s="1510">
        <f>铂郡面积表!E236</f>
        <v>0</v>
      </c>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3"/>
      <c r="AU288" s="1512"/>
      <c r="AV288" s="529">
        <f t="shared" si="129"/>
        <v>0</v>
      </c>
      <c r="AW288" s="529">
        <f t="shared" si="130"/>
        <v>0</v>
      </c>
      <c r="AX288" s="529">
        <f t="shared" si="131"/>
        <v>0</v>
      </c>
      <c r="AY288" s="38" t="e">
        <f t="shared" si="132"/>
        <v>#REF!</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39">
        <f t="shared" si="153"/>
        <v>0</v>
      </c>
    </row>
    <row r="289" spans="1:72">
      <c r="A289" s="6"/>
      <c r="B289" s="31"/>
      <c r="C289" s="31"/>
      <c r="D289" s="1509" t="s">
        <v>3569</v>
      </c>
      <c r="E289" s="32" t="e">
        <f t="shared" si="125"/>
        <v>#REF!</v>
      </c>
      <c r="F289" s="33"/>
      <c r="G289" s="34">
        <f t="shared" si="126"/>
        <v>0</v>
      </c>
      <c r="H289" s="35">
        <f t="shared" si="127"/>
        <v>0</v>
      </c>
      <c r="I289" s="1510">
        <f>铂郡面积表!E237</f>
        <v>0</v>
      </c>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3"/>
      <c r="AU289" s="1512"/>
      <c r="AV289" s="529">
        <f t="shared" si="129"/>
        <v>0</v>
      </c>
      <c r="AW289" s="529">
        <f t="shared" si="130"/>
        <v>0</v>
      </c>
      <c r="AX289" s="529">
        <f t="shared" si="131"/>
        <v>0</v>
      </c>
      <c r="AY289" s="38" t="e">
        <f t="shared" si="132"/>
        <v>#REF!</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39">
        <f t="shared" si="153"/>
        <v>0</v>
      </c>
    </row>
    <row r="290" spans="1:72">
      <c r="A290" s="6"/>
      <c r="B290" s="31"/>
      <c r="C290" s="31"/>
      <c r="D290" s="1509" t="s">
        <v>3569</v>
      </c>
      <c r="E290" s="32" t="e">
        <f t="shared" si="125"/>
        <v>#REF!</v>
      </c>
      <c r="F290" s="33"/>
      <c r="G290" s="34">
        <f t="shared" si="126"/>
        <v>0</v>
      </c>
      <c r="H290" s="35">
        <f t="shared" si="127"/>
        <v>0</v>
      </c>
      <c r="I290" s="1510">
        <f>铂郡面积表!E238</f>
        <v>0</v>
      </c>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3"/>
      <c r="AU290" s="1512"/>
      <c r="AV290" s="529">
        <f t="shared" si="129"/>
        <v>0</v>
      </c>
      <c r="AW290" s="529">
        <f t="shared" si="130"/>
        <v>0</v>
      </c>
      <c r="AX290" s="529">
        <f t="shared" si="131"/>
        <v>0</v>
      </c>
      <c r="AY290" s="38" t="e">
        <f t="shared" si="132"/>
        <v>#REF!</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39">
        <f t="shared" si="153"/>
        <v>0</v>
      </c>
    </row>
    <row r="291" spans="1:72">
      <c r="A291" s="6"/>
      <c r="B291" s="31"/>
      <c r="C291" s="31"/>
      <c r="D291" s="1509" t="s">
        <v>3569</v>
      </c>
      <c r="E291" s="32" t="e">
        <f t="shared" si="125"/>
        <v>#REF!</v>
      </c>
      <c r="F291" s="33"/>
      <c r="G291" s="34">
        <f t="shared" si="126"/>
        <v>0</v>
      </c>
      <c r="H291" s="35">
        <f t="shared" si="127"/>
        <v>0</v>
      </c>
      <c r="I291" s="1510">
        <f>铂郡面积表!E239</f>
        <v>0</v>
      </c>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3"/>
      <c r="AU291" s="1512"/>
      <c r="AV291" s="529">
        <f t="shared" si="129"/>
        <v>0</v>
      </c>
      <c r="AW291" s="529">
        <f t="shared" si="130"/>
        <v>0</v>
      </c>
      <c r="AX291" s="529">
        <f t="shared" si="131"/>
        <v>0</v>
      </c>
      <c r="AY291" s="38" t="e">
        <f t="shared" si="132"/>
        <v>#REF!</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39">
        <f t="shared" si="153"/>
        <v>0</v>
      </c>
    </row>
    <row r="292" spans="1:72">
      <c r="A292" s="6"/>
      <c r="B292" s="31"/>
      <c r="C292" s="31"/>
      <c r="D292" s="1509" t="s">
        <v>3569</v>
      </c>
      <c r="E292" s="32" t="e">
        <f t="shared" si="125"/>
        <v>#REF!</v>
      </c>
      <c r="F292" s="33"/>
      <c r="G292" s="34">
        <f t="shared" si="126"/>
        <v>0</v>
      </c>
      <c r="H292" s="35">
        <f t="shared" si="127"/>
        <v>0</v>
      </c>
      <c r="I292" s="1510">
        <f>铂郡面积表!E240</f>
        <v>0</v>
      </c>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3"/>
      <c r="AU292" s="1512"/>
      <c r="AV292" s="529">
        <f t="shared" si="129"/>
        <v>0</v>
      </c>
      <c r="AW292" s="529">
        <f t="shared" si="130"/>
        <v>0</v>
      </c>
      <c r="AX292" s="529">
        <f t="shared" si="131"/>
        <v>0</v>
      </c>
      <c r="AY292" s="38" t="e">
        <f t="shared" si="132"/>
        <v>#REF!</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39">
        <f t="shared" si="153"/>
        <v>0</v>
      </c>
    </row>
    <row r="293" spans="1:72">
      <c r="A293" s="6"/>
      <c r="B293" s="31"/>
      <c r="C293" s="31"/>
      <c r="D293" s="1509" t="s">
        <v>3569</v>
      </c>
      <c r="E293" s="32" t="e">
        <f t="shared" si="125"/>
        <v>#REF!</v>
      </c>
      <c r="F293" s="33"/>
      <c r="G293" s="34">
        <f t="shared" si="126"/>
        <v>0</v>
      </c>
      <c r="H293" s="35">
        <f t="shared" si="127"/>
        <v>0</v>
      </c>
      <c r="I293" s="1510">
        <f>铂郡面积表!E241</f>
        <v>0</v>
      </c>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3"/>
      <c r="AU293" s="1512"/>
      <c r="AV293" s="529">
        <f t="shared" si="129"/>
        <v>0</v>
      </c>
      <c r="AW293" s="529">
        <f t="shared" si="130"/>
        <v>0</v>
      </c>
      <c r="AX293" s="529">
        <f t="shared" si="131"/>
        <v>0</v>
      </c>
      <c r="AY293" s="38" t="e">
        <f t="shared" si="132"/>
        <v>#REF!</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39">
        <f t="shared" si="153"/>
        <v>0</v>
      </c>
    </row>
    <row r="294" spans="1:72">
      <c r="A294" s="6"/>
      <c r="B294" s="31"/>
      <c r="C294" s="31"/>
      <c r="D294" s="1509" t="s">
        <v>3569</v>
      </c>
      <c r="E294" s="32" t="e">
        <f t="shared" si="125"/>
        <v>#REF!</v>
      </c>
      <c r="F294" s="33"/>
      <c r="G294" s="34">
        <f t="shared" si="126"/>
        <v>0</v>
      </c>
      <c r="H294" s="35">
        <f t="shared" si="127"/>
        <v>0</v>
      </c>
      <c r="I294" s="1510">
        <f>铂郡面积表!E242</f>
        <v>0</v>
      </c>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3"/>
      <c r="AU294" s="1512"/>
      <c r="AV294" s="529">
        <f t="shared" si="129"/>
        <v>0</v>
      </c>
      <c r="AW294" s="529">
        <f t="shared" si="130"/>
        <v>0</v>
      </c>
      <c r="AX294" s="529">
        <f t="shared" si="131"/>
        <v>0</v>
      </c>
      <c r="AY294" s="38" t="e">
        <f t="shared" si="132"/>
        <v>#REF!</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39">
        <f t="shared" si="153"/>
        <v>0</v>
      </c>
    </row>
    <row r="295" spans="1:72">
      <c r="A295" s="6"/>
      <c r="B295" s="31"/>
      <c r="C295" s="31"/>
      <c r="D295" s="1509" t="s">
        <v>3569</v>
      </c>
      <c r="E295" s="32" t="e">
        <f t="shared" si="125"/>
        <v>#REF!</v>
      </c>
      <c r="F295" s="33"/>
      <c r="G295" s="34">
        <f t="shared" si="126"/>
        <v>0</v>
      </c>
      <c r="H295" s="35">
        <f t="shared" si="127"/>
        <v>0</v>
      </c>
      <c r="I295" s="1510">
        <f>铂郡面积表!E243</f>
        <v>0</v>
      </c>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3"/>
      <c r="AU295" s="1512"/>
      <c r="AV295" s="529">
        <f t="shared" si="129"/>
        <v>0</v>
      </c>
      <c r="AW295" s="529">
        <f t="shared" si="130"/>
        <v>0</v>
      </c>
      <c r="AX295" s="529">
        <f t="shared" si="131"/>
        <v>0</v>
      </c>
      <c r="AY295" s="38" t="e">
        <f t="shared" si="132"/>
        <v>#REF!</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39">
        <f t="shared" si="153"/>
        <v>0</v>
      </c>
    </row>
    <row r="296" spans="1:72">
      <c r="A296" s="6"/>
      <c r="B296" s="31"/>
      <c r="C296" s="31"/>
      <c r="D296" s="1509" t="s">
        <v>3569</v>
      </c>
      <c r="E296" s="32" t="e">
        <f t="shared" si="125"/>
        <v>#REF!</v>
      </c>
      <c r="F296" s="33"/>
      <c r="G296" s="34">
        <f t="shared" si="126"/>
        <v>0</v>
      </c>
      <c r="H296" s="35">
        <f t="shared" si="127"/>
        <v>0</v>
      </c>
      <c r="I296" s="1510">
        <f>铂郡面积表!E244</f>
        <v>0</v>
      </c>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3"/>
      <c r="AU296" s="1512"/>
      <c r="AV296" s="529">
        <f t="shared" si="129"/>
        <v>0</v>
      </c>
      <c r="AW296" s="529">
        <f t="shared" si="130"/>
        <v>0</v>
      </c>
      <c r="AX296" s="529">
        <f t="shared" si="131"/>
        <v>0</v>
      </c>
      <c r="AY296" s="38" t="e">
        <f t="shared" si="132"/>
        <v>#REF!</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39">
        <f t="shared" si="153"/>
        <v>0</v>
      </c>
    </row>
    <row r="297" spans="1:72">
      <c r="A297" s="6"/>
      <c r="B297" s="31"/>
      <c r="C297" s="31"/>
      <c r="D297" s="1509" t="s">
        <v>3569</v>
      </c>
      <c r="E297" s="32" t="e">
        <f t="shared" si="125"/>
        <v>#REF!</v>
      </c>
      <c r="F297" s="33"/>
      <c r="G297" s="34">
        <f t="shared" si="126"/>
        <v>0</v>
      </c>
      <c r="H297" s="35">
        <f t="shared" si="127"/>
        <v>0</v>
      </c>
      <c r="I297" s="1510">
        <f>铂郡面积表!E245</f>
        <v>0</v>
      </c>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3"/>
      <c r="AU297" s="1512"/>
      <c r="AV297" s="529">
        <f t="shared" si="129"/>
        <v>0</v>
      </c>
      <c r="AW297" s="529">
        <f t="shared" si="130"/>
        <v>0</v>
      </c>
      <c r="AX297" s="529">
        <f t="shared" si="131"/>
        <v>0</v>
      </c>
      <c r="AY297" s="38" t="e">
        <f t="shared" si="132"/>
        <v>#REF!</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39">
        <f t="shared" si="153"/>
        <v>0</v>
      </c>
    </row>
    <row r="298" spans="1:72">
      <c r="A298" s="6"/>
      <c r="B298" s="31"/>
      <c r="C298" s="31"/>
      <c r="D298" s="1509" t="s">
        <v>3569</v>
      </c>
      <c r="E298" s="32" t="e">
        <f t="shared" si="125"/>
        <v>#REF!</v>
      </c>
      <c r="F298" s="33"/>
      <c r="G298" s="34">
        <f t="shared" si="126"/>
        <v>0</v>
      </c>
      <c r="H298" s="35">
        <f t="shared" si="127"/>
        <v>0</v>
      </c>
      <c r="I298" s="1510">
        <f>铂郡面积表!E246</f>
        <v>0</v>
      </c>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3"/>
      <c r="AU298" s="1512"/>
      <c r="AV298" s="529">
        <f t="shared" si="129"/>
        <v>0</v>
      </c>
      <c r="AW298" s="529">
        <f t="shared" si="130"/>
        <v>0</v>
      </c>
      <c r="AX298" s="529">
        <f t="shared" si="131"/>
        <v>0</v>
      </c>
      <c r="AY298" s="38" t="e">
        <f t="shared" si="132"/>
        <v>#REF!</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39">
        <f t="shared" si="153"/>
        <v>0</v>
      </c>
    </row>
    <row r="299" spans="1:72">
      <c r="A299" s="6"/>
      <c r="B299" s="31"/>
      <c r="C299" s="31"/>
      <c r="D299" s="1509" t="s">
        <v>3569</v>
      </c>
      <c r="E299" s="32" t="e">
        <f t="shared" si="125"/>
        <v>#REF!</v>
      </c>
      <c r="F299" s="33"/>
      <c r="G299" s="34">
        <f t="shared" si="126"/>
        <v>0</v>
      </c>
      <c r="H299" s="35">
        <f t="shared" si="127"/>
        <v>0</v>
      </c>
      <c r="I299" s="1510">
        <f>铂郡面积表!E247</f>
        <v>0</v>
      </c>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3"/>
      <c r="AU299" s="1512"/>
      <c r="AV299" s="529">
        <f t="shared" si="129"/>
        <v>0</v>
      </c>
      <c r="AW299" s="529">
        <f t="shared" si="130"/>
        <v>0</v>
      </c>
      <c r="AX299" s="529">
        <f t="shared" si="131"/>
        <v>0</v>
      </c>
      <c r="AY299" s="38" t="e">
        <f t="shared" si="132"/>
        <v>#REF!</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39">
        <f t="shared" si="153"/>
        <v>0</v>
      </c>
    </row>
    <row r="300" spans="1:72">
      <c r="A300" s="6"/>
      <c r="B300" s="6"/>
      <c r="C300" s="6"/>
      <c r="D300" s="1509" t="s">
        <v>3569</v>
      </c>
      <c r="E300" s="32" t="e">
        <f t="shared" si="125"/>
        <v>#REF!</v>
      </c>
      <c r="F300" s="37"/>
      <c r="G300" s="34">
        <f t="shared" ref="G300:G331" si="154">H300+AC300+AT300</f>
        <v>0</v>
      </c>
      <c r="H300" s="35">
        <f t="shared" ref="H300:H331" si="155">SUMIF(I$12:AB$12,"总值",I300:AB300)</f>
        <v>0</v>
      </c>
      <c r="I300" s="1510">
        <f>铂郡面积表!E248</f>
        <v>0</v>
      </c>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9">
        <f t="shared" si="129"/>
        <v>0</v>
      </c>
      <c r="AW300" s="529">
        <f t="shared" si="130"/>
        <v>0</v>
      </c>
      <c r="AX300" s="529">
        <f t="shared" si="131"/>
        <v>0</v>
      </c>
      <c r="AY300" s="38" t="e">
        <f t="shared" ref="AY300:AY331" si="157">ROUND($AY$6*AZ300/$AZ$5,2)</f>
        <v>#REF!</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39">
        <f t="shared" ref="BT300:BT331" si="178">IF($D300="是",AR300-AS300,0)</f>
        <v>0</v>
      </c>
    </row>
    <row r="301" spans="1:72">
      <c r="A301" s="6"/>
      <c r="B301" s="6"/>
      <c r="C301" s="6"/>
      <c r="D301" s="1509" t="s">
        <v>3569</v>
      </c>
      <c r="E301" s="32" t="e">
        <f t="shared" si="125"/>
        <v>#REF!</v>
      </c>
      <c r="F301" s="37"/>
      <c r="G301" s="34">
        <f t="shared" si="154"/>
        <v>0</v>
      </c>
      <c r="H301" s="35">
        <f t="shared" si="155"/>
        <v>0</v>
      </c>
      <c r="I301" s="1510">
        <f>铂郡面积表!E249</f>
        <v>0</v>
      </c>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062"/>
      <c r="AV301" s="529">
        <f t="shared" si="129"/>
        <v>0</v>
      </c>
      <c r="AW301" s="529">
        <f t="shared" si="130"/>
        <v>0</v>
      </c>
      <c r="AX301" s="529">
        <f t="shared" si="131"/>
        <v>0</v>
      </c>
      <c r="AY301" s="38" t="e">
        <f t="shared" si="157"/>
        <v>#REF!</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39">
        <f t="shared" si="178"/>
        <v>0</v>
      </c>
    </row>
    <row r="302" spans="1:72">
      <c r="A302" s="6"/>
      <c r="B302" s="6"/>
      <c r="C302" s="6"/>
      <c r="D302" s="1509" t="s">
        <v>3569</v>
      </c>
      <c r="E302" s="32" t="e">
        <f t="shared" si="125"/>
        <v>#REF!</v>
      </c>
      <c r="F302" s="37"/>
      <c r="G302" s="34">
        <f t="shared" si="154"/>
        <v>0</v>
      </c>
      <c r="H302" s="35">
        <f t="shared" si="155"/>
        <v>0</v>
      </c>
      <c r="I302" s="1510">
        <f>铂郡面积表!E250</f>
        <v>0</v>
      </c>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062"/>
      <c r="AV302" s="529">
        <f t="shared" si="129"/>
        <v>0</v>
      </c>
      <c r="AW302" s="529">
        <f t="shared" si="130"/>
        <v>0</v>
      </c>
      <c r="AX302" s="529">
        <f t="shared" si="131"/>
        <v>0</v>
      </c>
      <c r="AY302" s="38" t="e">
        <f t="shared" si="157"/>
        <v>#REF!</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39">
        <f t="shared" si="178"/>
        <v>0</v>
      </c>
    </row>
    <row r="303" spans="1:72">
      <c r="A303" s="6"/>
      <c r="B303" s="31"/>
      <c r="C303" s="31"/>
      <c r="D303" s="1509" t="s">
        <v>3569</v>
      </c>
      <c r="E303" s="32" t="e">
        <f t="shared" ref="E303:E334" si="179">IF($C$3="是",ROUND($A$3*G303/$B$3,2),ROUND($A$3*(G303-AT303)/$B$3,2))</f>
        <v>#REF!</v>
      </c>
      <c r="F303" s="33"/>
      <c r="G303" s="34">
        <f t="shared" si="154"/>
        <v>0</v>
      </c>
      <c r="H303" s="35">
        <f t="shared" si="155"/>
        <v>0</v>
      </c>
      <c r="I303" s="1510">
        <f>铂郡面积表!E251</f>
        <v>0</v>
      </c>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3"/>
      <c r="AU303" s="1512"/>
      <c r="AV303" s="529">
        <f t="shared" ref="AV303:AV334" si="180">A303</f>
        <v>0</v>
      </c>
      <c r="AW303" s="529">
        <f t="shared" ref="AW303:AW334" si="181">B303</f>
        <v>0</v>
      </c>
      <c r="AX303" s="529">
        <f t="shared" ref="AX303:AX334" si="182">C303</f>
        <v>0</v>
      </c>
      <c r="AY303" s="38" t="e">
        <f t="shared" si="157"/>
        <v>#REF!</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39">
        <f t="shared" si="178"/>
        <v>0</v>
      </c>
    </row>
    <row r="304" spans="1:72">
      <c r="A304" s="6"/>
      <c r="B304" s="31"/>
      <c r="C304" s="31"/>
      <c r="D304" s="1509" t="s">
        <v>3569</v>
      </c>
      <c r="E304" s="32" t="e">
        <f t="shared" si="179"/>
        <v>#REF!</v>
      </c>
      <c r="F304" s="33"/>
      <c r="G304" s="34">
        <f t="shared" si="154"/>
        <v>0</v>
      </c>
      <c r="H304" s="35">
        <f t="shared" si="155"/>
        <v>0</v>
      </c>
      <c r="I304" s="1510">
        <f>铂郡面积表!E252</f>
        <v>0</v>
      </c>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3"/>
      <c r="AU304" s="1512"/>
      <c r="AV304" s="529">
        <f t="shared" si="180"/>
        <v>0</v>
      </c>
      <c r="AW304" s="529">
        <f t="shared" si="181"/>
        <v>0</v>
      </c>
      <c r="AX304" s="529">
        <f t="shared" si="182"/>
        <v>0</v>
      </c>
      <c r="AY304" s="38" t="e">
        <f t="shared" si="157"/>
        <v>#REF!</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39">
        <f t="shared" si="178"/>
        <v>0</v>
      </c>
    </row>
    <row r="305" spans="1:72">
      <c r="A305" s="6"/>
      <c r="B305" s="31"/>
      <c r="C305" s="31"/>
      <c r="D305" s="1509" t="s">
        <v>3569</v>
      </c>
      <c r="E305" s="32" t="e">
        <f t="shared" si="179"/>
        <v>#REF!</v>
      </c>
      <c r="F305" s="33"/>
      <c r="G305" s="34">
        <f t="shared" si="154"/>
        <v>0</v>
      </c>
      <c r="H305" s="35">
        <f t="shared" si="155"/>
        <v>0</v>
      </c>
      <c r="I305" s="1510">
        <f>铂郡面积表!E253</f>
        <v>0</v>
      </c>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3"/>
      <c r="AU305" s="1512"/>
      <c r="AV305" s="529">
        <f t="shared" si="180"/>
        <v>0</v>
      </c>
      <c r="AW305" s="529">
        <f t="shared" si="181"/>
        <v>0</v>
      </c>
      <c r="AX305" s="529">
        <f t="shared" si="182"/>
        <v>0</v>
      </c>
      <c r="AY305" s="38" t="e">
        <f t="shared" si="157"/>
        <v>#REF!</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39">
        <f t="shared" si="178"/>
        <v>0</v>
      </c>
    </row>
    <row r="306" spans="1:72">
      <c r="A306" s="6"/>
      <c r="B306" s="31"/>
      <c r="C306" s="31"/>
      <c r="D306" s="1509" t="s">
        <v>3569</v>
      </c>
      <c r="E306" s="32" t="e">
        <f t="shared" si="179"/>
        <v>#REF!</v>
      </c>
      <c r="F306" s="33"/>
      <c r="G306" s="34">
        <f t="shared" si="154"/>
        <v>0</v>
      </c>
      <c r="H306" s="35">
        <f t="shared" si="155"/>
        <v>0</v>
      </c>
      <c r="I306" s="1510">
        <f>铂郡面积表!E254</f>
        <v>0</v>
      </c>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3"/>
      <c r="AU306" s="1512"/>
      <c r="AV306" s="529">
        <f t="shared" si="180"/>
        <v>0</v>
      </c>
      <c r="AW306" s="529">
        <f t="shared" si="181"/>
        <v>0</v>
      </c>
      <c r="AX306" s="529">
        <f t="shared" si="182"/>
        <v>0</v>
      </c>
      <c r="AY306" s="38" t="e">
        <f t="shared" si="157"/>
        <v>#REF!</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39">
        <f t="shared" si="178"/>
        <v>0</v>
      </c>
    </row>
    <row r="307" spans="1:72">
      <c r="A307" s="6"/>
      <c r="B307" s="31"/>
      <c r="C307" s="31"/>
      <c r="D307" s="1509" t="s">
        <v>3569</v>
      </c>
      <c r="E307" s="32" t="e">
        <f t="shared" si="179"/>
        <v>#REF!</v>
      </c>
      <c r="F307" s="33"/>
      <c r="G307" s="34">
        <f t="shared" si="154"/>
        <v>0</v>
      </c>
      <c r="H307" s="35">
        <f t="shared" si="155"/>
        <v>0</v>
      </c>
      <c r="I307" s="1510">
        <f>铂郡面积表!E255</f>
        <v>0</v>
      </c>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3"/>
      <c r="AU307" s="1512"/>
      <c r="AV307" s="529">
        <f t="shared" si="180"/>
        <v>0</v>
      </c>
      <c r="AW307" s="529">
        <f t="shared" si="181"/>
        <v>0</v>
      </c>
      <c r="AX307" s="529">
        <f t="shared" si="182"/>
        <v>0</v>
      </c>
      <c r="AY307" s="38" t="e">
        <f t="shared" si="157"/>
        <v>#REF!</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39">
        <f t="shared" si="178"/>
        <v>0</v>
      </c>
    </row>
    <row r="308" spans="1:72">
      <c r="A308" s="6"/>
      <c r="B308" s="31"/>
      <c r="C308" s="31"/>
      <c r="D308" s="1509" t="s">
        <v>3569</v>
      </c>
      <c r="E308" s="32" t="e">
        <f t="shared" si="179"/>
        <v>#REF!</v>
      </c>
      <c r="F308" s="33"/>
      <c r="G308" s="34">
        <f t="shared" si="154"/>
        <v>0</v>
      </c>
      <c r="H308" s="35">
        <f t="shared" si="155"/>
        <v>0</v>
      </c>
      <c r="I308" s="1510">
        <f>铂郡面积表!E256</f>
        <v>0</v>
      </c>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3"/>
      <c r="AU308" s="1512"/>
      <c r="AV308" s="529">
        <f t="shared" si="180"/>
        <v>0</v>
      </c>
      <c r="AW308" s="529">
        <f t="shared" si="181"/>
        <v>0</v>
      </c>
      <c r="AX308" s="529">
        <f t="shared" si="182"/>
        <v>0</v>
      </c>
      <c r="AY308" s="38" t="e">
        <f t="shared" si="157"/>
        <v>#REF!</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39">
        <f t="shared" si="178"/>
        <v>0</v>
      </c>
    </row>
    <row r="309" spans="1:72">
      <c r="A309" s="6"/>
      <c r="B309" s="31"/>
      <c r="C309" s="31"/>
      <c r="D309" s="1509" t="s">
        <v>3569</v>
      </c>
      <c r="E309" s="32" t="e">
        <f t="shared" si="179"/>
        <v>#REF!</v>
      </c>
      <c r="F309" s="33"/>
      <c r="G309" s="34">
        <f t="shared" si="154"/>
        <v>0</v>
      </c>
      <c r="H309" s="35">
        <f t="shared" si="155"/>
        <v>0</v>
      </c>
      <c r="I309" s="1510">
        <f>铂郡面积表!E257</f>
        <v>0</v>
      </c>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3"/>
      <c r="AU309" s="1512"/>
      <c r="AV309" s="529">
        <f t="shared" si="180"/>
        <v>0</v>
      </c>
      <c r="AW309" s="529">
        <f t="shared" si="181"/>
        <v>0</v>
      </c>
      <c r="AX309" s="529">
        <f t="shared" si="182"/>
        <v>0</v>
      </c>
      <c r="AY309" s="38" t="e">
        <f t="shared" si="157"/>
        <v>#REF!</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39">
        <f t="shared" si="178"/>
        <v>0</v>
      </c>
    </row>
    <row r="310" spans="1:72">
      <c r="A310" s="6"/>
      <c r="B310" s="31"/>
      <c r="C310" s="31"/>
      <c r="D310" s="1509" t="s">
        <v>3569</v>
      </c>
      <c r="E310" s="32" t="e">
        <f t="shared" si="179"/>
        <v>#REF!</v>
      </c>
      <c r="F310" s="33"/>
      <c r="G310" s="34">
        <f t="shared" si="154"/>
        <v>0</v>
      </c>
      <c r="H310" s="35">
        <f t="shared" si="155"/>
        <v>0</v>
      </c>
      <c r="I310" s="1510">
        <f>铂郡面积表!E258</f>
        <v>0</v>
      </c>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3"/>
      <c r="AU310" s="1512"/>
      <c r="AV310" s="529">
        <f t="shared" si="180"/>
        <v>0</v>
      </c>
      <c r="AW310" s="529">
        <f t="shared" si="181"/>
        <v>0</v>
      </c>
      <c r="AX310" s="529">
        <f t="shared" si="182"/>
        <v>0</v>
      </c>
      <c r="AY310" s="38" t="e">
        <f t="shared" si="157"/>
        <v>#REF!</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39">
        <f t="shared" si="178"/>
        <v>0</v>
      </c>
    </row>
    <row r="311" spans="1:72">
      <c r="A311" s="6"/>
      <c r="B311" s="31"/>
      <c r="C311" s="31"/>
      <c r="D311" s="1509" t="s">
        <v>3569</v>
      </c>
      <c r="E311" s="32" t="e">
        <f t="shared" si="179"/>
        <v>#REF!</v>
      </c>
      <c r="F311" s="33"/>
      <c r="G311" s="34">
        <f t="shared" si="154"/>
        <v>0</v>
      </c>
      <c r="H311" s="35">
        <f t="shared" si="155"/>
        <v>0</v>
      </c>
      <c r="I311" s="1510">
        <f>铂郡面积表!E259</f>
        <v>0</v>
      </c>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3"/>
      <c r="AU311" s="1512"/>
      <c r="AV311" s="529">
        <f t="shared" si="180"/>
        <v>0</v>
      </c>
      <c r="AW311" s="529">
        <f t="shared" si="181"/>
        <v>0</v>
      </c>
      <c r="AX311" s="529">
        <f t="shared" si="182"/>
        <v>0</v>
      </c>
      <c r="AY311" s="38" t="e">
        <f t="shared" si="157"/>
        <v>#REF!</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39">
        <f t="shared" si="178"/>
        <v>0</v>
      </c>
    </row>
    <row r="312" spans="1:72">
      <c r="A312" s="6"/>
      <c r="B312" s="31"/>
      <c r="C312" s="31"/>
      <c r="D312" s="1509" t="s">
        <v>3569</v>
      </c>
      <c r="E312" s="32" t="e">
        <f t="shared" si="179"/>
        <v>#REF!</v>
      </c>
      <c r="F312" s="33"/>
      <c r="G312" s="34">
        <f t="shared" si="154"/>
        <v>0</v>
      </c>
      <c r="H312" s="35">
        <f t="shared" si="155"/>
        <v>0</v>
      </c>
      <c r="I312" s="1510">
        <f>铂郡面积表!E260</f>
        <v>0</v>
      </c>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3"/>
      <c r="AU312" s="1512"/>
      <c r="AV312" s="529">
        <f t="shared" si="180"/>
        <v>0</v>
      </c>
      <c r="AW312" s="529">
        <f t="shared" si="181"/>
        <v>0</v>
      </c>
      <c r="AX312" s="529">
        <f t="shared" si="182"/>
        <v>0</v>
      </c>
      <c r="AY312" s="38" t="e">
        <f t="shared" si="157"/>
        <v>#REF!</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39">
        <f t="shared" si="178"/>
        <v>0</v>
      </c>
    </row>
    <row r="313" spans="1:72">
      <c r="A313" s="6"/>
      <c r="B313" s="31"/>
      <c r="C313" s="31"/>
      <c r="D313" s="1509" t="s">
        <v>3569</v>
      </c>
      <c r="E313" s="32" t="e">
        <f t="shared" si="179"/>
        <v>#REF!</v>
      </c>
      <c r="F313" s="33"/>
      <c r="G313" s="34">
        <f t="shared" si="154"/>
        <v>0</v>
      </c>
      <c r="H313" s="35">
        <f t="shared" si="155"/>
        <v>0</v>
      </c>
      <c r="I313" s="1510">
        <f>铂郡面积表!E261</f>
        <v>0</v>
      </c>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3"/>
      <c r="AU313" s="1512"/>
      <c r="AV313" s="529">
        <f t="shared" si="180"/>
        <v>0</v>
      </c>
      <c r="AW313" s="529">
        <f t="shared" si="181"/>
        <v>0</v>
      </c>
      <c r="AX313" s="529">
        <f t="shared" si="182"/>
        <v>0</v>
      </c>
      <c r="AY313" s="38" t="e">
        <f t="shared" si="157"/>
        <v>#REF!</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39">
        <f t="shared" si="178"/>
        <v>0</v>
      </c>
    </row>
    <row r="314" spans="1:72">
      <c r="A314" s="6"/>
      <c r="B314" s="31"/>
      <c r="C314" s="31"/>
      <c r="D314" s="1509" t="s">
        <v>3569</v>
      </c>
      <c r="E314" s="32" t="e">
        <f t="shared" si="179"/>
        <v>#REF!</v>
      </c>
      <c r="F314" s="33"/>
      <c r="G314" s="34">
        <f t="shared" si="154"/>
        <v>0</v>
      </c>
      <c r="H314" s="35">
        <f t="shared" si="155"/>
        <v>0</v>
      </c>
      <c r="I314" s="1510">
        <f>铂郡面积表!E262</f>
        <v>0</v>
      </c>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3"/>
      <c r="AU314" s="1512"/>
      <c r="AV314" s="529">
        <f t="shared" si="180"/>
        <v>0</v>
      </c>
      <c r="AW314" s="529">
        <f t="shared" si="181"/>
        <v>0</v>
      </c>
      <c r="AX314" s="529">
        <f t="shared" si="182"/>
        <v>0</v>
      </c>
      <c r="AY314" s="38" t="e">
        <f t="shared" si="157"/>
        <v>#REF!</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39">
        <f t="shared" si="178"/>
        <v>0</v>
      </c>
    </row>
    <row r="315" spans="1:72">
      <c r="A315" s="6"/>
      <c r="B315" s="31"/>
      <c r="C315" s="31"/>
      <c r="D315" s="1509" t="s">
        <v>3569</v>
      </c>
      <c r="E315" s="32" t="e">
        <f t="shared" si="179"/>
        <v>#REF!</v>
      </c>
      <c r="F315" s="33"/>
      <c r="G315" s="34">
        <f t="shared" si="154"/>
        <v>0</v>
      </c>
      <c r="H315" s="35">
        <f t="shared" si="155"/>
        <v>0</v>
      </c>
      <c r="I315" s="1510">
        <f>铂郡面积表!E263</f>
        <v>0</v>
      </c>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3"/>
      <c r="AU315" s="1512"/>
      <c r="AV315" s="529">
        <f t="shared" si="180"/>
        <v>0</v>
      </c>
      <c r="AW315" s="529">
        <f t="shared" si="181"/>
        <v>0</v>
      </c>
      <c r="AX315" s="529">
        <f t="shared" si="182"/>
        <v>0</v>
      </c>
      <c r="AY315" s="38" t="e">
        <f t="shared" si="157"/>
        <v>#REF!</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39">
        <f t="shared" si="178"/>
        <v>0</v>
      </c>
    </row>
    <row r="316" spans="1:72">
      <c r="A316" s="6"/>
      <c r="B316" s="31"/>
      <c r="C316" s="31"/>
      <c r="D316" s="1509" t="s">
        <v>3569</v>
      </c>
      <c r="E316" s="32" t="e">
        <f t="shared" si="179"/>
        <v>#REF!</v>
      </c>
      <c r="F316" s="33"/>
      <c r="G316" s="34">
        <f t="shared" si="154"/>
        <v>0</v>
      </c>
      <c r="H316" s="35">
        <f t="shared" si="155"/>
        <v>0</v>
      </c>
      <c r="I316" s="1510">
        <f>铂郡面积表!E264</f>
        <v>0</v>
      </c>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3"/>
      <c r="AU316" s="1512"/>
      <c r="AV316" s="529">
        <f t="shared" si="180"/>
        <v>0</v>
      </c>
      <c r="AW316" s="529">
        <f t="shared" si="181"/>
        <v>0</v>
      </c>
      <c r="AX316" s="529">
        <f t="shared" si="182"/>
        <v>0</v>
      </c>
      <c r="AY316" s="38" t="e">
        <f t="shared" si="157"/>
        <v>#REF!</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39">
        <f t="shared" si="178"/>
        <v>0</v>
      </c>
    </row>
    <row r="317" spans="1:72">
      <c r="A317" s="6"/>
      <c r="B317" s="31"/>
      <c r="C317" s="31"/>
      <c r="D317" s="1509" t="s">
        <v>3569</v>
      </c>
      <c r="E317" s="32" t="e">
        <f t="shared" si="179"/>
        <v>#REF!</v>
      </c>
      <c r="F317" s="33"/>
      <c r="G317" s="34">
        <f t="shared" si="154"/>
        <v>0</v>
      </c>
      <c r="H317" s="35">
        <f t="shared" si="155"/>
        <v>0</v>
      </c>
      <c r="I317" s="1510">
        <f>铂郡面积表!E265</f>
        <v>0</v>
      </c>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3"/>
      <c r="AU317" s="1512"/>
      <c r="AV317" s="529">
        <f t="shared" si="180"/>
        <v>0</v>
      </c>
      <c r="AW317" s="529">
        <f t="shared" si="181"/>
        <v>0</v>
      </c>
      <c r="AX317" s="529">
        <f t="shared" si="182"/>
        <v>0</v>
      </c>
      <c r="AY317" s="38" t="e">
        <f t="shared" si="157"/>
        <v>#REF!</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39">
        <f t="shared" si="178"/>
        <v>0</v>
      </c>
    </row>
    <row r="318" spans="1:72">
      <c r="A318" s="6"/>
      <c r="B318" s="31"/>
      <c r="C318" s="31"/>
      <c r="D318" s="1509" t="s">
        <v>3569</v>
      </c>
      <c r="E318" s="32" t="e">
        <f t="shared" si="179"/>
        <v>#REF!</v>
      </c>
      <c r="F318" s="33"/>
      <c r="G318" s="34">
        <f t="shared" si="154"/>
        <v>0</v>
      </c>
      <c r="H318" s="35">
        <f t="shared" si="155"/>
        <v>0</v>
      </c>
      <c r="I318" s="1510">
        <f>铂郡面积表!E266</f>
        <v>0</v>
      </c>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3"/>
      <c r="AU318" s="1512"/>
      <c r="AV318" s="529">
        <f t="shared" si="180"/>
        <v>0</v>
      </c>
      <c r="AW318" s="529">
        <f t="shared" si="181"/>
        <v>0</v>
      </c>
      <c r="AX318" s="529">
        <f t="shared" si="182"/>
        <v>0</v>
      </c>
      <c r="AY318" s="38" t="e">
        <f t="shared" si="157"/>
        <v>#REF!</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39">
        <f t="shared" si="178"/>
        <v>0</v>
      </c>
    </row>
    <row r="319" spans="1:72">
      <c r="A319" s="6"/>
      <c r="B319" s="31"/>
      <c r="C319" s="31"/>
      <c r="D319" s="1509" t="s">
        <v>3569</v>
      </c>
      <c r="E319" s="32" t="e">
        <f t="shared" si="179"/>
        <v>#REF!</v>
      </c>
      <c r="F319" s="33"/>
      <c r="G319" s="34">
        <f t="shared" si="154"/>
        <v>0</v>
      </c>
      <c r="H319" s="35">
        <f t="shared" si="155"/>
        <v>0</v>
      </c>
      <c r="I319" s="1510">
        <f>铂郡面积表!E267</f>
        <v>0</v>
      </c>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3"/>
      <c r="AU319" s="1512"/>
      <c r="AV319" s="529">
        <f t="shared" si="180"/>
        <v>0</v>
      </c>
      <c r="AW319" s="529">
        <f t="shared" si="181"/>
        <v>0</v>
      </c>
      <c r="AX319" s="529">
        <f t="shared" si="182"/>
        <v>0</v>
      </c>
      <c r="AY319" s="38" t="e">
        <f t="shared" si="157"/>
        <v>#REF!</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39">
        <f t="shared" si="178"/>
        <v>0</v>
      </c>
    </row>
    <row r="320" spans="1:72">
      <c r="A320" s="6"/>
      <c r="B320" s="31"/>
      <c r="C320" s="31"/>
      <c r="D320" s="1509" t="s">
        <v>3569</v>
      </c>
      <c r="E320" s="32" t="e">
        <f t="shared" si="179"/>
        <v>#REF!</v>
      </c>
      <c r="F320" s="33"/>
      <c r="G320" s="34">
        <f t="shared" si="154"/>
        <v>0</v>
      </c>
      <c r="H320" s="35">
        <f t="shared" si="155"/>
        <v>0</v>
      </c>
      <c r="I320" s="1510">
        <f>铂郡面积表!E268</f>
        <v>0</v>
      </c>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3"/>
      <c r="AU320" s="1512"/>
      <c r="AV320" s="529">
        <f t="shared" si="180"/>
        <v>0</v>
      </c>
      <c r="AW320" s="529">
        <f t="shared" si="181"/>
        <v>0</v>
      </c>
      <c r="AX320" s="529">
        <f t="shared" si="182"/>
        <v>0</v>
      </c>
      <c r="AY320" s="38" t="e">
        <f t="shared" si="157"/>
        <v>#REF!</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39">
        <f t="shared" si="178"/>
        <v>0</v>
      </c>
    </row>
    <row r="321" spans="1:72">
      <c r="A321" s="6"/>
      <c r="B321" s="31"/>
      <c r="C321" s="31"/>
      <c r="D321" s="1509" t="s">
        <v>3569</v>
      </c>
      <c r="E321" s="32" t="e">
        <f t="shared" si="179"/>
        <v>#REF!</v>
      </c>
      <c r="F321" s="33"/>
      <c r="G321" s="34">
        <f t="shared" si="154"/>
        <v>0</v>
      </c>
      <c r="H321" s="35">
        <f t="shared" si="155"/>
        <v>0</v>
      </c>
      <c r="I321" s="1510">
        <f>铂郡面积表!E269</f>
        <v>0</v>
      </c>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3"/>
      <c r="AU321" s="1512"/>
      <c r="AV321" s="529">
        <f t="shared" si="180"/>
        <v>0</v>
      </c>
      <c r="AW321" s="529">
        <f t="shared" si="181"/>
        <v>0</v>
      </c>
      <c r="AX321" s="529">
        <f t="shared" si="182"/>
        <v>0</v>
      </c>
      <c r="AY321" s="38" t="e">
        <f t="shared" si="157"/>
        <v>#REF!</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39">
        <f t="shared" si="178"/>
        <v>0</v>
      </c>
    </row>
    <row r="322" spans="1:72">
      <c r="A322" s="6"/>
      <c r="B322" s="31"/>
      <c r="C322" s="31"/>
      <c r="D322" s="1509" t="s">
        <v>3569</v>
      </c>
      <c r="E322" s="32" t="e">
        <f t="shared" si="179"/>
        <v>#REF!</v>
      </c>
      <c r="F322" s="33"/>
      <c r="G322" s="34">
        <f t="shared" si="154"/>
        <v>0</v>
      </c>
      <c r="H322" s="35">
        <f t="shared" si="155"/>
        <v>0</v>
      </c>
      <c r="I322" s="1510">
        <f>铂郡面积表!E270</f>
        <v>0</v>
      </c>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3"/>
      <c r="AU322" s="1512"/>
      <c r="AV322" s="529">
        <f t="shared" si="180"/>
        <v>0</v>
      </c>
      <c r="AW322" s="529">
        <f t="shared" si="181"/>
        <v>0</v>
      </c>
      <c r="AX322" s="529">
        <f t="shared" si="182"/>
        <v>0</v>
      </c>
      <c r="AY322" s="38" t="e">
        <f t="shared" si="157"/>
        <v>#REF!</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39">
        <f t="shared" si="178"/>
        <v>0</v>
      </c>
    </row>
    <row r="323" spans="1:72">
      <c r="A323" s="6"/>
      <c r="B323" s="31"/>
      <c r="C323" s="31"/>
      <c r="D323" s="1509" t="s">
        <v>3569</v>
      </c>
      <c r="E323" s="32" t="e">
        <f t="shared" si="179"/>
        <v>#REF!</v>
      </c>
      <c r="F323" s="33"/>
      <c r="G323" s="34">
        <f t="shared" si="154"/>
        <v>0</v>
      </c>
      <c r="H323" s="35">
        <f t="shared" si="155"/>
        <v>0</v>
      </c>
      <c r="I323" s="1510">
        <f>铂郡面积表!E271</f>
        <v>0</v>
      </c>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3"/>
      <c r="AU323" s="1512"/>
      <c r="AV323" s="529">
        <f t="shared" si="180"/>
        <v>0</v>
      </c>
      <c r="AW323" s="529">
        <f t="shared" si="181"/>
        <v>0</v>
      </c>
      <c r="AX323" s="529">
        <f t="shared" si="182"/>
        <v>0</v>
      </c>
      <c r="AY323" s="38" t="e">
        <f t="shared" si="157"/>
        <v>#REF!</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39">
        <f t="shared" si="178"/>
        <v>0</v>
      </c>
    </row>
    <row r="324" spans="1:72">
      <c r="A324" s="6"/>
      <c r="B324" s="31"/>
      <c r="C324" s="31"/>
      <c r="D324" s="1509" t="s">
        <v>3569</v>
      </c>
      <c r="E324" s="32" t="e">
        <f t="shared" si="179"/>
        <v>#REF!</v>
      </c>
      <c r="F324" s="33"/>
      <c r="G324" s="34">
        <f t="shared" si="154"/>
        <v>0</v>
      </c>
      <c r="H324" s="35">
        <f t="shared" si="155"/>
        <v>0</v>
      </c>
      <c r="I324" s="1510">
        <f>铂郡面积表!E272</f>
        <v>0</v>
      </c>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3"/>
      <c r="AU324" s="1512"/>
      <c r="AV324" s="529">
        <f t="shared" si="180"/>
        <v>0</v>
      </c>
      <c r="AW324" s="529">
        <f t="shared" si="181"/>
        <v>0</v>
      </c>
      <c r="AX324" s="529">
        <f t="shared" si="182"/>
        <v>0</v>
      </c>
      <c r="AY324" s="38" t="e">
        <f t="shared" si="157"/>
        <v>#REF!</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39">
        <f t="shared" si="178"/>
        <v>0</v>
      </c>
    </row>
    <row r="325" spans="1:72">
      <c r="A325" s="6"/>
      <c r="B325" s="31"/>
      <c r="C325" s="31"/>
      <c r="D325" s="1509" t="s">
        <v>3569</v>
      </c>
      <c r="E325" s="32" t="e">
        <f t="shared" si="179"/>
        <v>#REF!</v>
      </c>
      <c r="F325" s="33"/>
      <c r="G325" s="34">
        <f t="shared" si="154"/>
        <v>0</v>
      </c>
      <c r="H325" s="35">
        <f t="shared" si="155"/>
        <v>0</v>
      </c>
      <c r="I325" s="1510">
        <f>铂郡面积表!E273</f>
        <v>0</v>
      </c>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3"/>
      <c r="AU325" s="1512"/>
      <c r="AV325" s="529">
        <f t="shared" si="180"/>
        <v>0</v>
      </c>
      <c r="AW325" s="529">
        <f t="shared" si="181"/>
        <v>0</v>
      </c>
      <c r="AX325" s="529">
        <f t="shared" si="182"/>
        <v>0</v>
      </c>
      <c r="AY325" s="38" t="e">
        <f t="shared" si="157"/>
        <v>#REF!</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39">
        <f t="shared" si="178"/>
        <v>0</v>
      </c>
    </row>
    <row r="326" spans="1:72">
      <c r="A326" s="6"/>
      <c r="B326" s="31"/>
      <c r="C326" s="31"/>
      <c r="D326" s="1509" t="s">
        <v>3569</v>
      </c>
      <c r="E326" s="32" t="e">
        <f t="shared" si="179"/>
        <v>#REF!</v>
      </c>
      <c r="F326" s="33"/>
      <c r="G326" s="34">
        <f t="shared" si="154"/>
        <v>0</v>
      </c>
      <c r="H326" s="35">
        <f t="shared" si="155"/>
        <v>0</v>
      </c>
      <c r="I326" s="1510">
        <f>铂郡面积表!E274</f>
        <v>0</v>
      </c>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3"/>
      <c r="AU326" s="1512"/>
      <c r="AV326" s="529">
        <f t="shared" si="180"/>
        <v>0</v>
      </c>
      <c r="AW326" s="529">
        <f t="shared" si="181"/>
        <v>0</v>
      </c>
      <c r="AX326" s="529">
        <f t="shared" si="182"/>
        <v>0</v>
      </c>
      <c r="AY326" s="38" t="e">
        <f t="shared" si="157"/>
        <v>#REF!</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39">
        <f t="shared" si="178"/>
        <v>0</v>
      </c>
    </row>
    <row r="327" spans="1:72">
      <c r="A327" s="6"/>
      <c r="B327" s="31"/>
      <c r="C327" s="31"/>
      <c r="D327" s="1509" t="s">
        <v>3569</v>
      </c>
      <c r="E327" s="32" t="e">
        <f t="shared" si="179"/>
        <v>#REF!</v>
      </c>
      <c r="F327" s="33"/>
      <c r="G327" s="34">
        <f t="shared" si="154"/>
        <v>0</v>
      </c>
      <c r="H327" s="35">
        <f t="shared" si="155"/>
        <v>0</v>
      </c>
      <c r="I327" s="1510">
        <f>铂郡面积表!E275</f>
        <v>0</v>
      </c>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3"/>
      <c r="AU327" s="1512"/>
      <c r="AV327" s="529">
        <f t="shared" si="180"/>
        <v>0</v>
      </c>
      <c r="AW327" s="529">
        <f t="shared" si="181"/>
        <v>0</v>
      </c>
      <c r="AX327" s="529">
        <f t="shared" si="182"/>
        <v>0</v>
      </c>
      <c r="AY327" s="38" t="e">
        <f t="shared" si="157"/>
        <v>#REF!</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39">
        <f t="shared" si="178"/>
        <v>0</v>
      </c>
    </row>
    <row r="328" spans="1:72">
      <c r="A328" s="6"/>
      <c r="B328" s="31"/>
      <c r="C328" s="31"/>
      <c r="D328" s="1509" t="s">
        <v>3569</v>
      </c>
      <c r="E328" s="32" t="e">
        <f t="shared" si="179"/>
        <v>#REF!</v>
      </c>
      <c r="F328" s="33"/>
      <c r="G328" s="34">
        <f t="shared" si="154"/>
        <v>0</v>
      </c>
      <c r="H328" s="35">
        <f t="shared" si="155"/>
        <v>0</v>
      </c>
      <c r="I328" s="1510">
        <f>铂郡面积表!E276</f>
        <v>0</v>
      </c>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3"/>
      <c r="AU328" s="1512"/>
      <c r="AV328" s="529">
        <f t="shared" si="180"/>
        <v>0</v>
      </c>
      <c r="AW328" s="529">
        <f t="shared" si="181"/>
        <v>0</v>
      </c>
      <c r="AX328" s="529">
        <f t="shared" si="182"/>
        <v>0</v>
      </c>
      <c r="AY328" s="38" t="e">
        <f t="shared" si="157"/>
        <v>#REF!</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39">
        <f t="shared" si="178"/>
        <v>0</v>
      </c>
    </row>
    <row r="329" spans="1:72">
      <c r="A329" s="6"/>
      <c r="B329" s="31"/>
      <c r="C329" s="31"/>
      <c r="D329" s="1509" t="s">
        <v>3569</v>
      </c>
      <c r="E329" s="32" t="e">
        <f t="shared" si="179"/>
        <v>#REF!</v>
      </c>
      <c r="F329" s="33"/>
      <c r="G329" s="34">
        <f t="shared" si="154"/>
        <v>0</v>
      </c>
      <c r="H329" s="35">
        <f t="shared" si="155"/>
        <v>0</v>
      </c>
      <c r="I329" s="1510">
        <f>铂郡面积表!E277</f>
        <v>0</v>
      </c>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3"/>
      <c r="AU329" s="1512"/>
      <c r="AV329" s="529">
        <f t="shared" si="180"/>
        <v>0</v>
      </c>
      <c r="AW329" s="529">
        <f t="shared" si="181"/>
        <v>0</v>
      </c>
      <c r="AX329" s="529">
        <f t="shared" si="182"/>
        <v>0</v>
      </c>
      <c r="AY329" s="38" t="e">
        <f t="shared" si="157"/>
        <v>#REF!</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39">
        <f t="shared" si="178"/>
        <v>0</v>
      </c>
    </row>
    <row r="330" spans="1:72">
      <c r="A330" s="6"/>
      <c r="B330" s="31"/>
      <c r="C330" s="31"/>
      <c r="D330" s="1509" t="s">
        <v>3569</v>
      </c>
      <c r="E330" s="32" t="e">
        <f t="shared" si="179"/>
        <v>#REF!</v>
      </c>
      <c r="F330" s="33"/>
      <c r="G330" s="34">
        <f t="shared" si="154"/>
        <v>0</v>
      </c>
      <c r="H330" s="35">
        <f t="shared" si="155"/>
        <v>0</v>
      </c>
      <c r="I330" s="1510">
        <f>铂郡面积表!E278</f>
        <v>0</v>
      </c>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3"/>
      <c r="AU330" s="1512"/>
      <c r="AV330" s="529">
        <f t="shared" si="180"/>
        <v>0</v>
      </c>
      <c r="AW330" s="529">
        <f t="shared" si="181"/>
        <v>0</v>
      </c>
      <c r="AX330" s="529">
        <f t="shared" si="182"/>
        <v>0</v>
      </c>
      <c r="AY330" s="38" t="e">
        <f t="shared" si="157"/>
        <v>#REF!</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39">
        <f t="shared" si="178"/>
        <v>0</v>
      </c>
    </row>
    <row r="331" spans="1:72">
      <c r="A331" s="6"/>
      <c r="B331" s="31"/>
      <c r="C331" s="31"/>
      <c r="D331" s="1509" t="s">
        <v>3569</v>
      </c>
      <c r="E331" s="32" t="e">
        <f t="shared" si="179"/>
        <v>#REF!</v>
      </c>
      <c r="F331" s="33"/>
      <c r="G331" s="34">
        <f t="shared" si="154"/>
        <v>0</v>
      </c>
      <c r="H331" s="35">
        <f t="shared" si="155"/>
        <v>0</v>
      </c>
      <c r="I331" s="1510">
        <f>铂郡面积表!E279</f>
        <v>0</v>
      </c>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3"/>
      <c r="AU331" s="1512"/>
      <c r="AV331" s="529">
        <f t="shared" si="180"/>
        <v>0</v>
      </c>
      <c r="AW331" s="529">
        <f t="shared" si="181"/>
        <v>0</v>
      </c>
      <c r="AX331" s="529">
        <f t="shared" si="182"/>
        <v>0</v>
      </c>
      <c r="AY331" s="38" t="e">
        <f t="shared" si="157"/>
        <v>#REF!</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39">
        <f t="shared" si="178"/>
        <v>0</v>
      </c>
    </row>
    <row r="332" spans="1:72">
      <c r="A332" s="6"/>
      <c r="B332" s="31"/>
      <c r="C332" s="31"/>
      <c r="D332" s="1509" t="s">
        <v>3569</v>
      </c>
      <c r="E332" s="32" t="e">
        <f t="shared" si="179"/>
        <v>#REF!</v>
      </c>
      <c r="F332" s="33"/>
      <c r="G332" s="34">
        <f t="shared" ref="G332:G363" si="183">H332+AC332+AT332</f>
        <v>0</v>
      </c>
      <c r="H332" s="35">
        <f t="shared" ref="H332:H363" si="184">SUMIF(I$12:AB$12,"总值",I332:AB332)</f>
        <v>0</v>
      </c>
      <c r="I332" s="1510">
        <f>铂郡面积表!E280</f>
        <v>0</v>
      </c>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9">
        <f t="shared" si="180"/>
        <v>0</v>
      </c>
      <c r="AW332" s="529">
        <f t="shared" si="181"/>
        <v>0</v>
      </c>
      <c r="AX332" s="529">
        <f t="shared" si="182"/>
        <v>0</v>
      </c>
      <c r="AY332" s="38" t="e">
        <f t="shared" ref="AY332:AY363" si="186">ROUND($AY$6*AZ332/$AZ$5,2)</f>
        <v>#REF!</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39">
        <f t="shared" ref="BT332:BT363" si="207">IF($D332="是",AR332-AS332,0)</f>
        <v>0</v>
      </c>
    </row>
    <row r="333" spans="1:72">
      <c r="A333" s="6"/>
      <c r="B333" s="31"/>
      <c r="C333" s="31"/>
      <c r="D333" s="1509" t="s">
        <v>3569</v>
      </c>
      <c r="E333" s="32" t="e">
        <f t="shared" si="179"/>
        <v>#REF!</v>
      </c>
      <c r="F333" s="33"/>
      <c r="G333" s="34">
        <f t="shared" si="183"/>
        <v>0</v>
      </c>
      <c r="H333" s="35">
        <f t="shared" si="184"/>
        <v>0</v>
      </c>
      <c r="I333" s="1510">
        <f>铂郡面积表!E281</f>
        <v>0</v>
      </c>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3"/>
      <c r="AU333" s="1512"/>
      <c r="AV333" s="529">
        <f t="shared" si="180"/>
        <v>0</v>
      </c>
      <c r="AW333" s="529">
        <f t="shared" si="181"/>
        <v>0</v>
      </c>
      <c r="AX333" s="529">
        <f t="shared" si="182"/>
        <v>0</v>
      </c>
      <c r="AY333" s="38" t="e">
        <f t="shared" si="186"/>
        <v>#REF!</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39">
        <f t="shared" si="207"/>
        <v>0</v>
      </c>
    </row>
    <row r="334" spans="1:72">
      <c r="A334" s="6"/>
      <c r="B334" s="31"/>
      <c r="C334" s="31"/>
      <c r="D334" s="1509" t="s">
        <v>3569</v>
      </c>
      <c r="E334" s="32" t="e">
        <f t="shared" si="179"/>
        <v>#REF!</v>
      </c>
      <c r="F334" s="33"/>
      <c r="G334" s="34">
        <f t="shared" si="183"/>
        <v>0</v>
      </c>
      <c r="H334" s="35">
        <f t="shared" si="184"/>
        <v>0</v>
      </c>
      <c r="I334" s="1510">
        <f>铂郡面积表!E282</f>
        <v>0</v>
      </c>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3"/>
      <c r="AU334" s="1512"/>
      <c r="AV334" s="529">
        <f t="shared" si="180"/>
        <v>0</v>
      </c>
      <c r="AW334" s="529">
        <f t="shared" si="181"/>
        <v>0</v>
      </c>
      <c r="AX334" s="529">
        <f t="shared" si="182"/>
        <v>0</v>
      </c>
      <c r="AY334" s="38" t="e">
        <f t="shared" si="186"/>
        <v>#REF!</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39">
        <f t="shared" si="207"/>
        <v>0</v>
      </c>
    </row>
    <row r="335" spans="1:72">
      <c r="A335" s="6"/>
      <c r="B335" s="31"/>
      <c r="C335" s="31"/>
      <c r="D335" s="1509" t="s">
        <v>3569</v>
      </c>
      <c r="E335" s="32" t="e">
        <f t="shared" ref="E335:E366" si="208">IF($C$3="是",ROUND($A$3*G335/$B$3,2),ROUND($A$3*(G335-AT335)/$B$3,2))</f>
        <v>#REF!</v>
      </c>
      <c r="F335" s="33"/>
      <c r="G335" s="34">
        <f t="shared" si="183"/>
        <v>0</v>
      </c>
      <c r="H335" s="35">
        <f t="shared" si="184"/>
        <v>0</v>
      </c>
      <c r="I335" s="1510">
        <f>铂郡面积表!E283</f>
        <v>0</v>
      </c>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3"/>
      <c r="AU335" s="1512"/>
      <c r="AV335" s="529">
        <f t="shared" ref="AV335:AV366" si="209">A335</f>
        <v>0</v>
      </c>
      <c r="AW335" s="529">
        <f t="shared" ref="AW335:AW366" si="210">B335</f>
        <v>0</v>
      </c>
      <c r="AX335" s="529">
        <f t="shared" ref="AX335:AX366" si="211">C335</f>
        <v>0</v>
      </c>
      <c r="AY335" s="38" t="e">
        <f t="shared" si="186"/>
        <v>#REF!</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39">
        <f t="shared" si="207"/>
        <v>0</v>
      </c>
    </row>
    <row r="336" spans="1:72">
      <c r="A336" s="6"/>
      <c r="B336" s="31"/>
      <c r="C336" s="31"/>
      <c r="D336" s="1509" t="s">
        <v>3569</v>
      </c>
      <c r="E336" s="32" t="e">
        <f t="shared" si="208"/>
        <v>#REF!</v>
      </c>
      <c r="F336" s="33"/>
      <c r="G336" s="34">
        <f t="shared" si="183"/>
        <v>0</v>
      </c>
      <c r="H336" s="35">
        <f t="shared" si="184"/>
        <v>0</v>
      </c>
      <c r="I336" s="1510">
        <f>铂郡面积表!E284</f>
        <v>0</v>
      </c>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3"/>
      <c r="AU336" s="1512"/>
      <c r="AV336" s="529">
        <f t="shared" si="209"/>
        <v>0</v>
      </c>
      <c r="AW336" s="529">
        <f t="shared" si="210"/>
        <v>0</v>
      </c>
      <c r="AX336" s="529">
        <f t="shared" si="211"/>
        <v>0</v>
      </c>
      <c r="AY336" s="38" t="e">
        <f t="shared" si="186"/>
        <v>#REF!</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39">
        <f t="shared" si="207"/>
        <v>0</v>
      </c>
    </row>
    <row r="337" spans="1:72">
      <c r="A337" s="6"/>
      <c r="B337" s="31"/>
      <c r="C337" s="31"/>
      <c r="D337" s="1509" t="s">
        <v>3569</v>
      </c>
      <c r="E337" s="32" t="e">
        <f t="shared" si="208"/>
        <v>#REF!</v>
      </c>
      <c r="F337" s="33"/>
      <c r="G337" s="34">
        <f t="shared" si="183"/>
        <v>0</v>
      </c>
      <c r="H337" s="35">
        <f t="shared" si="184"/>
        <v>0</v>
      </c>
      <c r="I337" s="1510">
        <f>铂郡面积表!E285</f>
        <v>0</v>
      </c>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3"/>
      <c r="AU337" s="1512"/>
      <c r="AV337" s="529">
        <f t="shared" si="209"/>
        <v>0</v>
      </c>
      <c r="AW337" s="529">
        <f t="shared" si="210"/>
        <v>0</v>
      </c>
      <c r="AX337" s="529">
        <f t="shared" si="211"/>
        <v>0</v>
      </c>
      <c r="AY337" s="38" t="e">
        <f t="shared" si="186"/>
        <v>#REF!</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39">
        <f t="shared" si="207"/>
        <v>0</v>
      </c>
    </row>
    <row r="338" spans="1:72">
      <c r="A338" s="6"/>
      <c r="B338" s="31"/>
      <c r="C338" s="31"/>
      <c r="D338" s="1509" t="s">
        <v>3569</v>
      </c>
      <c r="E338" s="32" t="e">
        <f t="shared" si="208"/>
        <v>#REF!</v>
      </c>
      <c r="F338" s="33"/>
      <c r="G338" s="34">
        <f t="shared" si="183"/>
        <v>0</v>
      </c>
      <c r="H338" s="35">
        <f t="shared" si="184"/>
        <v>0</v>
      </c>
      <c r="I338" s="1510">
        <f>铂郡面积表!E286</f>
        <v>0</v>
      </c>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3"/>
      <c r="AU338" s="1512"/>
      <c r="AV338" s="529">
        <f t="shared" si="209"/>
        <v>0</v>
      </c>
      <c r="AW338" s="529">
        <f t="shared" si="210"/>
        <v>0</v>
      </c>
      <c r="AX338" s="529">
        <f t="shared" si="211"/>
        <v>0</v>
      </c>
      <c r="AY338" s="38" t="e">
        <f t="shared" si="186"/>
        <v>#REF!</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39">
        <f t="shared" si="207"/>
        <v>0</v>
      </c>
    </row>
    <row r="339" spans="1:72">
      <c r="A339" s="6"/>
      <c r="B339" s="31"/>
      <c r="C339" s="31"/>
      <c r="D339" s="1509" t="s">
        <v>3569</v>
      </c>
      <c r="E339" s="32" t="e">
        <f t="shared" si="208"/>
        <v>#REF!</v>
      </c>
      <c r="F339" s="33"/>
      <c r="G339" s="34">
        <f t="shared" si="183"/>
        <v>0</v>
      </c>
      <c r="H339" s="35">
        <f t="shared" si="184"/>
        <v>0</v>
      </c>
      <c r="I339" s="1510">
        <f>铂郡面积表!E287</f>
        <v>0</v>
      </c>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3"/>
      <c r="AU339" s="1512"/>
      <c r="AV339" s="529">
        <f t="shared" si="209"/>
        <v>0</v>
      </c>
      <c r="AW339" s="529">
        <f t="shared" si="210"/>
        <v>0</v>
      </c>
      <c r="AX339" s="529">
        <f t="shared" si="211"/>
        <v>0</v>
      </c>
      <c r="AY339" s="38" t="e">
        <f t="shared" si="186"/>
        <v>#REF!</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39">
        <f t="shared" si="207"/>
        <v>0</v>
      </c>
    </row>
    <row r="340" spans="1:72">
      <c r="A340" s="6"/>
      <c r="B340" s="31"/>
      <c r="C340" s="31"/>
      <c r="D340" s="1509" t="s">
        <v>3569</v>
      </c>
      <c r="E340" s="32" t="e">
        <f t="shared" si="208"/>
        <v>#REF!</v>
      </c>
      <c r="F340" s="33"/>
      <c r="G340" s="34">
        <f t="shared" si="183"/>
        <v>0</v>
      </c>
      <c r="H340" s="35">
        <f t="shared" si="184"/>
        <v>0</v>
      </c>
      <c r="I340" s="1510">
        <f>铂郡面积表!E288</f>
        <v>0</v>
      </c>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3"/>
      <c r="AU340" s="1512"/>
      <c r="AV340" s="529">
        <f t="shared" si="209"/>
        <v>0</v>
      </c>
      <c r="AW340" s="529">
        <f t="shared" si="210"/>
        <v>0</v>
      </c>
      <c r="AX340" s="529">
        <f t="shared" si="211"/>
        <v>0</v>
      </c>
      <c r="AY340" s="38" t="e">
        <f t="shared" si="186"/>
        <v>#REF!</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39">
        <f t="shared" si="207"/>
        <v>0</v>
      </c>
    </row>
    <row r="341" spans="1:72">
      <c r="A341" s="6"/>
      <c r="B341" s="31"/>
      <c r="C341" s="31"/>
      <c r="D341" s="1509" t="s">
        <v>3569</v>
      </c>
      <c r="E341" s="32" t="e">
        <f t="shared" si="208"/>
        <v>#REF!</v>
      </c>
      <c r="F341" s="33"/>
      <c r="G341" s="34">
        <f t="shared" si="183"/>
        <v>0</v>
      </c>
      <c r="H341" s="35">
        <f t="shared" si="184"/>
        <v>0</v>
      </c>
      <c r="I341" s="1510">
        <f>铂郡面积表!E289</f>
        <v>0</v>
      </c>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3"/>
      <c r="AU341" s="1512"/>
      <c r="AV341" s="529">
        <f t="shared" si="209"/>
        <v>0</v>
      </c>
      <c r="AW341" s="529">
        <f t="shared" si="210"/>
        <v>0</v>
      </c>
      <c r="AX341" s="529">
        <f t="shared" si="211"/>
        <v>0</v>
      </c>
      <c r="AY341" s="38" t="e">
        <f t="shared" si="186"/>
        <v>#REF!</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39">
        <f t="shared" si="207"/>
        <v>0</v>
      </c>
    </row>
    <row r="342" spans="1:72">
      <c r="A342" s="6"/>
      <c r="B342" s="31"/>
      <c r="C342" s="31"/>
      <c r="D342" s="1509" t="s">
        <v>3569</v>
      </c>
      <c r="E342" s="32" t="e">
        <f t="shared" si="208"/>
        <v>#REF!</v>
      </c>
      <c r="F342" s="33"/>
      <c r="G342" s="34">
        <f t="shared" si="183"/>
        <v>0</v>
      </c>
      <c r="H342" s="35">
        <f t="shared" si="184"/>
        <v>0</v>
      </c>
      <c r="I342" s="1510">
        <f>铂郡面积表!E290</f>
        <v>0</v>
      </c>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3"/>
      <c r="AU342" s="1512"/>
      <c r="AV342" s="529">
        <f t="shared" si="209"/>
        <v>0</v>
      </c>
      <c r="AW342" s="529">
        <f t="shared" si="210"/>
        <v>0</v>
      </c>
      <c r="AX342" s="529">
        <f t="shared" si="211"/>
        <v>0</v>
      </c>
      <c r="AY342" s="38" t="e">
        <f t="shared" si="186"/>
        <v>#REF!</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39">
        <f t="shared" si="207"/>
        <v>0</v>
      </c>
    </row>
    <row r="343" spans="1:72">
      <c r="A343" s="6"/>
      <c r="B343" s="31"/>
      <c r="C343" s="31"/>
      <c r="D343" s="1509" t="s">
        <v>3569</v>
      </c>
      <c r="E343" s="32" t="e">
        <f t="shared" si="208"/>
        <v>#REF!</v>
      </c>
      <c r="F343" s="33"/>
      <c r="G343" s="34">
        <f t="shared" si="183"/>
        <v>0</v>
      </c>
      <c r="H343" s="35">
        <f t="shared" si="184"/>
        <v>0</v>
      </c>
      <c r="I343" s="1510">
        <f>铂郡面积表!E291</f>
        <v>0</v>
      </c>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3"/>
      <c r="AU343" s="1512"/>
      <c r="AV343" s="529">
        <f t="shared" si="209"/>
        <v>0</v>
      </c>
      <c r="AW343" s="529">
        <f t="shared" si="210"/>
        <v>0</v>
      </c>
      <c r="AX343" s="529">
        <f t="shared" si="211"/>
        <v>0</v>
      </c>
      <c r="AY343" s="38" t="e">
        <f t="shared" si="186"/>
        <v>#REF!</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39">
        <f t="shared" si="207"/>
        <v>0</v>
      </c>
    </row>
    <row r="344" spans="1:72">
      <c r="A344" s="6"/>
      <c r="B344" s="31"/>
      <c r="C344" s="31"/>
      <c r="D344" s="1509" t="s">
        <v>3569</v>
      </c>
      <c r="E344" s="32" t="e">
        <f t="shared" si="208"/>
        <v>#REF!</v>
      </c>
      <c r="F344" s="33"/>
      <c r="G344" s="34">
        <f t="shared" si="183"/>
        <v>0</v>
      </c>
      <c r="H344" s="35">
        <f t="shared" si="184"/>
        <v>0</v>
      </c>
      <c r="I344" s="1510">
        <f>铂郡面积表!E292</f>
        <v>0</v>
      </c>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3"/>
      <c r="AU344" s="1512"/>
      <c r="AV344" s="529">
        <f t="shared" si="209"/>
        <v>0</v>
      </c>
      <c r="AW344" s="529">
        <f t="shared" si="210"/>
        <v>0</v>
      </c>
      <c r="AX344" s="529">
        <f t="shared" si="211"/>
        <v>0</v>
      </c>
      <c r="AY344" s="38" t="e">
        <f t="shared" si="186"/>
        <v>#REF!</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39">
        <f t="shared" si="207"/>
        <v>0</v>
      </c>
    </row>
    <row r="345" spans="1:72">
      <c r="A345" s="6"/>
      <c r="B345" s="31"/>
      <c r="C345" s="31"/>
      <c r="D345" s="1509" t="s">
        <v>3569</v>
      </c>
      <c r="E345" s="32" t="e">
        <f t="shared" si="208"/>
        <v>#REF!</v>
      </c>
      <c r="F345" s="33"/>
      <c r="G345" s="34">
        <f t="shared" si="183"/>
        <v>0</v>
      </c>
      <c r="H345" s="35">
        <f t="shared" si="184"/>
        <v>0</v>
      </c>
      <c r="I345" s="1510">
        <f>铂郡面积表!E293</f>
        <v>0</v>
      </c>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3"/>
      <c r="AU345" s="1512"/>
      <c r="AV345" s="529">
        <f t="shared" si="209"/>
        <v>0</v>
      </c>
      <c r="AW345" s="529">
        <f t="shared" si="210"/>
        <v>0</v>
      </c>
      <c r="AX345" s="529">
        <f t="shared" si="211"/>
        <v>0</v>
      </c>
      <c r="AY345" s="38" t="e">
        <f t="shared" si="186"/>
        <v>#REF!</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39">
        <f t="shared" si="207"/>
        <v>0</v>
      </c>
    </row>
    <row r="346" spans="1:72">
      <c r="A346" s="6"/>
      <c r="B346" s="31"/>
      <c r="C346" s="31"/>
      <c r="D346" s="1509" t="s">
        <v>3569</v>
      </c>
      <c r="E346" s="32" t="e">
        <f t="shared" si="208"/>
        <v>#REF!</v>
      </c>
      <c r="F346" s="33"/>
      <c r="G346" s="34">
        <f t="shared" si="183"/>
        <v>0</v>
      </c>
      <c r="H346" s="35">
        <f t="shared" si="184"/>
        <v>0</v>
      </c>
      <c r="I346" s="1510">
        <f>铂郡面积表!E294</f>
        <v>0</v>
      </c>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3"/>
      <c r="AU346" s="1512"/>
      <c r="AV346" s="529">
        <f t="shared" si="209"/>
        <v>0</v>
      </c>
      <c r="AW346" s="529">
        <f t="shared" si="210"/>
        <v>0</v>
      </c>
      <c r="AX346" s="529">
        <f t="shared" si="211"/>
        <v>0</v>
      </c>
      <c r="AY346" s="38" t="e">
        <f t="shared" si="186"/>
        <v>#REF!</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39">
        <f t="shared" si="207"/>
        <v>0</v>
      </c>
    </row>
    <row r="347" spans="1:72">
      <c r="A347" s="6"/>
      <c r="B347" s="31"/>
      <c r="C347" s="31"/>
      <c r="D347" s="1509" t="s">
        <v>3569</v>
      </c>
      <c r="E347" s="32" t="e">
        <f t="shared" si="208"/>
        <v>#REF!</v>
      </c>
      <c r="F347" s="33"/>
      <c r="G347" s="34">
        <f t="shared" si="183"/>
        <v>0</v>
      </c>
      <c r="H347" s="35">
        <f t="shared" si="184"/>
        <v>0</v>
      </c>
      <c r="I347" s="1510">
        <f>铂郡面积表!E295</f>
        <v>0</v>
      </c>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3"/>
      <c r="AU347" s="1512"/>
      <c r="AV347" s="529">
        <f t="shared" si="209"/>
        <v>0</v>
      </c>
      <c r="AW347" s="529">
        <f t="shared" si="210"/>
        <v>0</v>
      </c>
      <c r="AX347" s="529">
        <f t="shared" si="211"/>
        <v>0</v>
      </c>
      <c r="AY347" s="38" t="e">
        <f t="shared" si="186"/>
        <v>#REF!</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39">
        <f t="shared" si="207"/>
        <v>0</v>
      </c>
    </row>
    <row r="348" spans="1:72">
      <c r="A348" s="6"/>
      <c r="B348" s="31"/>
      <c r="C348" s="31"/>
      <c r="D348" s="1509" t="s">
        <v>3569</v>
      </c>
      <c r="E348" s="32" t="e">
        <f t="shared" si="208"/>
        <v>#REF!</v>
      </c>
      <c r="F348" s="33"/>
      <c r="G348" s="34">
        <f t="shared" si="183"/>
        <v>0</v>
      </c>
      <c r="H348" s="35">
        <f t="shared" si="184"/>
        <v>0</v>
      </c>
      <c r="I348" s="1510">
        <f>铂郡面积表!E296</f>
        <v>0</v>
      </c>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3"/>
      <c r="AU348" s="1512"/>
      <c r="AV348" s="529">
        <f t="shared" si="209"/>
        <v>0</v>
      </c>
      <c r="AW348" s="529">
        <f t="shared" si="210"/>
        <v>0</v>
      </c>
      <c r="AX348" s="529">
        <f t="shared" si="211"/>
        <v>0</v>
      </c>
      <c r="AY348" s="38" t="e">
        <f t="shared" si="186"/>
        <v>#REF!</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39">
        <f t="shared" si="207"/>
        <v>0</v>
      </c>
    </row>
    <row r="349" spans="1:72">
      <c r="A349" s="6"/>
      <c r="B349" s="31"/>
      <c r="C349" s="31"/>
      <c r="D349" s="1509" t="s">
        <v>3569</v>
      </c>
      <c r="E349" s="32" t="e">
        <f t="shared" si="208"/>
        <v>#REF!</v>
      </c>
      <c r="F349" s="33"/>
      <c r="G349" s="34">
        <f t="shared" si="183"/>
        <v>0</v>
      </c>
      <c r="H349" s="35">
        <f t="shared" si="184"/>
        <v>0</v>
      </c>
      <c r="I349" s="1510">
        <f>铂郡面积表!E297</f>
        <v>0</v>
      </c>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3"/>
      <c r="AU349" s="1512"/>
      <c r="AV349" s="529">
        <f t="shared" si="209"/>
        <v>0</v>
      </c>
      <c r="AW349" s="529">
        <f t="shared" si="210"/>
        <v>0</v>
      </c>
      <c r="AX349" s="529">
        <f t="shared" si="211"/>
        <v>0</v>
      </c>
      <c r="AY349" s="38" t="e">
        <f t="shared" si="186"/>
        <v>#REF!</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39">
        <f t="shared" si="207"/>
        <v>0</v>
      </c>
    </row>
    <row r="350" spans="1:72">
      <c r="A350" s="6"/>
      <c r="B350" s="31"/>
      <c r="C350" s="31"/>
      <c r="D350" s="1509" t="s">
        <v>3569</v>
      </c>
      <c r="E350" s="32" t="e">
        <f t="shared" si="208"/>
        <v>#REF!</v>
      </c>
      <c r="F350" s="33"/>
      <c r="G350" s="34">
        <f t="shared" si="183"/>
        <v>0</v>
      </c>
      <c r="H350" s="35">
        <f t="shared" si="184"/>
        <v>0</v>
      </c>
      <c r="I350" s="1510">
        <f>铂郡面积表!E298</f>
        <v>0</v>
      </c>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3"/>
      <c r="AU350" s="1512"/>
      <c r="AV350" s="529">
        <f t="shared" si="209"/>
        <v>0</v>
      </c>
      <c r="AW350" s="529">
        <f t="shared" si="210"/>
        <v>0</v>
      </c>
      <c r="AX350" s="529">
        <f t="shared" si="211"/>
        <v>0</v>
      </c>
      <c r="AY350" s="38" t="e">
        <f t="shared" si="186"/>
        <v>#REF!</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39">
        <f t="shared" si="207"/>
        <v>0</v>
      </c>
    </row>
    <row r="351" spans="1:72">
      <c r="A351" s="6"/>
      <c r="B351" s="31"/>
      <c r="C351" s="31"/>
      <c r="D351" s="1509" t="s">
        <v>3569</v>
      </c>
      <c r="E351" s="32" t="e">
        <f t="shared" si="208"/>
        <v>#REF!</v>
      </c>
      <c r="F351" s="33"/>
      <c r="G351" s="34">
        <f t="shared" si="183"/>
        <v>0</v>
      </c>
      <c r="H351" s="35">
        <f t="shared" si="184"/>
        <v>0</v>
      </c>
      <c r="I351" s="1510">
        <f>铂郡面积表!E299</f>
        <v>0</v>
      </c>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3"/>
      <c r="AU351" s="1512"/>
      <c r="AV351" s="529">
        <f t="shared" si="209"/>
        <v>0</v>
      </c>
      <c r="AW351" s="529">
        <f t="shared" si="210"/>
        <v>0</v>
      </c>
      <c r="AX351" s="529">
        <f t="shared" si="211"/>
        <v>0</v>
      </c>
      <c r="AY351" s="38" t="e">
        <f t="shared" si="186"/>
        <v>#REF!</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39">
        <f t="shared" si="207"/>
        <v>0</v>
      </c>
    </row>
    <row r="352" spans="1:72">
      <c r="A352" s="6"/>
      <c r="B352" s="31"/>
      <c r="C352" s="31"/>
      <c r="D352" s="1509" t="s">
        <v>3569</v>
      </c>
      <c r="E352" s="32" t="e">
        <f t="shared" si="208"/>
        <v>#REF!</v>
      </c>
      <c r="F352" s="33"/>
      <c r="G352" s="34">
        <f t="shared" si="183"/>
        <v>0</v>
      </c>
      <c r="H352" s="35">
        <f t="shared" si="184"/>
        <v>0</v>
      </c>
      <c r="I352" s="1510">
        <f>铂郡面积表!E300</f>
        <v>0</v>
      </c>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3"/>
      <c r="AU352" s="1512"/>
      <c r="AV352" s="529">
        <f t="shared" si="209"/>
        <v>0</v>
      </c>
      <c r="AW352" s="529">
        <f t="shared" si="210"/>
        <v>0</v>
      </c>
      <c r="AX352" s="529">
        <f t="shared" si="211"/>
        <v>0</v>
      </c>
      <c r="AY352" s="38" t="e">
        <f t="shared" si="186"/>
        <v>#REF!</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39">
        <f t="shared" si="207"/>
        <v>0</v>
      </c>
    </row>
    <row r="353" spans="1:72">
      <c r="A353" s="6"/>
      <c r="B353" s="31"/>
      <c r="C353" s="31"/>
      <c r="D353" s="1509" t="s">
        <v>3569</v>
      </c>
      <c r="E353" s="32" t="e">
        <f t="shared" si="208"/>
        <v>#REF!</v>
      </c>
      <c r="F353" s="33"/>
      <c r="G353" s="34">
        <f t="shared" si="183"/>
        <v>0</v>
      </c>
      <c r="H353" s="35">
        <f t="shared" si="184"/>
        <v>0</v>
      </c>
      <c r="I353" s="1510">
        <f>铂郡面积表!E301</f>
        <v>0</v>
      </c>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3"/>
      <c r="AU353" s="1512"/>
      <c r="AV353" s="529">
        <f t="shared" si="209"/>
        <v>0</v>
      </c>
      <c r="AW353" s="529">
        <f t="shared" si="210"/>
        <v>0</v>
      </c>
      <c r="AX353" s="529">
        <f t="shared" si="211"/>
        <v>0</v>
      </c>
      <c r="AY353" s="38" t="e">
        <f t="shared" si="186"/>
        <v>#REF!</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39">
        <f t="shared" si="207"/>
        <v>0</v>
      </c>
    </row>
    <row r="354" spans="1:72">
      <c r="A354" s="6"/>
      <c r="B354" s="31"/>
      <c r="C354" s="31"/>
      <c r="D354" s="1509" t="s">
        <v>3569</v>
      </c>
      <c r="E354" s="32" t="e">
        <f t="shared" si="208"/>
        <v>#REF!</v>
      </c>
      <c r="F354" s="33"/>
      <c r="G354" s="34">
        <f t="shared" si="183"/>
        <v>0</v>
      </c>
      <c r="H354" s="35">
        <f t="shared" si="184"/>
        <v>0</v>
      </c>
      <c r="I354" s="1510">
        <f>铂郡面积表!E302</f>
        <v>0</v>
      </c>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3"/>
      <c r="AU354" s="1512"/>
      <c r="AV354" s="529">
        <f t="shared" si="209"/>
        <v>0</v>
      </c>
      <c r="AW354" s="529">
        <f t="shared" si="210"/>
        <v>0</v>
      </c>
      <c r="AX354" s="529">
        <f t="shared" si="211"/>
        <v>0</v>
      </c>
      <c r="AY354" s="38" t="e">
        <f t="shared" si="186"/>
        <v>#REF!</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39">
        <f t="shared" si="207"/>
        <v>0</v>
      </c>
    </row>
    <row r="355" spans="1:72">
      <c r="A355" s="6"/>
      <c r="B355" s="31"/>
      <c r="C355" s="31"/>
      <c r="D355" s="1509" t="s">
        <v>3569</v>
      </c>
      <c r="E355" s="32" t="e">
        <f t="shared" si="208"/>
        <v>#REF!</v>
      </c>
      <c r="F355" s="33"/>
      <c r="G355" s="34">
        <f t="shared" si="183"/>
        <v>0</v>
      </c>
      <c r="H355" s="35">
        <f t="shared" si="184"/>
        <v>0</v>
      </c>
      <c r="I355" s="1510">
        <f>铂郡面积表!E303</f>
        <v>0</v>
      </c>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3"/>
      <c r="AU355" s="1512"/>
      <c r="AV355" s="529">
        <f t="shared" si="209"/>
        <v>0</v>
      </c>
      <c r="AW355" s="529">
        <f t="shared" si="210"/>
        <v>0</v>
      </c>
      <c r="AX355" s="529">
        <f t="shared" si="211"/>
        <v>0</v>
      </c>
      <c r="AY355" s="38" t="e">
        <f t="shared" si="186"/>
        <v>#REF!</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39">
        <f t="shared" si="207"/>
        <v>0</v>
      </c>
    </row>
    <row r="356" spans="1:72">
      <c r="A356" s="6"/>
      <c r="B356" s="31"/>
      <c r="C356" s="31"/>
      <c r="D356" s="1509" t="s">
        <v>3569</v>
      </c>
      <c r="E356" s="32" t="e">
        <f t="shared" si="208"/>
        <v>#REF!</v>
      </c>
      <c r="F356" s="33"/>
      <c r="G356" s="34">
        <f t="shared" si="183"/>
        <v>0</v>
      </c>
      <c r="H356" s="35">
        <f t="shared" si="184"/>
        <v>0</v>
      </c>
      <c r="I356" s="1510">
        <f>铂郡面积表!E304</f>
        <v>0</v>
      </c>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3"/>
      <c r="AU356" s="1512"/>
      <c r="AV356" s="529">
        <f t="shared" si="209"/>
        <v>0</v>
      </c>
      <c r="AW356" s="529">
        <f t="shared" si="210"/>
        <v>0</v>
      </c>
      <c r="AX356" s="529">
        <f t="shared" si="211"/>
        <v>0</v>
      </c>
      <c r="AY356" s="38" t="e">
        <f t="shared" si="186"/>
        <v>#REF!</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39">
        <f t="shared" si="207"/>
        <v>0</v>
      </c>
    </row>
    <row r="357" spans="1:72">
      <c r="A357" s="6"/>
      <c r="B357" s="31"/>
      <c r="C357" s="31"/>
      <c r="D357" s="1509" t="s">
        <v>3569</v>
      </c>
      <c r="E357" s="32" t="e">
        <f t="shared" si="208"/>
        <v>#REF!</v>
      </c>
      <c r="F357" s="33"/>
      <c r="G357" s="34">
        <f t="shared" si="183"/>
        <v>0</v>
      </c>
      <c r="H357" s="35">
        <f t="shared" si="184"/>
        <v>0</v>
      </c>
      <c r="I357" s="1510">
        <f>铂郡面积表!E305</f>
        <v>0</v>
      </c>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3"/>
      <c r="AU357" s="1512"/>
      <c r="AV357" s="529">
        <f t="shared" si="209"/>
        <v>0</v>
      </c>
      <c r="AW357" s="529">
        <f t="shared" si="210"/>
        <v>0</v>
      </c>
      <c r="AX357" s="529">
        <f t="shared" si="211"/>
        <v>0</v>
      </c>
      <c r="AY357" s="38" t="e">
        <f t="shared" si="186"/>
        <v>#REF!</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39">
        <f t="shared" si="207"/>
        <v>0</v>
      </c>
    </row>
    <row r="358" spans="1:72">
      <c r="A358" s="6"/>
      <c r="B358" s="31"/>
      <c r="C358" s="31"/>
      <c r="D358" s="1509" t="s">
        <v>3569</v>
      </c>
      <c r="E358" s="32" t="e">
        <f t="shared" si="208"/>
        <v>#REF!</v>
      </c>
      <c r="F358" s="33"/>
      <c r="G358" s="34">
        <f t="shared" si="183"/>
        <v>0</v>
      </c>
      <c r="H358" s="35">
        <f t="shared" si="184"/>
        <v>0</v>
      </c>
      <c r="I358" s="1510">
        <f>铂郡面积表!E306</f>
        <v>0</v>
      </c>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3"/>
      <c r="AU358" s="1512"/>
      <c r="AV358" s="529">
        <f t="shared" si="209"/>
        <v>0</v>
      </c>
      <c r="AW358" s="529">
        <f t="shared" si="210"/>
        <v>0</v>
      </c>
      <c r="AX358" s="529">
        <f t="shared" si="211"/>
        <v>0</v>
      </c>
      <c r="AY358" s="38" t="e">
        <f t="shared" si="186"/>
        <v>#REF!</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39">
        <f t="shared" si="207"/>
        <v>0</v>
      </c>
    </row>
    <row r="359" spans="1:72">
      <c r="A359" s="6"/>
      <c r="B359" s="31"/>
      <c r="C359" s="31"/>
      <c r="D359" s="1509" t="s">
        <v>3569</v>
      </c>
      <c r="E359" s="32" t="e">
        <f t="shared" si="208"/>
        <v>#REF!</v>
      </c>
      <c r="F359" s="33"/>
      <c r="G359" s="34">
        <f t="shared" si="183"/>
        <v>0</v>
      </c>
      <c r="H359" s="35">
        <f t="shared" si="184"/>
        <v>0</v>
      </c>
      <c r="I359" s="1510">
        <f>铂郡面积表!E307</f>
        <v>0</v>
      </c>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3"/>
      <c r="AU359" s="1512"/>
      <c r="AV359" s="529">
        <f t="shared" si="209"/>
        <v>0</v>
      </c>
      <c r="AW359" s="529">
        <f t="shared" si="210"/>
        <v>0</v>
      </c>
      <c r="AX359" s="529">
        <f t="shared" si="211"/>
        <v>0</v>
      </c>
      <c r="AY359" s="38" t="e">
        <f t="shared" si="186"/>
        <v>#REF!</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39">
        <f t="shared" si="207"/>
        <v>0</v>
      </c>
    </row>
    <row r="360" spans="1:72">
      <c r="A360" s="6"/>
      <c r="B360" s="31"/>
      <c r="C360" s="31"/>
      <c r="D360" s="1509" t="s">
        <v>3569</v>
      </c>
      <c r="E360" s="32" t="e">
        <f t="shared" si="208"/>
        <v>#REF!</v>
      </c>
      <c r="F360" s="33"/>
      <c r="G360" s="34">
        <f t="shared" si="183"/>
        <v>0</v>
      </c>
      <c r="H360" s="35">
        <f t="shared" si="184"/>
        <v>0</v>
      </c>
      <c r="I360" s="1510">
        <f>铂郡面积表!E308</f>
        <v>0</v>
      </c>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3"/>
      <c r="AU360" s="1512"/>
      <c r="AV360" s="529">
        <f t="shared" si="209"/>
        <v>0</v>
      </c>
      <c r="AW360" s="529">
        <f t="shared" si="210"/>
        <v>0</v>
      </c>
      <c r="AX360" s="529">
        <f t="shared" si="211"/>
        <v>0</v>
      </c>
      <c r="AY360" s="38" t="e">
        <f t="shared" si="186"/>
        <v>#REF!</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39">
        <f t="shared" si="207"/>
        <v>0</v>
      </c>
    </row>
    <row r="361" spans="1:72">
      <c r="A361" s="6"/>
      <c r="B361" s="31"/>
      <c r="C361" s="31"/>
      <c r="D361" s="1509" t="s">
        <v>3569</v>
      </c>
      <c r="E361" s="32" t="e">
        <f t="shared" si="208"/>
        <v>#REF!</v>
      </c>
      <c r="F361" s="33"/>
      <c r="G361" s="34">
        <f t="shared" si="183"/>
        <v>0</v>
      </c>
      <c r="H361" s="35">
        <f t="shared" si="184"/>
        <v>0</v>
      </c>
      <c r="I361" s="1510">
        <f>铂郡面积表!E309</f>
        <v>0</v>
      </c>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3"/>
      <c r="AU361" s="1512"/>
      <c r="AV361" s="529">
        <f t="shared" si="209"/>
        <v>0</v>
      </c>
      <c r="AW361" s="529">
        <f t="shared" si="210"/>
        <v>0</v>
      </c>
      <c r="AX361" s="529">
        <f t="shared" si="211"/>
        <v>0</v>
      </c>
      <c r="AY361" s="38" t="e">
        <f t="shared" si="186"/>
        <v>#REF!</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39">
        <f t="shared" si="207"/>
        <v>0</v>
      </c>
    </row>
    <row r="362" spans="1:72">
      <c r="A362" s="6"/>
      <c r="B362" s="31"/>
      <c r="C362" s="31"/>
      <c r="D362" s="1509" t="s">
        <v>3569</v>
      </c>
      <c r="E362" s="32" t="e">
        <f t="shared" si="208"/>
        <v>#REF!</v>
      </c>
      <c r="F362" s="33"/>
      <c r="G362" s="34">
        <f t="shared" si="183"/>
        <v>0</v>
      </c>
      <c r="H362" s="35">
        <f t="shared" si="184"/>
        <v>0</v>
      </c>
      <c r="I362" s="1510">
        <f>铂郡面积表!E310</f>
        <v>0</v>
      </c>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3"/>
      <c r="AU362" s="1512"/>
      <c r="AV362" s="529">
        <f t="shared" si="209"/>
        <v>0</v>
      </c>
      <c r="AW362" s="529">
        <f t="shared" si="210"/>
        <v>0</v>
      </c>
      <c r="AX362" s="529">
        <f t="shared" si="211"/>
        <v>0</v>
      </c>
      <c r="AY362" s="38" t="e">
        <f t="shared" si="186"/>
        <v>#REF!</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39">
        <f t="shared" si="207"/>
        <v>0</v>
      </c>
    </row>
    <row r="363" spans="1:72">
      <c r="A363" s="6"/>
      <c r="B363" s="31"/>
      <c r="C363" s="31"/>
      <c r="D363" s="1509" t="s">
        <v>3569</v>
      </c>
      <c r="E363" s="32" t="e">
        <f t="shared" si="208"/>
        <v>#REF!</v>
      </c>
      <c r="F363" s="33"/>
      <c r="G363" s="34">
        <f t="shared" si="183"/>
        <v>0</v>
      </c>
      <c r="H363" s="35">
        <f t="shared" si="184"/>
        <v>0</v>
      </c>
      <c r="I363" s="1510">
        <f>铂郡面积表!E311</f>
        <v>0</v>
      </c>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3"/>
      <c r="AU363" s="1512"/>
      <c r="AV363" s="529">
        <f t="shared" si="209"/>
        <v>0</v>
      </c>
      <c r="AW363" s="529">
        <f t="shared" si="210"/>
        <v>0</v>
      </c>
      <c r="AX363" s="529">
        <f t="shared" si="211"/>
        <v>0</v>
      </c>
      <c r="AY363" s="38" t="e">
        <f t="shared" si="186"/>
        <v>#REF!</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39">
        <f t="shared" si="207"/>
        <v>0</v>
      </c>
    </row>
    <row r="364" spans="1:72">
      <c r="A364" s="6"/>
      <c r="B364" s="31"/>
      <c r="C364" s="31"/>
      <c r="D364" s="1509" t="s">
        <v>3569</v>
      </c>
      <c r="E364" s="32" t="e">
        <f t="shared" si="208"/>
        <v>#REF!</v>
      </c>
      <c r="F364" s="33"/>
      <c r="G364" s="34">
        <f t="shared" ref="G364:G395" si="212">H364+AC364+AT364</f>
        <v>0</v>
      </c>
      <c r="H364" s="35">
        <f t="shared" ref="H364:H395" si="213">SUMIF(I$12:AB$12,"总值",I364:AB364)</f>
        <v>0</v>
      </c>
      <c r="I364" s="1510">
        <f>铂郡面积表!E312</f>
        <v>0</v>
      </c>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9">
        <f t="shared" si="209"/>
        <v>0</v>
      </c>
      <c r="AW364" s="529">
        <f t="shared" si="210"/>
        <v>0</v>
      </c>
      <c r="AX364" s="529">
        <f t="shared" si="211"/>
        <v>0</v>
      </c>
      <c r="AY364" s="38" t="e">
        <f t="shared" ref="AY364:AY395" si="215">ROUND($AY$6*AZ364/$AZ$5,2)</f>
        <v>#REF!</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39">
        <f t="shared" ref="BT364:BT397" si="236">IF($D364="是",AR364-AS364,0)</f>
        <v>0</v>
      </c>
    </row>
    <row r="365" spans="1:72">
      <c r="A365" s="6"/>
      <c r="B365" s="31"/>
      <c r="C365" s="31"/>
      <c r="D365" s="1509" t="s">
        <v>3569</v>
      </c>
      <c r="E365" s="32" t="e">
        <f t="shared" si="208"/>
        <v>#REF!</v>
      </c>
      <c r="F365" s="33"/>
      <c r="G365" s="34">
        <f t="shared" si="212"/>
        <v>0</v>
      </c>
      <c r="H365" s="35">
        <f t="shared" si="213"/>
        <v>0</v>
      </c>
      <c r="I365" s="1510">
        <f>铂郡面积表!E313</f>
        <v>0</v>
      </c>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3"/>
      <c r="AU365" s="1512"/>
      <c r="AV365" s="529">
        <f t="shared" si="209"/>
        <v>0</v>
      </c>
      <c r="AW365" s="529">
        <f t="shared" si="210"/>
        <v>0</v>
      </c>
      <c r="AX365" s="529">
        <f t="shared" si="211"/>
        <v>0</v>
      </c>
      <c r="AY365" s="38" t="e">
        <f t="shared" si="215"/>
        <v>#REF!</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39">
        <f t="shared" si="236"/>
        <v>0</v>
      </c>
    </row>
    <row r="366" spans="1:72">
      <c r="A366" s="6"/>
      <c r="B366" s="31"/>
      <c r="C366" s="31"/>
      <c r="D366" s="1509" t="s">
        <v>3569</v>
      </c>
      <c r="E366" s="32" t="e">
        <f t="shared" si="208"/>
        <v>#REF!</v>
      </c>
      <c r="F366" s="33"/>
      <c r="G366" s="34">
        <f t="shared" si="212"/>
        <v>0</v>
      </c>
      <c r="H366" s="35">
        <f t="shared" si="213"/>
        <v>0</v>
      </c>
      <c r="I366" s="1510">
        <f>铂郡面积表!E314</f>
        <v>0</v>
      </c>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3"/>
      <c r="AU366" s="1512"/>
      <c r="AV366" s="529">
        <f t="shared" si="209"/>
        <v>0</v>
      </c>
      <c r="AW366" s="529">
        <f t="shared" si="210"/>
        <v>0</v>
      </c>
      <c r="AX366" s="529">
        <f t="shared" si="211"/>
        <v>0</v>
      </c>
      <c r="AY366" s="38" t="e">
        <f t="shared" si="215"/>
        <v>#REF!</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39">
        <f t="shared" si="236"/>
        <v>0</v>
      </c>
    </row>
    <row r="367" spans="1:72">
      <c r="A367" s="6"/>
      <c r="B367" s="31"/>
      <c r="C367" s="31"/>
      <c r="D367" s="1509" t="s">
        <v>3569</v>
      </c>
      <c r="E367" s="32" t="e">
        <f t="shared" ref="E367:E397" si="237">IF($C$3="是",ROUND($A$3*G367/$B$3,2),ROUND($A$3*(G367-AT367)/$B$3,2))</f>
        <v>#REF!</v>
      </c>
      <c r="F367" s="33"/>
      <c r="G367" s="34">
        <f t="shared" si="212"/>
        <v>0</v>
      </c>
      <c r="H367" s="35">
        <f t="shared" si="213"/>
        <v>0</v>
      </c>
      <c r="I367" s="1510">
        <f>铂郡面积表!E315</f>
        <v>0</v>
      </c>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3"/>
      <c r="AU367" s="1512"/>
      <c r="AV367" s="529">
        <f t="shared" ref="AV367:AV397" si="238">A367</f>
        <v>0</v>
      </c>
      <c r="AW367" s="529">
        <f t="shared" ref="AW367:AW397" si="239">B367</f>
        <v>0</v>
      </c>
      <c r="AX367" s="529">
        <f t="shared" ref="AX367:AX397" si="240">C367</f>
        <v>0</v>
      </c>
      <c r="AY367" s="38" t="e">
        <f t="shared" si="215"/>
        <v>#REF!</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39">
        <f t="shared" si="236"/>
        <v>0</v>
      </c>
    </row>
    <row r="368" spans="1:72">
      <c r="A368" s="6"/>
      <c r="B368" s="31"/>
      <c r="C368" s="31"/>
      <c r="D368" s="1509" t="s">
        <v>3569</v>
      </c>
      <c r="E368" s="32" t="e">
        <f t="shared" si="237"/>
        <v>#REF!</v>
      </c>
      <c r="F368" s="33"/>
      <c r="G368" s="34">
        <f t="shared" si="212"/>
        <v>0</v>
      </c>
      <c r="H368" s="35">
        <f t="shared" si="213"/>
        <v>0</v>
      </c>
      <c r="I368" s="1510">
        <f>铂郡面积表!E316</f>
        <v>0</v>
      </c>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3"/>
      <c r="AU368" s="1512"/>
      <c r="AV368" s="529">
        <f t="shared" si="238"/>
        <v>0</v>
      </c>
      <c r="AW368" s="529">
        <f t="shared" si="239"/>
        <v>0</v>
      </c>
      <c r="AX368" s="529">
        <f t="shared" si="240"/>
        <v>0</v>
      </c>
      <c r="AY368" s="38" t="e">
        <f t="shared" si="215"/>
        <v>#REF!</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39">
        <f t="shared" si="236"/>
        <v>0</v>
      </c>
    </row>
    <row r="369" spans="1:72">
      <c r="A369" s="6"/>
      <c r="B369" s="31"/>
      <c r="C369" s="31"/>
      <c r="D369" s="1509" t="s">
        <v>3569</v>
      </c>
      <c r="E369" s="32" t="e">
        <f t="shared" si="237"/>
        <v>#REF!</v>
      </c>
      <c r="F369" s="33"/>
      <c r="G369" s="34">
        <f t="shared" si="212"/>
        <v>0</v>
      </c>
      <c r="H369" s="35">
        <f t="shared" si="213"/>
        <v>0</v>
      </c>
      <c r="I369" s="1510">
        <f>铂郡面积表!E317</f>
        <v>0</v>
      </c>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3"/>
      <c r="AU369" s="1512"/>
      <c r="AV369" s="529">
        <f t="shared" si="238"/>
        <v>0</v>
      </c>
      <c r="AW369" s="529">
        <f t="shared" si="239"/>
        <v>0</v>
      </c>
      <c r="AX369" s="529">
        <f t="shared" si="240"/>
        <v>0</v>
      </c>
      <c r="AY369" s="38" t="e">
        <f t="shared" si="215"/>
        <v>#REF!</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39">
        <f t="shared" si="236"/>
        <v>0</v>
      </c>
    </row>
    <row r="370" spans="1:72">
      <c r="A370" s="6"/>
      <c r="B370" s="31"/>
      <c r="C370" s="31"/>
      <c r="D370" s="1509" t="s">
        <v>3569</v>
      </c>
      <c r="E370" s="32" t="e">
        <f t="shared" si="237"/>
        <v>#REF!</v>
      </c>
      <c r="F370" s="33"/>
      <c r="G370" s="34">
        <f t="shared" si="212"/>
        <v>0</v>
      </c>
      <c r="H370" s="35">
        <f t="shared" si="213"/>
        <v>0</v>
      </c>
      <c r="I370" s="1510">
        <f>铂郡面积表!E318</f>
        <v>0</v>
      </c>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3"/>
      <c r="AU370" s="1512"/>
      <c r="AV370" s="529">
        <f t="shared" si="238"/>
        <v>0</v>
      </c>
      <c r="AW370" s="529">
        <f t="shared" si="239"/>
        <v>0</v>
      </c>
      <c r="AX370" s="529">
        <f t="shared" si="240"/>
        <v>0</v>
      </c>
      <c r="AY370" s="38" t="e">
        <f t="shared" si="215"/>
        <v>#REF!</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39">
        <f t="shared" si="236"/>
        <v>0</v>
      </c>
    </row>
    <row r="371" spans="1:72">
      <c r="A371" s="6"/>
      <c r="B371" s="31"/>
      <c r="C371" s="31"/>
      <c r="D371" s="1509" t="s">
        <v>3569</v>
      </c>
      <c r="E371" s="32" t="e">
        <f t="shared" si="237"/>
        <v>#REF!</v>
      </c>
      <c r="F371" s="33"/>
      <c r="G371" s="34">
        <f t="shared" si="212"/>
        <v>0</v>
      </c>
      <c r="H371" s="35">
        <f t="shared" si="213"/>
        <v>0</v>
      </c>
      <c r="I371" s="1510">
        <f>铂郡面积表!E319</f>
        <v>0</v>
      </c>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3"/>
      <c r="AU371" s="1512"/>
      <c r="AV371" s="529">
        <f t="shared" si="238"/>
        <v>0</v>
      </c>
      <c r="AW371" s="529">
        <f t="shared" si="239"/>
        <v>0</v>
      </c>
      <c r="AX371" s="529">
        <f t="shared" si="240"/>
        <v>0</v>
      </c>
      <c r="AY371" s="38" t="e">
        <f t="shared" si="215"/>
        <v>#REF!</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39">
        <f t="shared" si="236"/>
        <v>0</v>
      </c>
    </row>
    <row r="372" spans="1:72">
      <c r="A372" s="6"/>
      <c r="B372" s="31"/>
      <c r="C372" s="31"/>
      <c r="D372" s="1509" t="s">
        <v>3569</v>
      </c>
      <c r="E372" s="32" t="e">
        <f t="shared" si="237"/>
        <v>#REF!</v>
      </c>
      <c r="F372" s="33"/>
      <c r="G372" s="34">
        <f t="shared" si="212"/>
        <v>0</v>
      </c>
      <c r="H372" s="35">
        <f t="shared" si="213"/>
        <v>0</v>
      </c>
      <c r="I372" s="1510">
        <f>铂郡面积表!E320</f>
        <v>0</v>
      </c>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3"/>
      <c r="AU372" s="1512"/>
      <c r="AV372" s="529">
        <f t="shared" si="238"/>
        <v>0</v>
      </c>
      <c r="AW372" s="529">
        <f t="shared" si="239"/>
        <v>0</v>
      </c>
      <c r="AX372" s="529">
        <f t="shared" si="240"/>
        <v>0</v>
      </c>
      <c r="AY372" s="38" t="e">
        <f t="shared" si="215"/>
        <v>#REF!</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39">
        <f t="shared" si="236"/>
        <v>0</v>
      </c>
    </row>
    <row r="373" spans="1:72">
      <c r="A373" s="6"/>
      <c r="B373" s="31"/>
      <c r="C373" s="31"/>
      <c r="D373" s="1509" t="s">
        <v>3569</v>
      </c>
      <c r="E373" s="32" t="e">
        <f t="shared" si="237"/>
        <v>#REF!</v>
      </c>
      <c r="F373" s="33"/>
      <c r="G373" s="34">
        <f t="shared" si="212"/>
        <v>0</v>
      </c>
      <c r="H373" s="35">
        <f t="shared" si="213"/>
        <v>0</v>
      </c>
      <c r="I373" s="1510">
        <f>铂郡面积表!E321</f>
        <v>0</v>
      </c>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3"/>
      <c r="AU373" s="1512"/>
      <c r="AV373" s="529">
        <f t="shared" si="238"/>
        <v>0</v>
      </c>
      <c r="AW373" s="529">
        <f t="shared" si="239"/>
        <v>0</v>
      </c>
      <c r="AX373" s="529">
        <f t="shared" si="240"/>
        <v>0</v>
      </c>
      <c r="AY373" s="38" t="e">
        <f t="shared" si="215"/>
        <v>#REF!</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39">
        <f t="shared" si="236"/>
        <v>0</v>
      </c>
    </row>
    <row r="374" spans="1:72">
      <c r="A374" s="6"/>
      <c r="B374" s="31"/>
      <c r="C374" s="31"/>
      <c r="D374" s="1509" t="s">
        <v>3569</v>
      </c>
      <c r="E374" s="32" t="e">
        <f t="shared" si="237"/>
        <v>#REF!</v>
      </c>
      <c r="F374" s="33"/>
      <c r="G374" s="34">
        <f t="shared" si="212"/>
        <v>0</v>
      </c>
      <c r="H374" s="35">
        <f t="shared" si="213"/>
        <v>0</v>
      </c>
      <c r="I374" s="1510">
        <f>铂郡面积表!E322</f>
        <v>0</v>
      </c>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3"/>
      <c r="AU374" s="1512"/>
      <c r="AV374" s="529">
        <f t="shared" si="238"/>
        <v>0</v>
      </c>
      <c r="AW374" s="529">
        <f t="shared" si="239"/>
        <v>0</v>
      </c>
      <c r="AX374" s="529">
        <f t="shared" si="240"/>
        <v>0</v>
      </c>
      <c r="AY374" s="38" t="e">
        <f t="shared" si="215"/>
        <v>#REF!</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39">
        <f t="shared" si="236"/>
        <v>0</v>
      </c>
    </row>
    <row r="375" spans="1:72">
      <c r="A375" s="6"/>
      <c r="B375" s="31"/>
      <c r="C375" s="31"/>
      <c r="D375" s="1509" t="s">
        <v>3569</v>
      </c>
      <c r="E375" s="32" t="e">
        <f t="shared" si="237"/>
        <v>#REF!</v>
      </c>
      <c r="F375" s="33"/>
      <c r="G375" s="34">
        <f t="shared" si="212"/>
        <v>0</v>
      </c>
      <c r="H375" s="35">
        <f t="shared" si="213"/>
        <v>0</v>
      </c>
      <c r="I375" s="1510">
        <f>铂郡面积表!E323</f>
        <v>0</v>
      </c>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3"/>
      <c r="AU375" s="1512"/>
      <c r="AV375" s="529">
        <f t="shared" si="238"/>
        <v>0</v>
      </c>
      <c r="AW375" s="529">
        <f t="shared" si="239"/>
        <v>0</v>
      </c>
      <c r="AX375" s="529">
        <f t="shared" si="240"/>
        <v>0</v>
      </c>
      <c r="AY375" s="38" t="e">
        <f t="shared" si="215"/>
        <v>#REF!</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39">
        <f t="shared" si="236"/>
        <v>0</v>
      </c>
    </row>
    <row r="376" spans="1:72">
      <c r="A376" s="6"/>
      <c r="B376" s="31"/>
      <c r="C376" s="31"/>
      <c r="D376" s="1509" t="s">
        <v>3569</v>
      </c>
      <c r="E376" s="32" t="e">
        <f t="shared" si="237"/>
        <v>#REF!</v>
      </c>
      <c r="F376" s="33"/>
      <c r="G376" s="34">
        <f t="shared" si="212"/>
        <v>0</v>
      </c>
      <c r="H376" s="35">
        <f t="shared" si="213"/>
        <v>0</v>
      </c>
      <c r="I376" s="1510">
        <f>铂郡面积表!E324</f>
        <v>0</v>
      </c>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3"/>
      <c r="AU376" s="1512"/>
      <c r="AV376" s="529">
        <f t="shared" si="238"/>
        <v>0</v>
      </c>
      <c r="AW376" s="529">
        <f t="shared" si="239"/>
        <v>0</v>
      </c>
      <c r="AX376" s="529">
        <f t="shared" si="240"/>
        <v>0</v>
      </c>
      <c r="AY376" s="38" t="e">
        <f t="shared" si="215"/>
        <v>#REF!</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39">
        <f t="shared" si="236"/>
        <v>0</v>
      </c>
    </row>
    <row r="377" spans="1:72">
      <c r="A377" s="6"/>
      <c r="B377" s="31"/>
      <c r="C377" s="31"/>
      <c r="D377" s="1509" t="s">
        <v>3569</v>
      </c>
      <c r="E377" s="32" t="e">
        <f t="shared" si="237"/>
        <v>#REF!</v>
      </c>
      <c r="F377" s="33"/>
      <c r="G377" s="34">
        <f t="shared" si="212"/>
        <v>0</v>
      </c>
      <c r="H377" s="35">
        <f t="shared" si="213"/>
        <v>0</v>
      </c>
      <c r="I377" s="1510">
        <f>铂郡面积表!E325</f>
        <v>0</v>
      </c>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3"/>
      <c r="AU377" s="1512"/>
      <c r="AV377" s="529">
        <f t="shared" si="238"/>
        <v>0</v>
      </c>
      <c r="AW377" s="529">
        <f t="shared" si="239"/>
        <v>0</v>
      </c>
      <c r="AX377" s="529">
        <f t="shared" si="240"/>
        <v>0</v>
      </c>
      <c r="AY377" s="38" t="e">
        <f t="shared" si="215"/>
        <v>#REF!</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39">
        <f t="shared" si="236"/>
        <v>0</v>
      </c>
    </row>
    <row r="378" spans="1:72">
      <c r="A378" s="6"/>
      <c r="B378" s="31"/>
      <c r="C378" s="31"/>
      <c r="D378" s="1509" t="s">
        <v>3569</v>
      </c>
      <c r="E378" s="32" t="e">
        <f t="shared" si="237"/>
        <v>#REF!</v>
      </c>
      <c r="F378" s="33"/>
      <c r="G378" s="34">
        <f t="shared" si="212"/>
        <v>0</v>
      </c>
      <c r="H378" s="35">
        <f t="shared" si="213"/>
        <v>0</v>
      </c>
      <c r="I378" s="1510">
        <f>铂郡面积表!E326</f>
        <v>0</v>
      </c>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3"/>
      <c r="AU378" s="1512"/>
      <c r="AV378" s="529">
        <f t="shared" si="238"/>
        <v>0</v>
      </c>
      <c r="AW378" s="529">
        <f t="shared" si="239"/>
        <v>0</v>
      </c>
      <c r="AX378" s="529">
        <f t="shared" si="240"/>
        <v>0</v>
      </c>
      <c r="AY378" s="38" t="e">
        <f t="shared" si="215"/>
        <v>#REF!</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39">
        <f t="shared" si="236"/>
        <v>0</v>
      </c>
    </row>
    <row r="379" spans="1:72">
      <c r="A379" s="6"/>
      <c r="B379" s="31"/>
      <c r="C379" s="31"/>
      <c r="D379" s="1509" t="s">
        <v>3569</v>
      </c>
      <c r="E379" s="32" t="e">
        <f t="shared" si="237"/>
        <v>#REF!</v>
      </c>
      <c r="F379" s="33"/>
      <c r="G379" s="34">
        <f t="shared" si="212"/>
        <v>0</v>
      </c>
      <c r="H379" s="35">
        <f t="shared" si="213"/>
        <v>0</v>
      </c>
      <c r="I379" s="1510">
        <f>铂郡面积表!E327</f>
        <v>0</v>
      </c>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3"/>
      <c r="AU379" s="1512"/>
      <c r="AV379" s="529">
        <f t="shared" si="238"/>
        <v>0</v>
      </c>
      <c r="AW379" s="529">
        <f t="shared" si="239"/>
        <v>0</v>
      </c>
      <c r="AX379" s="529">
        <f t="shared" si="240"/>
        <v>0</v>
      </c>
      <c r="AY379" s="38" t="e">
        <f t="shared" si="215"/>
        <v>#REF!</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39">
        <f t="shared" si="236"/>
        <v>0</v>
      </c>
    </row>
    <row r="380" spans="1:72">
      <c r="A380" s="6"/>
      <c r="B380" s="31"/>
      <c r="C380" s="31"/>
      <c r="D380" s="1509" t="s">
        <v>3569</v>
      </c>
      <c r="E380" s="32" t="e">
        <f t="shared" si="237"/>
        <v>#REF!</v>
      </c>
      <c r="F380" s="33"/>
      <c r="G380" s="34">
        <f t="shared" si="212"/>
        <v>0</v>
      </c>
      <c r="H380" s="35">
        <f t="shared" si="213"/>
        <v>0</v>
      </c>
      <c r="I380" s="1510">
        <f>铂郡面积表!E328</f>
        <v>0</v>
      </c>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3"/>
      <c r="AU380" s="1512"/>
      <c r="AV380" s="529">
        <f t="shared" si="238"/>
        <v>0</v>
      </c>
      <c r="AW380" s="529">
        <f t="shared" si="239"/>
        <v>0</v>
      </c>
      <c r="AX380" s="529">
        <f t="shared" si="240"/>
        <v>0</v>
      </c>
      <c r="AY380" s="38" t="e">
        <f t="shared" si="215"/>
        <v>#REF!</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39">
        <f t="shared" si="236"/>
        <v>0</v>
      </c>
    </row>
    <row r="381" spans="1:72">
      <c r="A381" s="6"/>
      <c r="B381" s="31"/>
      <c r="C381" s="31"/>
      <c r="D381" s="1509" t="s">
        <v>3569</v>
      </c>
      <c r="E381" s="32" t="e">
        <f t="shared" si="237"/>
        <v>#REF!</v>
      </c>
      <c r="F381" s="33"/>
      <c r="G381" s="34">
        <f t="shared" si="212"/>
        <v>0</v>
      </c>
      <c r="H381" s="35">
        <f t="shared" si="213"/>
        <v>0</v>
      </c>
      <c r="I381" s="1510">
        <f>铂郡面积表!E329</f>
        <v>0</v>
      </c>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3"/>
      <c r="AU381" s="1512"/>
      <c r="AV381" s="529">
        <f t="shared" si="238"/>
        <v>0</v>
      </c>
      <c r="AW381" s="529">
        <f t="shared" si="239"/>
        <v>0</v>
      </c>
      <c r="AX381" s="529">
        <f t="shared" si="240"/>
        <v>0</v>
      </c>
      <c r="AY381" s="38" t="e">
        <f t="shared" si="215"/>
        <v>#REF!</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39">
        <f t="shared" si="236"/>
        <v>0</v>
      </c>
    </row>
    <row r="382" spans="1:72">
      <c r="A382" s="6"/>
      <c r="B382" s="31"/>
      <c r="C382" s="31"/>
      <c r="D382" s="1509" t="s">
        <v>3569</v>
      </c>
      <c r="E382" s="32" t="e">
        <f t="shared" si="237"/>
        <v>#REF!</v>
      </c>
      <c r="F382" s="33"/>
      <c r="G382" s="34">
        <f t="shared" si="212"/>
        <v>0</v>
      </c>
      <c r="H382" s="35">
        <f t="shared" si="213"/>
        <v>0</v>
      </c>
      <c r="I382" s="1510">
        <f>铂郡面积表!E330</f>
        <v>0</v>
      </c>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3"/>
      <c r="AU382" s="1512"/>
      <c r="AV382" s="529">
        <f t="shared" si="238"/>
        <v>0</v>
      </c>
      <c r="AW382" s="529">
        <f t="shared" si="239"/>
        <v>0</v>
      </c>
      <c r="AX382" s="529">
        <f t="shared" si="240"/>
        <v>0</v>
      </c>
      <c r="AY382" s="38" t="e">
        <f t="shared" si="215"/>
        <v>#REF!</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39">
        <f t="shared" si="236"/>
        <v>0</v>
      </c>
    </row>
    <row r="383" spans="1:72">
      <c r="A383" s="6"/>
      <c r="B383" s="31"/>
      <c r="C383" s="31"/>
      <c r="D383" s="1509" t="s">
        <v>3569</v>
      </c>
      <c r="E383" s="32" t="e">
        <f t="shared" si="237"/>
        <v>#REF!</v>
      </c>
      <c r="F383" s="33"/>
      <c r="G383" s="34">
        <f t="shared" si="212"/>
        <v>0</v>
      </c>
      <c r="H383" s="35">
        <f t="shared" si="213"/>
        <v>0</v>
      </c>
      <c r="I383" s="1510">
        <f>铂郡面积表!E331</f>
        <v>0</v>
      </c>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3"/>
      <c r="AU383" s="1512"/>
      <c r="AV383" s="529">
        <f t="shared" si="238"/>
        <v>0</v>
      </c>
      <c r="AW383" s="529">
        <f t="shared" si="239"/>
        <v>0</v>
      </c>
      <c r="AX383" s="529">
        <f t="shared" si="240"/>
        <v>0</v>
      </c>
      <c r="AY383" s="38" t="e">
        <f t="shared" si="215"/>
        <v>#REF!</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39">
        <f t="shared" si="236"/>
        <v>0</v>
      </c>
    </row>
    <row r="384" spans="1:72">
      <c r="A384" s="6"/>
      <c r="B384" s="31"/>
      <c r="C384" s="31"/>
      <c r="D384" s="1509" t="s">
        <v>3569</v>
      </c>
      <c r="E384" s="32" t="e">
        <f t="shared" si="237"/>
        <v>#REF!</v>
      </c>
      <c r="F384" s="33"/>
      <c r="G384" s="34">
        <f t="shared" si="212"/>
        <v>0</v>
      </c>
      <c r="H384" s="35">
        <f t="shared" si="213"/>
        <v>0</v>
      </c>
      <c r="I384" s="1510">
        <f>铂郡面积表!E332</f>
        <v>0</v>
      </c>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3"/>
      <c r="AU384" s="1512"/>
      <c r="AV384" s="529">
        <f t="shared" si="238"/>
        <v>0</v>
      </c>
      <c r="AW384" s="529">
        <f t="shared" si="239"/>
        <v>0</v>
      </c>
      <c r="AX384" s="529">
        <f t="shared" si="240"/>
        <v>0</v>
      </c>
      <c r="AY384" s="38" t="e">
        <f t="shared" si="215"/>
        <v>#REF!</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39">
        <f t="shared" si="236"/>
        <v>0</v>
      </c>
    </row>
    <row r="385" spans="1:72">
      <c r="A385" s="6"/>
      <c r="B385" s="31"/>
      <c r="C385" s="31"/>
      <c r="D385" s="1509" t="s">
        <v>3569</v>
      </c>
      <c r="E385" s="32" t="e">
        <f t="shared" si="237"/>
        <v>#REF!</v>
      </c>
      <c r="F385" s="33"/>
      <c r="G385" s="34">
        <f t="shared" si="212"/>
        <v>0</v>
      </c>
      <c r="H385" s="35">
        <f t="shared" si="213"/>
        <v>0</v>
      </c>
      <c r="I385" s="1510">
        <f>铂郡面积表!E333</f>
        <v>0</v>
      </c>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3"/>
      <c r="AU385" s="1512"/>
      <c r="AV385" s="529">
        <f t="shared" si="238"/>
        <v>0</v>
      </c>
      <c r="AW385" s="529">
        <f t="shared" si="239"/>
        <v>0</v>
      </c>
      <c r="AX385" s="529">
        <f t="shared" si="240"/>
        <v>0</v>
      </c>
      <c r="AY385" s="38" t="e">
        <f t="shared" si="215"/>
        <v>#REF!</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39">
        <f t="shared" si="236"/>
        <v>0</v>
      </c>
    </row>
    <row r="386" spans="1:72">
      <c r="A386" s="6"/>
      <c r="B386" s="31"/>
      <c r="C386" s="31"/>
      <c r="D386" s="1509" t="s">
        <v>3569</v>
      </c>
      <c r="E386" s="32" t="e">
        <f t="shared" si="237"/>
        <v>#REF!</v>
      </c>
      <c r="F386" s="33"/>
      <c r="G386" s="34">
        <f t="shared" si="212"/>
        <v>0</v>
      </c>
      <c r="H386" s="35">
        <f t="shared" si="213"/>
        <v>0</v>
      </c>
      <c r="I386" s="1510">
        <f>铂郡面积表!E334</f>
        <v>0</v>
      </c>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3"/>
      <c r="AU386" s="1512"/>
      <c r="AV386" s="529">
        <f t="shared" si="238"/>
        <v>0</v>
      </c>
      <c r="AW386" s="529">
        <f t="shared" si="239"/>
        <v>0</v>
      </c>
      <c r="AX386" s="529">
        <f t="shared" si="240"/>
        <v>0</v>
      </c>
      <c r="AY386" s="38" t="e">
        <f t="shared" si="215"/>
        <v>#REF!</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39">
        <f t="shared" si="236"/>
        <v>0</v>
      </c>
    </row>
    <row r="387" spans="1:72">
      <c r="A387" s="6"/>
      <c r="B387" s="31"/>
      <c r="C387" s="31"/>
      <c r="D387" s="1509" t="s">
        <v>3569</v>
      </c>
      <c r="E387" s="32" t="e">
        <f t="shared" si="237"/>
        <v>#REF!</v>
      </c>
      <c r="F387" s="33"/>
      <c r="G387" s="34">
        <f t="shared" si="212"/>
        <v>0</v>
      </c>
      <c r="H387" s="35">
        <f t="shared" si="213"/>
        <v>0</v>
      </c>
      <c r="I387" s="1510">
        <f>铂郡面积表!E335</f>
        <v>0</v>
      </c>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3"/>
      <c r="AU387" s="1512"/>
      <c r="AV387" s="529">
        <f t="shared" si="238"/>
        <v>0</v>
      </c>
      <c r="AW387" s="529">
        <f t="shared" si="239"/>
        <v>0</v>
      </c>
      <c r="AX387" s="529">
        <f t="shared" si="240"/>
        <v>0</v>
      </c>
      <c r="AY387" s="38" t="e">
        <f t="shared" si="215"/>
        <v>#REF!</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39">
        <f t="shared" si="236"/>
        <v>0</v>
      </c>
    </row>
    <row r="388" spans="1:72">
      <c r="A388" s="6"/>
      <c r="B388" s="31"/>
      <c r="C388" s="31"/>
      <c r="D388" s="1509" t="s">
        <v>3569</v>
      </c>
      <c r="E388" s="32" t="e">
        <f t="shared" si="237"/>
        <v>#REF!</v>
      </c>
      <c r="F388" s="33"/>
      <c r="G388" s="34">
        <f t="shared" si="212"/>
        <v>0</v>
      </c>
      <c r="H388" s="35">
        <f t="shared" si="213"/>
        <v>0</v>
      </c>
      <c r="I388" s="1510">
        <f>铂郡面积表!E336</f>
        <v>0</v>
      </c>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3"/>
      <c r="AU388" s="1512"/>
      <c r="AV388" s="529">
        <f t="shared" si="238"/>
        <v>0</v>
      </c>
      <c r="AW388" s="529">
        <f t="shared" si="239"/>
        <v>0</v>
      </c>
      <c r="AX388" s="529">
        <f t="shared" si="240"/>
        <v>0</v>
      </c>
      <c r="AY388" s="38" t="e">
        <f t="shared" si="215"/>
        <v>#REF!</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39">
        <f t="shared" si="236"/>
        <v>0</v>
      </c>
    </row>
    <row r="389" spans="1:72">
      <c r="A389" s="6"/>
      <c r="B389" s="31"/>
      <c r="C389" s="31"/>
      <c r="D389" s="1509" t="s">
        <v>3569</v>
      </c>
      <c r="E389" s="32" t="e">
        <f t="shared" si="237"/>
        <v>#REF!</v>
      </c>
      <c r="F389" s="33"/>
      <c r="G389" s="34">
        <f t="shared" si="212"/>
        <v>0</v>
      </c>
      <c r="H389" s="35">
        <f t="shared" si="213"/>
        <v>0</v>
      </c>
      <c r="I389" s="1510">
        <f>铂郡面积表!E337</f>
        <v>0</v>
      </c>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3"/>
      <c r="AU389" s="1512"/>
      <c r="AV389" s="529">
        <f t="shared" si="238"/>
        <v>0</v>
      </c>
      <c r="AW389" s="529">
        <f t="shared" si="239"/>
        <v>0</v>
      </c>
      <c r="AX389" s="529">
        <f t="shared" si="240"/>
        <v>0</v>
      </c>
      <c r="AY389" s="38" t="e">
        <f t="shared" si="215"/>
        <v>#REF!</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39">
        <f t="shared" si="236"/>
        <v>0</v>
      </c>
    </row>
    <row r="390" spans="1:72">
      <c r="A390" s="6"/>
      <c r="B390" s="31"/>
      <c r="C390" s="31"/>
      <c r="D390" s="1509" t="s">
        <v>3569</v>
      </c>
      <c r="E390" s="32" t="e">
        <f t="shared" si="237"/>
        <v>#REF!</v>
      </c>
      <c r="F390" s="33"/>
      <c r="G390" s="34">
        <f t="shared" si="212"/>
        <v>0</v>
      </c>
      <c r="H390" s="35">
        <f t="shared" si="213"/>
        <v>0</v>
      </c>
      <c r="I390" s="1510">
        <f>铂郡面积表!E338</f>
        <v>0</v>
      </c>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3"/>
      <c r="AU390" s="1512"/>
      <c r="AV390" s="529">
        <f t="shared" si="238"/>
        <v>0</v>
      </c>
      <c r="AW390" s="529">
        <f t="shared" si="239"/>
        <v>0</v>
      </c>
      <c r="AX390" s="529">
        <f t="shared" si="240"/>
        <v>0</v>
      </c>
      <c r="AY390" s="38" t="e">
        <f t="shared" si="215"/>
        <v>#REF!</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39">
        <f t="shared" si="236"/>
        <v>0</v>
      </c>
    </row>
    <row r="391" spans="1:72">
      <c r="A391" s="6"/>
      <c r="B391" s="31"/>
      <c r="C391" s="31"/>
      <c r="D391" s="1509" t="s">
        <v>3569</v>
      </c>
      <c r="E391" s="32" t="e">
        <f t="shared" si="237"/>
        <v>#REF!</v>
      </c>
      <c r="F391" s="33"/>
      <c r="G391" s="34">
        <f t="shared" si="212"/>
        <v>0</v>
      </c>
      <c r="H391" s="35">
        <f t="shared" si="213"/>
        <v>0</v>
      </c>
      <c r="I391" s="1510">
        <f>铂郡面积表!E339</f>
        <v>0</v>
      </c>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3"/>
      <c r="AU391" s="1512"/>
      <c r="AV391" s="529">
        <f t="shared" si="238"/>
        <v>0</v>
      </c>
      <c r="AW391" s="529">
        <f t="shared" si="239"/>
        <v>0</v>
      </c>
      <c r="AX391" s="529">
        <f t="shared" si="240"/>
        <v>0</v>
      </c>
      <c r="AY391" s="38" t="e">
        <f t="shared" si="215"/>
        <v>#REF!</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39">
        <f t="shared" si="236"/>
        <v>0</v>
      </c>
    </row>
    <row r="392" spans="1:72">
      <c r="A392" s="6"/>
      <c r="B392" s="31"/>
      <c r="C392" s="31"/>
      <c r="D392" s="1509" t="s">
        <v>3569</v>
      </c>
      <c r="E392" s="32" t="e">
        <f t="shared" si="237"/>
        <v>#REF!</v>
      </c>
      <c r="F392" s="33"/>
      <c r="G392" s="34">
        <f t="shared" si="212"/>
        <v>0</v>
      </c>
      <c r="H392" s="35">
        <f t="shared" si="213"/>
        <v>0</v>
      </c>
      <c r="I392" s="1510">
        <f>铂郡面积表!E340</f>
        <v>0</v>
      </c>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3"/>
      <c r="AU392" s="1512"/>
      <c r="AV392" s="529">
        <f t="shared" si="238"/>
        <v>0</v>
      </c>
      <c r="AW392" s="529">
        <f t="shared" si="239"/>
        <v>0</v>
      </c>
      <c r="AX392" s="529">
        <f t="shared" si="240"/>
        <v>0</v>
      </c>
      <c r="AY392" s="38" t="e">
        <f t="shared" si="215"/>
        <v>#REF!</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39">
        <f t="shared" si="236"/>
        <v>0</v>
      </c>
    </row>
    <row r="393" spans="1:72">
      <c r="A393" s="6"/>
      <c r="B393" s="31"/>
      <c r="C393" s="31"/>
      <c r="D393" s="1509" t="s">
        <v>3569</v>
      </c>
      <c r="E393" s="32" t="e">
        <f t="shared" si="237"/>
        <v>#REF!</v>
      </c>
      <c r="F393" s="33"/>
      <c r="G393" s="34">
        <f t="shared" si="212"/>
        <v>0</v>
      </c>
      <c r="H393" s="35">
        <f t="shared" si="213"/>
        <v>0</v>
      </c>
      <c r="I393" s="1510">
        <f>铂郡面积表!E341</f>
        <v>0</v>
      </c>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3"/>
      <c r="AU393" s="1512"/>
      <c r="AV393" s="529">
        <f t="shared" si="238"/>
        <v>0</v>
      </c>
      <c r="AW393" s="529">
        <f t="shared" si="239"/>
        <v>0</v>
      </c>
      <c r="AX393" s="529">
        <f t="shared" si="240"/>
        <v>0</v>
      </c>
      <c r="AY393" s="38" t="e">
        <f t="shared" si="215"/>
        <v>#REF!</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39">
        <f t="shared" si="236"/>
        <v>0</v>
      </c>
    </row>
    <row r="394" spans="1:72">
      <c r="A394" s="6"/>
      <c r="B394" s="31"/>
      <c r="C394" s="31"/>
      <c r="D394" s="1509" t="s">
        <v>3569</v>
      </c>
      <c r="E394" s="32" t="e">
        <f t="shared" si="237"/>
        <v>#REF!</v>
      </c>
      <c r="F394" s="33"/>
      <c r="G394" s="34">
        <f t="shared" si="212"/>
        <v>0</v>
      </c>
      <c r="H394" s="35">
        <f t="shared" si="213"/>
        <v>0</v>
      </c>
      <c r="I394" s="1510">
        <f>铂郡面积表!E342</f>
        <v>0</v>
      </c>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3"/>
      <c r="AU394" s="1512"/>
      <c r="AV394" s="529">
        <f t="shared" si="238"/>
        <v>0</v>
      </c>
      <c r="AW394" s="529">
        <f t="shared" si="239"/>
        <v>0</v>
      </c>
      <c r="AX394" s="529">
        <f t="shared" si="240"/>
        <v>0</v>
      </c>
      <c r="AY394" s="38" t="e">
        <f t="shared" si="215"/>
        <v>#REF!</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39">
        <f t="shared" si="236"/>
        <v>0</v>
      </c>
    </row>
    <row r="395" spans="1:72">
      <c r="A395" s="6"/>
      <c r="B395" s="6"/>
      <c r="C395" s="6"/>
      <c r="D395" s="1509" t="s">
        <v>3569</v>
      </c>
      <c r="E395" s="32" t="e">
        <f t="shared" si="237"/>
        <v>#REF!</v>
      </c>
      <c r="F395" s="37"/>
      <c r="G395" s="34">
        <f t="shared" si="212"/>
        <v>0</v>
      </c>
      <c r="H395" s="35">
        <f t="shared" si="213"/>
        <v>0</v>
      </c>
      <c r="I395" s="1510">
        <f>铂郡面积表!E343</f>
        <v>0</v>
      </c>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062"/>
      <c r="AV395" s="529">
        <f t="shared" si="238"/>
        <v>0</v>
      </c>
      <c r="AW395" s="529">
        <f t="shared" si="239"/>
        <v>0</v>
      </c>
      <c r="AX395" s="529">
        <f t="shared" si="240"/>
        <v>0</v>
      </c>
      <c r="AY395" s="38" t="e">
        <f t="shared" si="215"/>
        <v>#REF!</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39">
        <f t="shared" si="236"/>
        <v>0</v>
      </c>
    </row>
    <row r="396" spans="1:72">
      <c r="A396" s="6"/>
      <c r="B396" s="6"/>
      <c r="C396" s="6"/>
      <c r="D396" s="1509" t="s">
        <v>3569</v>
      </c>
      <c r="E396" s="32" t="e">
        <f t="shared" si="237"/>
        <v>#REF!</v>
      </c>
      <c r="F396" s="37"/>
      <c r="G396" s="34">
        <f>H396+AC396+AT396</f>
        <v>0</v>
      </c>
      <c r="H396" s="35">
        <f>SUMIF(I$12:AB$12,"总值",I396:AB396)</f>
        <v>0</v>
      </c>
      <c r="I396" s="1510">
        <f>铂郡面积表!E344</f>
        <v>0</v>
      </c>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9">
        <f t="shared" si="238"/>
        <v>0</v>
      </c>
      <c r="AW396" s="529">
        <f t="shared" si="239"/>
        <v>0</v>
      </c>
      <c r="AX396" s="529">
        <f t="shared" si="240"/>
        <v>0</v>
      </c>
      <c r="AY396" s="38" t="e">
        <f>ROUND($AY$6*AZ396/$AZ$5,2)</f>
        <v>#REF!</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39">
        <f t="shared" si="236"/>
        <v>0</v>
      </c>
    </row>
    <row r="397" spans="1:72">
      <c r="A397" s="6"/>
      <c r="B397" s="6"/>
      <c r="C397" s="6"/>
      <c r="D397" s="1509" t="s">
        <v>3569</v>
      </c>
      <c r="E397" s="32" t="e">
        <f t="shared" si="237"/>
        <v>#REF!</v>
      </c>
      <c r="F397" s="37"/>
      <c r="G397" s="34">
        <f>H397+AC397+AT397</f>
        <v>0</v>
      </c>
      <c r="H397" s="35">
        <f>SUMIF(I$12:AB$12,"总值",I397:AB397)</f>
        <v>0</v>
      </c>
      <c r="I397" s="1510">
        <f>铂郡面积表!E345</f>
        <v>0</v>
      </c>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9">
        <f t="shared" si="238"/>
        <v>0</v>
      </c>
      <c r="AW397" s="529">
        <f t="shared" si="239"/>
        <v>0</v>
      </c>
      <c r="AX397" s="529">
        <f t="shared" si="240"/>
        <v>0</v>
      </c>
      <c r="AY397" s="38" t="e">
        <f>ROUND($AY$6*AZ397/$AZ$5,2)</f>
        <v>#REF!</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39">
        <f t="shared" si="236"/>
        <v>0</v>
      </c>
    </row>
    <row r="398" spans="1:72">
      <c r="A398" s="6"/>
      <c r="B398" s="31"/>
      <c r="C398" s="31"/>
      <c r="D398" s="1509" t="s">
        <v>3569</v>
      </c>
      <c r="E398" s="32" t="e">
        <f t="shared" ref="E398:E492" si="241">IF($C$3="是",ROUND($A$3*G398/$B$3,2),ROUND($A$3*(G398-AT398)/$B$3,2))</f>
        <v>#REF!</v>
      </c>
      <c r="F398" s="33"/>
      <c r="G398" s="34">
        <f t="shared" ref="G398:G489" si="242">H398+AC398+AT398</f>
        <v>0</v>
      </c>
      <c r="H398" s="35">
        <f t="shared" ref="H398:H489" si="243">SUMIF(I$12:AB$12,"总值",I398:AB398)</f>
        <v>0</v>
      </c>
      <c r="I398" s="1510">
        <f>铂郡面积表!E346</f>
        <v>0</v>
      </c>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9">
        <f t="shared" ref="AV398:AV492" si="245">A398</f>
        <v>0</v>
      </c>
      <c r="AW398" s="529">
        <f t="shared" ref="AW398:AW492" si="246">B398</f>
        <v>0</v>
      </c>
      <c r="AX398" s="529">
        <f t="shared" ref="AX398:AX492" si="247">C398</f>
        <v>0</v>
      </c>
      <c r="AY398" s="38" t="e">
        <f t="shared" ref="AY398:AY489" si="248">ROUND($AY$6*AZ398/$AZ$5,2)</f>
        <v>#REF!</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39">
        <f t="shared" ref="BT398:BT489" si="269">IF($D398="是",AR398-AS398,0)</f>
        <v>0</v>
      </c>
    </row>
    <row r="399" spans="1:72">
      <c r="A399" s="6"/>
      <c r="B399" s="31"/>
      <c r="C399" s="31"/>
      <c r="D399" s="1509" t="s">
        <v>3569</v>
      </c>
      <c r="E399" s="32" t="e">
        <f t="shared" si="241"/>
        <v>#REF!</v>
      </c>
      <c r="F399" s="33"/>
      <c r="G399" s="34">
        <f t="shared" si="242"/>
        <v>0</v>
      </c>
      <c r="H399" s="35">
        <f t="shared" si="243"/>
        <v>0</v>
      </c>
      <c r="I399" s="1510">
        <f>铂郡面积表!E347</f>
        <v>0</v>
      </c>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3"/>
      <c r="AU399" s="1512"/>
      <c r="AV399" s="529">
        <f t="shared" si="245"/>
        <v>0</v>
      </c>
      <c r="AW399" s="529">
        <f t="shared" si="246"/>
        <v>0</v>
      </c>
      <c r="AX399" s="529">
        <f t="shared" si="247"/>
        <v>0</v>
      </c>
      <c r="AY399" s="38" t="e">
        <f t="shared" si="248"/>
        <v>#REF!</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39">
        <f t="shared" si="269"/>
        <v>0</v>
      </c>
    </row>
    <row r="400" spans="1:72">
      <c r="A400" s="6"/>
      <c r="B400" s="31"/>
      <c r="C400" s="31"/>
      <c r="D400" s="1509" t="s">
        <v>3569</v>
      </c>
      <c r="E400" s="32" t="e">
        <f t="shared" si="241"/>
        <v>#REF!</v>
      </c>
      <c r="F400" s="33"/>
      <c r="G400" s="34">
        <f t="shared" si="242"/>
        <v>0</v>
      </c>
      <c r="H400" s="35">
        <f t="shared" si="243"/>
        <v>0</v>
      </c>
      <c r="I400" s="1510">
        <f>铂郡面积表!E348</f>
        <v>0</v>
      </c>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3"/>
      <c r="AU400" s="1512"/>
      <c r="AV400" s="529">
        <f t="shared" si="245"/>
        <v>0</v>
      </c>
      <c r="AW400" s="529">
        <f t="shared" si="246"/>
        <v>0</v>
      </c>
      <c r="AX400" s="529">
        <f t="shared" si="247"/>
        <v>0</v>
      </c>
      <c r="AY400" s="38" t="e">
        <f t="shared" si="248"/>
        <v>#REF!</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39">
        <f t="shared" si="269"/>
        <v>0</v>
      </c>
    </row>
    <row r="401" spans="1:72">
      <c r="A401" s="6"/>
      <c r="B401" s="31"/>
      <c r="C401" s="31"/>
      <c r="D401" s="1509" t="s">
        <v>3569</v>
      </c>
      <c r="E401" s="32" t="e">
        <f t="shared" si="241"/>
        <v>#REF!</v>
      </c>
      <c r="F401" s="33"/>
      <c r="G401" s="34">
        <f t="shared" si="242"/>
        <v>0</v>
      </c>
      <c r="H401" s="35">
        <f t="shared" si="243"/>
        <v>0</v>
      </c>
      <c r="I401" s="1510">
        <f>铂郡面积表!E349</f>
        <v>0</v>
      </c>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3"/>
      <c r="AU401" s="1512"/>
      <c r="AV401" s="529">
        <f t="shared" si="245"/>
        <v>0</v>
      </c>
      <c r="AW401" s="529">
        <f t="shared" si="246"/>
        <v>0</v>
      </c>
      <c r="AX401" s="529">
        <f t="shared" si="247"/>
        <v>0</v>
      </c>
      <c r="AY401" s="38" t="e">
        <f t="shared" si="248"/>
        <v>#REF!</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39">
        <f t="shared" si="269"/>
        <v>0</v>
      </c>
    </row>
    <row r="402" spans="1:72">
      <c r="A402" s="6"/>
      <c r="B402" s="31"/>
      <c r="C402" s="31"/>
      <c r="D402" s="1509" t="s">
        <v>3569</v>
      </c>
      <c r="E402" s="32" t="e">
        <f t="shared" si="241"/>
        <v>#REF!</v>
      </c>
      <c r="F402" s="33"/>
      <c r="G402" s="34">
        <f t="shared" si="242"/>
        <v>0</v>
      </c>
      <c r="H402" s="35">
        <f t="shared" si="243"/>
        <v>0</v>
      </c>
      <c r="I402" s="1510">
        <f>铂郡面积表!E350</f>
        <v>0</v>
      </c>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3"/>
      <c r="AU402" s="1512"/>
      <c r="AV402" s="529">
        <f t="shared" si="245"/>
        <v>0</v>
      </c>
      <c r="AW402" s="529">
        <f t="shared" si="246"/>
        <v>0</v>
      </c>
      <c r="AX402" s="529">
        <f t="shared" si="247"/>
        <v>0</v>
      </c>
      <c r="AY402" s="38" t="e">
        <f t="shared" si="248"/>
        <v>#REF!</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39">
        <f t="shared" si="269"/>
        <v>0</v>
      </c>
    </row>
    <row r="403" spans="1:72">
      <c r="A403" s="6"/>
      <c r="B403" s="31"/>
      <c r="C403" s="31"/>
      <c r="D403" s="1509" t="s">
        <v>3569</v>
      </c>
      <c r="E403" s="32" t="e">
        <f t="shared" si="241"/>
        <v>#REF!</v>
      </c>
      <c r="F403" s="33"/>
      <c r="G403" s="34">
        <f t="shared" si="242"/>
        <v>0</v>
      </c>
      <c r="H403" s="35">
        <f t="shared" si="243"/>
        <v>0</v>
      </c>
      <c r="I403" s="1510">
        <f>铂郡面积表!E351</f>
        <v>0</v>
      </c>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3"/>
      <c r="AU403" s="1512"/>
      <c r="AV403" s="529">
        <f t="shared" si="245"/>
        <v>0</v>
      </c>
      <c r="AW403" s="529">
        <f t="shared" si="246"/>
        <v>0</v>
      </c>
      <c r="AX403" s="529">
        <f t="shared" si="247"/>
        <v>0</v>
      </c>
      <c r="AY403" s="38" t="e">
        <f t="shared" si="248"/>
        <v>#REF!</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39">
        <f t="shared" si="269"/>
        <v>0</v>
      </c>
    </row>
    <row r="404" spans="1:72">
      <c r="A404" s="6"/>
      <c r="B404" s="31"/>
      <c r="C404" s="31"/>
      <c r="D404" s="1509" t="s">
        <v>3569</v>
      </c>
      <c r="E404" s="32" t="e">
        <f t="shared" si="241"/>
        <v>#REF!</v>
      </c>
      <c r="F404" s="33"/>
      <c r="G404" s="34">
        <f t="shared" si="242"/>
        <v>0</v>
      </c>
      <c r="H404" s="35">
        <f t="shared" si="243"/>
        <v>0</v>
      </c>
      <c r="I404" s="1510">
        <f>铂郡面积表!E352</f>
        <v>0</v>
      </c>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3"/>
      <c r="AU404" s="1512"/>
      <c r="AV404" s="529">
        <f t="shared" si="245"/>
        <v>0</v>
      </c>
      <c r="AW404" s="529">
        <f t="shared" si="246"/>
        <v>0</v>
      </c>
      <c r="AX404" s="529">
        <f t="shared" si="247"/>
        <v>0</v>
      </c>
      <c r="AY404" s="38" t="e">
        <f t="shared" si="248"/>
        <v>#REF!</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39">
        <f t="shared" si="269"/>
        <v>0</v>
      </c>
    </row>
    <row r="405" spans="1:72">
      <c r="A405" s="6"/>
      <c r="B405" s="31"/>
      <c r="C405" s="31"/>
      <c r="D405" s="1509" t="s">
        <v>3569</v>
      </c>
      <c r="E405" s="32" t="e">
        <f t="shared" si="241"/>
        <v>#REF!</v>
      </c>
      <c r="F405" s="33"/>
      <c r="G405" s="34">
        <f t="shared" si="242"/>
        <v>0</v>
      </c>
      <c r="H405" s="35">
        <f t="shared" si="243"/>
        <v>0</v>
      </c>
      <c r="I405" s="1510">
        <f>铂郡面积表!E353</f>
        <v>0</v>
      </c>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3"/>
      <c r="AU405" s="1512"/>
      <c r="AV405" s="529">
        <f t="shared" si="245"/>
        <v>0</v>
      </c>
      <c r="AW405" s="529">
        <f t="shared" si="246"/>
        <v>0</v>
      </c>
      <c r="AX405" s="529">
        <f t="shared" si="247"/>
        <v>0</v>
      </c>
      <c r="AY405" s="38" t="e">
        <f t="shared" si="248"/>
        <v>#REF!</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39">
        <f t="shared" si="269"/>
        <v>0</v>
      </c>
    </row>
    <row r="406" spans="1:72">
      <c r="A406" s="6"/>
      <c r="B406" s="31"/>
      <c r="C406" s="31"/>
      <c r="D406" s="1509" t="s">
        <v>3569</v>
      </c>
      <c r="E406" s="32" t="e">
        <f t="shared" si="241"/>
        <v>#REF!</v>
      </c>
      <c r="F406" s="33"/>
      <c r="G406" s="34">
        <f t="shared" si="242"/>
        <v>0</v>
      </c>
      <c r="H406" s="35">
        <f t="shared" si="243"/>
        <v>0</v>
      </c>
      <c r="I406" s="1510">
        <f>铂郡面积表!E354</f>
        <v>0</v>
      </c>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3"/>
      <c r="AU406" s="1512"/>
      <c r="AV406" s="529">
        <f t="shared" si="245"/>
        <v>0</v>
      </c>
      <c r="AW406" s="529">
        <f t="shared" si="246"/>
        <v>0</v>
      </c>
      <c r="AX406" s="529">
        <f t="shared" si="247"/>
        <v>0</v>
      </c>
      <c r="AY406" s="38" t="e">
        <f t="shared" si="248"/>
        <v>#REF!</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39">
        <f t="shared" si="269"/>
        <v>0</v>
      </c>
    </row>
    <row r="407" spans="1:72">
      <c r="A407" s="6"/>
      <c r="B407" s="31"/>
      <c r="C407" s="31"/>
      <c r="D407" s="1509" t="s">
        <v>3569</v>
      </c>
      <c r="E407" s="32" t="e">
        <f t="shared" si="241"/>
        <v>#REF!</v>
      </c>
      <c r="F407" s="33"/>
      <c r="G407" s="34">
        <f t="shared" si="242"/>
        <v>0</v>
      </c>
      <c r="H407" s="35">
        <f t="shared" si="243"/>
        <v>0</v>
      </c>
      <c r="I407" s="1510">
        <f>铂郡面积表!E355</f>
        <v>0</v>
      </c>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3"/>
      <c r="AU407" s="1512"/>
      <c r="AV407" s="529">
        <f t="shared" si="245"/>
        <v>0</v>
      </c>
      <c r="AW407" s="529">
        <f t="shared" si="246"/>
        <v>0</v>
      </c>
      <c r="AX407" s="529">
        <f t="shared" si="247"/>
        <v>0</v>
      </c>
      <c r="AY407" s="38" t="e">
        <f t="shared" si="248"/>
        <v>#REF!</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39">
        <f t="shared" si="269"/>
        <v>0</v>
      </c>
    </row>
    <row r="408" spans="1:72">
      <c r="A408" s="6"/>
      <c r="B408" s="31"/>
      <c r="C408" s="31"/>
      <c r="D408" s="1509" t="s">
        <v>3569</v>
      </c>
      <c r="E408" s="32" t="e">
        <f t="shared" si="241"/>
        <v>#REF!</v>
      </c>
      <c r="F408" s="33"/>
      <c r="G408" s="34">
        <f t="shared" si="242"/>
        <v>0</v>
      </c>
      <c r="H408" s="35">
        <f t="shared" si="243"/>
        <v>0</v>
      </c>
      <c r="I408" s="1510">
        <f>铂郡面积表!E356</f>
        <v>0</v>
      </c>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3"/>
      <c r="AU408" s="1512"/>
      <c r="AV408" s="529">
        <f t="shared" si="245"/>
        <v>0</v>
      </c>
      <c r="AW408" s="529">
        <f t="shared" si="246"/>
        <v>0</v>
      </c>
      <c r="AX408" s="529">
        <f t="shared" si="247"/>
        <v>0</v>
      </c>
      <c r="AY408" s="38" t="e">
        <f t="shared" si="248"/>
        <v>#REF!</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39">
        <f t="shared" si="269"/>
        <v>0</v>
      </c>
    </row>
    <row r="409" spans="1:72">
      <c r="A409" s="6"/>
      <c r="B409" s="31"/>
      <c r="C409" s="31"/>
      <c r="D409" s="1509" t="s">
        <v>3569</v>
      </c>
      <c r="E409" s="32" t="e">
        <f t="shared" si="241"/>
        <v>#REF!</v>
      </c>
      <c r="F409" s="33"/>
      <c r="G409" s="34">
        <f t="shared" si="242"/>
        <v>0</v>
      </c>
      <c r="H409" s="35">
        <f t="shared" si="243"/>
        <v>0</v>
      </c>
      <c r="I409" s="1510">
        <f>铂郡面积表!E357</f>
        <v>0</v>
      </c>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3"/>
      <c r="AU409" s="1512"/>
      <c r="AV409" s="529">
        <f t="shared" si="245"/>
        <v>0</v>
      </c>
      <c r="AW409" s="529">
        <f t="shared" si="246"/>
        <v>0</v>
      </c>
      <c r="AX409" s="529">
        <f t="shared" si="247"/>
        <v>0</v>
      </c>
      <c r="AY409" s="38" t="e">
        <f t="shared" si="248"/>
        <v>#REF!</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39">
        <f t="shared" si="269"/>
        <v>0</v>
      </c>
    </row>
    <row r="410" spans="1:72">
      <c r="A410" s="6"/>
      <c r="B410" s="31"/>
      <c r="C410" s="31"/>
      <c r="D410" s="1509" t="s">
        <v>3569</v>
      </c>
      <c r="E410" s="32" t="e">
        <f t="shared" si="241"/>
        <v>#REF!</v>
      </c>
      <c r="F410" s="33"/>
      <c r="G410" s="34">
        <f t="shared" si="242"/>
        <v>0</v>
      </c>
      <c r="H410" s="35">
        <f t="shared" si="243"/>
        <v>0</v>
      </c>
      <c r="I410" s="1510">
        <f>铂郡面积表!E358</f>
        <v>0</v>
      </c>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3"/>
      <c r="AU410" s="1512"/>
      <c r="AV410" s="529">
        <f t="shared" si="245"/>
        <v>0</v>
      </c>
      <c r="AW410" s="529">
        <f t="shared" si="246"/>
        <v>0</v>
      </c>
      <c r="AX410" s="529">
        <f t="shared" si="247"/>
        <v>0</v>
      </c>
      <c r="AY410" s="38" t="e">
        <f t="shared" si="248"/>
        <v>#REF!</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39">
        <f t="shared" si="269"/>
        <v>0</v>
      </c>
    </row>
    <row r="411" spans="1:72">
      <c r="A411" s="6"/>
      <c r="B411" s="31"/>
      <c r="C411" s="31"/>
      <c r="D411" s="1509" t="s">
        <v>3569</v>
      </c>
      <c r="E411" s="32" t="e">
        <f t="shared" si="241"/>
        <v>#REF!</v>
      </c>
      <c r="F411" s="33"/>
      <c r="G411" s="34">
        <f t="shared" si="242"/>
        <v>0</v>
      </c>
      <c r="H411" s="35">
        <f t="shared" si="243"/>
        <v>0</v>
      </c>
      <c r="I411" s="1510">
        <f>铂郡面积表!E359</f>
        <v>0</v>
      </c>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3"/>
      <c r="AU411" s="1512"/>
      <c r="AV411" s="529">
        <f t="shared" si="245"/>
        <v>0</v>
      </c>
      <c r="AW411" s="529">
        <f t="shared" si="246"/>
        <v>0</v>
      </c>
      <c r="AX411" s="529">
        <f t="shared" si="247"/>
        <v>0</v>
      </c>
      <c r="AY411" s="38" t="e">
        <f t="shared" si="248"/>
        <v>#REF!</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39">
        <f t="shared" si="269"/>
        <v>0</v>
      </c>
    </row>
    <row r="412" spans="1:72">
      <c r="A412" s="6"/>
      <c r="B412" s="31"/>
      <c r="C412" s="31"/>
      <c r="D412" s="1509" t="s">
        <v>3569</v>
      </c>
      <c r="E412" s="32" t="e">
        <f t="shared" si="241"/>
        <v>#REF!</v>
      </c>
      <c r="F412" s="33"/>
      <c r="G412" s="34">
        <f t="shared" si="242"/>
        <v>0</v>
      </c>
      <c r="H412" s="35">
        <f t="shared" si="243"/>
        <v>0</v>
      </c>
      <c r="I412" s="1510">
        <f>铂郡面积表!E360</f>
        <v>0</v>
      </c>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3"/>
      <c r="AU412" s="1512"/>
      <c r="AV412" s="529">
        <f t="shared" si="245"/>
        <v>0</v>
      </c>
      <c r="AW412" s="529">
        <f t="shared" si="246"/>
        <v>0</v>
      </c>
      <c r="AX412" s="529">
        <f t="shared" si="247"/>
        <v>0</v>
      </c>
      <c r="AY412" s="38" t="e">
        <f t="shared" si="248"/>
        <v>#REF!</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39">
        <f t="shared" si="269"/>
        <v>0</v>
      </c>
    </row>
    <row r="413" spans="1:72">
      <c r="A413" s="6"/>
      <c r="B413" s="31"/>
      <c r="C413" s="31"/>
      <c r="D413" s="1509" t="s">
        <v>3569</v>
      </c>
      <c r="E413" s="32" t="e">
        <f t="shared" si="241"/>
        <v>#REF!</v>
      </c>
      <c r="F413" s="33"/>
      <c r="G413" s="34">
        <f t="shared" si="242"/>
        <v>0</v>
      </c>
      <c r="H413" s="35">
        <f t="shared" si="243"/>
        <v>0</v>
      </c>
      <c r="I413" s="1510">
        <f>铂郡面积表!E361</f>
        <v>0</v>
      </c>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3"/>
      <c r="AU413" s="1512"/>
      <c r="AV413" s="529">
        <f t="shared" si="245"/>
        <v>0</v>
      </c>
      <c r="AW413" s="529">
        <f t="shared" si="246"/>
        <v>0</v>
      </c>
      <c r="AX413" s="529">
        <f t="shared" si="247"/>
        <v>0</v>
      </c>
      <c r="AY413" s="38" t="e">
        <f t="shared" si="248"/>
        <v>#REF!</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39">
        <f t="shared" si="269"/>
        <v>0</v>
      </c>
    </row>
    <row r="414" spans="1:72">
      <c r="A414" s="6"/>
      <c r="B414" s="31"/>
      <c r="C414" s="31"/>
      <c r="D414" s="1509" t="s">
        <v>3569</v>
      </c>
      <c r="E414" s="32" t="e">
        <f t="shared" si="241"/>
        <v>#REF!</v>
      </c>
      <c r="F414" s="33"/>
      <c r="G414" s="34">
        <f t="shared" si="242"/>
        <v>0</v>
      </c>
      <c r="H414" s="35">
        <f t="shared" si="243"/>
        <v>0</v>
      </c>
      <c r="I414" s="1510">
        <f>铂郡面积表!E362</f>
        <v>0</v>
      </c>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3"/>
      <c r="AU414" s="1512"/>
      <c r="AV414" s="529">
        <f t="shared" si="245"/>
        <v>0</v>
      </c>
      <c r="AW414" s="529">
        <f t="shared" si="246"/>
        <v>0</v>
      </c>
      <c r="AX414" s="529">
        <f t="shared" si="247"/>
        <v>0</v>
      </c>
      <c r="AY414" s="38" t="e">
        <f t="shared" si="248"/>
        <v>#REF!</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39">
        <f t="shared" si="269"/>
        <v>0</v>
      </c>
    </row>
    <row r="415" spans="1:72">
      <c r="A415" s="6"/>
      <c r="B415" s="31"/>
      <c r="C415" s="31"/>
      <c r="D415" s="1509" t="s">
        <v>3569</v>
      </c>
      <c r="E415" s="32" t="e">
        <f t="shared" si="241"/>
        <v>#REF!</v>
      </c>
      <c r="F415" s="33"/>
      <c r="G415" s="34">
        <f t="shared" si="242"/>
        <v>0</v>
      </c>
      <c r="H415" s="35">
        <f t="shared" si="243"/>
        <v>0</v>
      </c>
      <c r="I415" s="1510">
        <f>铂郡面积表!E363</f>
        <v>0</v>
      </c>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3"/>
      <c r="AU415" s="1512"/>
      <c r="AV415" s="529">
        <f t="shared" si="245"/>
        <v>0</v>
      </c>
      <c r="AW415" s="529">
        <f t="shared" si="246"/>
        <v>0</v>
      </c>
      <c r="AX415" s="529">
        <f t="shared" si="247"/>
        <v>0</v>
      </c>
      <c r="AY415" s="38" t="e">
        <f t="shared" si="248"/>
        <v>#REF!</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39">
        <f t="shared" si="269"/>
        <v>0</v>
      </c>
    </row>
    <row r="416" spans="1:72">
      <c r="A416" s="6"/>
      <c r="B416" s="31"/>
      <c r="C416" s="31"/>
      <c r="D416" s="1509" t="s">
        <v>3569</v>
      </c>
      <c r="E416" s="32" t="e">
        <f t="shared" si="241"/>
        <v>#REF!</v>
      </c>
      <c r="F416" s="33"/>
      <c r="G416" s="34">
        <f t="shared" si="242"/>
        <v>0</v>
      </c>
      <c r="H416" s="35">
        <f t="shared" si="243"/>
        <v>0</v>
      </c>
      <c r="I416" s="1510">
        <f>铂郡面积表!E364</f>
        <v>0</v>
      </c>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3"/>
      <c r="AU416" s="1512"/>
      <c r="AV416" s="529">
        <f t="shared" si="245"/>
        <v>0</v>
      </c>
      <c r="AW416" s="529">
        <f t="shared" si="246"/>
        <v>0</v>
      </c>
      <c r="AX416" s="529">
        <f t="shared" si="247"/>
        <v>0</v>
      </c>
      <c r="AY416" s="38" t="e">
        <f t="shared" si="248"/>
        <v>#REF!</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39">
        <f t="shared" si="269"/>
        <v>0</v>
      </c>
    </row>
    <row r="417" spans="1:72">
      <c r="A417" s="6"/>
      <c r="B417" s="31"/>
      <c r="C417" s="31"/>
      <c r="D417" s="1509" t="s">
        <v>3569</v>
      </c>
      <c r="E417" s="32" t="e">
        <f t="shared" si="241"/>
        <v>#REF!</v>
      </c>
      <c r="F417" s="33"/>
      <c r="G417" s="34">
        <f t="shared" si="242"/>
        <v>0</v>
      </c>
      <c r="H417" s="35">
        <f t="shared" si="243"/>
        <v>0</v>
      </c>
      <c r="I417" s="1510">
        <f>铂郡面积表!E365</f>
        <v>0</v>
      </c>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3"/>
      <c r="AU417" s="1512"/>
      <c r="AV417" s="529">
        <f t="shared" si="245"/>
        <v>0</v>
      </c>
      <c r="AW417" s="529">
        <f t="shared" si="246"/>
        <v>0</v>
      </c>
      <c r="AX417" s="529">
        <f t="shared" si="247"/>
        <v>0</v>
      </c>
      <c r="AY417" s="38" t="e">
        <f t="shared" si="248"/>
        <v>#REF!</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39">
        <f t="shared" si="269"/>
        <v>0</v>
      </c>
    </row>
    <row r="418" spans="1:72">
      <c r="A418" s="6"/>
      <c r="B418" s="31"/>
      <c r="C418" s="31"/>
      <c r="D418" s="1509" t="s">
        <v>3569</v>
      </c>
      <c r="E418" s="32" t="e">
        <f t="shared" si="241"/>
        <v>#REF!</v>
      </c>
      <c r="F418" s="33"/>
      <c r="G418" s="34">
        <f t="shared" si="242"/>
        <v>0</v>
      </c>
      <c r="H418" s="35">
        <f t="shared" si="243"/>
        <v>0</v>
      </c>
      <c r="I418" s="1510">
        <f>铂郡面积表!E366</f>
        <v>0</v>
      </c>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3"/>
      <c r="AU418" s="1512"/>
      <c r="AV418" s="529">
        <f t="shared" si="245"/>
        <v>0</v>
      </c>
      <c r="AW418" s="529">
        <f t="shared" si="246"/>
        <v>0</v>
      </c>
      <c r="AX418" s="529">
        <f t="shared" si="247"/>
        <v>0</v>
      </c>
      <c r="AY418" s="38" t="e">
        <f t="shared" si="248"/>
        <v>#REF!</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39">
        <f t="shared" si="269"/>
        <v>0</v>
      </c>
    </row>
    <row r="419" spans="1:72">
      <c r="A419" s="6"/>
      <c r="B419" s="31"/>
      <c r="C419" s="31"/>
      <c r="D419" s="1509" t="s">
        <v>3569</v>
      </c>
      <c r="E419" s="32" t="e">
        <f t="shared" si="241"/>
        <v>#REF!</v>
      </c>
      <c r="F419" s="33"/>
      <c r="G419" s="34">
        <f t="shared" si="242"/>
        <v>0</v>
      </c>
      <c r="H419" s="35">
        <f t="shared" si="243"/>
        <v>0</v>
      </c>
      <c r="I419" s="1510">
        <f>铂郡面积表!E367</f>
        <v>0</v>
      </c>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3"/>
      <c r="AU419" s="1512"/>
      <c r="AV419" s="529">
        <f t="shared" si="245"/>
        <v>0</v>
      </c>
      <c r="AW419" s="529">
        <f t="shared" si="246"/>
        <v>0</v>
      </c>
      <c r="AX419" s="529">
        <f t="shared" si="247"/>
        <v>0</v>
      </c>
      <c r="AY419" s="38" t="e">
        <f t="shared" si="248"/>
        <v>#REF!</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39">
        <f t="shared" si="269"/>
        <v>0</v>
      </c>
    </row>
    <row r="420" spans="1:72">
      <c r="A420" s="6"/>
      <c r="B420" s="31"/>
      <c r="C420" s="31"/>
      <c r="D420" s="1509" t="s">
        <v>3569</v>
      </c>
      <c r="E420" s="32" t="e">
        <f t="shared" si="241"/>
        <v>#REF!</v>
      </c>
      <c r="F420" s="33"/>
      <c r="G420" s="34">
        <f t="shared" si="242"/>
        <v>0</v>
      </c>
      <c r="H420" s="35">
        <f t="shared" si="243"/>
        <v>0</v>
      </c>
      <c r="I420" s="1510">
        <f>铂郡面积表!E368</f>
        <v>0</v>
      </c>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3"/>
      <c r="AU420" s="1512"/>
      <c r="AV420" s="529">
        <f t="shared" si="245"/>
        <v>0</v>
      </c>
      <c r="AW420" s="529">
        <f t="shared" si="246"/>
        <v>0</v>
      </c>
      <c r="AX420" s="529">
        <f t="shared" si="247"/>
        <v>0</v>
      </c>
      <c r="AY420" s="38" t="e">
        <f t="shared" si="248"/>
        <v>#REF!</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39">
        <f t="shared" si="269"/>
        <v>0</v>
      </c>
    </row>
    <row r="421" spans="1:72">
      <c r="A421" s="6"/>
      <c r="B421" s="31"/>
      <c r="C421" s="31"/>
      <c r="D421" s="1509" t="s">
        <v>3569</v>
      </c>
      <c r="E421" s="32" t="e">
        <f t="shared" si="241"/>
        <v>#REF!</v>
      </c>
      <c r="F421" s="33"/>
      <c r="G421" s="34">
        <f t="shared" si="242"/>
        <v>0</v>
      </c>
      <c r="H421" s="35">
        <f t="shared" si="243"/>
        <v>0</v>
      </c>
      <c r="I421" s="1510">
        <f>铂郡面积表!E369</f>
        <v>0</v>
      </c>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3"/>
      <c r="AU421" s="1512"/>
      <c r="AV421" s="529">
        <f t="shared" si="245"/>
        <v>0</v>
      </c>
      <c r="AW421" s="529">
        <f t="shared" si="246"/>
        <v>0</v>
      </c>
      <c r="AX421" s="529">
        <f t="shared" si="247"/>
        <v>0</v>
      </c>
      <c r="AY421" s="38" t="e">
        <f t="shared" si="248"/>
        <v>#REF!</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39">
        <f t="shared" si="269"/>
        <v>0</v>
      </c>
    </row>
    <row r="422" spans="1:72">
      <c r="A422" s="6"/>
      <c r="B422" s="31"/>
      <c r="C422" s="31"/>
      <c r="D422" s="1509" t="s">
        <v>3569</v>
      </c>
      <c r="E422" s="32" t="e">
        <f t="shared" si="241"/>
        <v>#REF!</v>
      </c>
      <c r="F422" s="33"/>
      <c r="G422" s="34">
        <f t="shared" si="242"/>
        <v>0</v>
      </c>
      <c r="H422" s="35">
        <f t="shared" si="243"/>
        <v>0</v>
      </c>
      <c r="I422" s="1510">
        <f>铂郡面积表!E370</f>
        <v>0</v>
      </c>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3"/>
      <c r="AU422" s="1512"/>
      <c r="AV422" s="529">
        <f t="shared" si="245"/>
        <v>0</v>
      </c>
      <c r="AW422" s="529">
        <f t="shared" si="246"/>
        <v>0</v>
      </c>
      <c r="AX422" s="529">
        <f t="shared" si="247"/>
        <v>0</v>
      </c>
      <c r="AY422" s="38" t="e">
        <f t="shared" si="248"/>
        <v>#REF!</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39">
        <f t="shared" si="269"/>
        <v>0</v>
      </c>
    </row>
    <row r="423" spans="1:72">
      <c r="A423" s="6"/>
      <c r="B423" s="31"/>
      <c r="C423" s="31"/>
      <c r="D423" s="1509" t="s">
        <v>3569</v>
      </c>
      <c r="E423" s="32" t="e">
        <f t="shared" si="241"/>
        <v>#REF!</v>
      </c>
      <c r="F423" s="33"/>
      <c r="G423" s="34">
        <f t="shared" si="242"/>
        <v>0</v>
      </c>
      <c r="H423" s="35">
        <f t="shared" si="243"/>
        <v>0</v>
      </c>
      <c r="I423" s="1510">
        <f>铂郡面积表!E371</f>
        <v>0</v>
      </c>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3"/>
      <c r="AU423" s="1512"/>
      <c r="AV423" s="529">
        <f t="shared" si="245"/>
        <v>0</v>
      </c>
      <c r="AW423" s="529">
        <f t="shared" si="246"/>
        <v>0</v>
      </c>
      <c r="AX423" s="529">
        <f t="shared" si="247"/>
        <v>0</v>
      </c>
      <c r="AY423" s="38" t="e">
        <f t="shared" si="248"/>
        <v>#REF!</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39">
        <f t="shared" si="269"/>
        <v>0</v>
      </c>
    </row>
    <row r="424" spans="1:72">
      <c r="A424" s="6"/>
      <c r="B424" s="31"/>
      <c r="C424" s="31"/>
      <c r="D424" s="1509" t="s">
        <v>3569</v>
      </c>
      <c r="E424" s="32" t="e">
        <f t="shared" si="241"/>
        <v>#REF!</v>
      </c>
      <c r="F424" s="33"/>
      <c r="G424" s="34">
        <f t="shared" si="242"/>
        <v>0</v>
      </c>
      <c r="H424" s="35">
        <f t="shared" si="243"/>
        <v>0</v>
      </c>
      <c r="I424" s="1510">
        <f>铂郡面积表!E372</f>
        <v>0</v>
      </c>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3"/>
      <c r="AU424" s="1512"/>
      <c r="AV424" s="529">
        <f t="shared" si="245"/>
        <v>0</v>
      </c>
      <c r="AW424" s="529">
        <f t="shared" si="246"/>
        <v>0</v>
      </c>
      <c r="AX424" s="529">
        <f t="shared" si="247"/>
        <v>0</v>
      </c>
      <c r="AY424" s="38" t="e">
        <f t="shared" si="248"/>
        <v>#REF!</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39">
        <f t="shared" si="269"/>
        <v>0</v>
      </c>
    </row>
    <row r="425" spans="1:72">
      <c r="A425" s="6"/>
      <c r="B425" s="31"/>
      <c r="C425" s="31"/>
      <c r="D425" s="1509" t="s">
        <v>3569</v>
      </c>
      <c r="E425" s="32" t="e">
        <f t="shared" si="241"/>
        <v>#REF!</v>
      </c>
      <c r="F425" s="33"/>
      <c r="G425" s="34">
        <f t="shared" si="242"/>
        <v>0</v>
      </c>
      <c r="H425" s="35">
        <f t="shared" si="243"/>
        <v>0</v>
      </c>
      <c r="I425" s="1510">
        <f>铂郡面积表!E373</f>
        <v>0</v>
      </c>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3"/>
      <c r="AU425" s="1512"/>
      <c r="AV425" s="529">
        <f t="shared" si="245"/>
        <v>0</v>
      </c>
      <c r="AW425" s="529">
        <f t="shared" si="246"/>
        <v>0</v>
      </c>
      <c r="AX425" s="529">
        <f t="shared" si="247"/>
        <v>0</v>
      </c>
      <c r="AY425" s="38" t="e">
        <f t="shared" si="248"/>
        <v>#REF!</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39">
        <f t="shared" si="269"/>
        <v>0</v>
      </c>
    </row>
    <row r="426" spans="1:72">
      <c r="A426" s="6"/>
      <c r="B426" s="31"/>
      <c r="C426" s="31"/>
      <c r="D426" s="1509" t="s">
        <v>3569</v>
      </c>
      <c r="E426" s="32" t="e">
        <f t="shared" si="241"/>
        <v>#REF!</v>
      </c>
      <c r="F426" s="33"/>
      <c r="G426" s="34">
        <f t="shared" si="242"/>
        <v>0</v>
      </c>
      <c r="H426" s="35">
        <f t="shared" si="243"/>
        <v>0</v>
      </c>
      <c r="I426" s="1510">
        <f>铂郡面积表!E374</f>
        <v>0</v>
      </c>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3"/>
      <c r="AU426" s="1512"/>
      <c r="AV426" s="529">
        <f t="shared" si="245"/>
        <v>0</v>
      </c>
      <c r="AW426" s="529">
        <f t="shared" si="246"/>
        <v>0</v>
      </c>
      <c r="AX426" s="529">
        <f t="shared" si="247"/>
        <v>0</v>
      </c>
      <c r="AY426" s="38" t="e">
        <f t="shared" si="248"/>
        <v>#REF!</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39">
        <f t="shared" si="269"/>
        <v>0</v>
      </c>
    </row>
    <row r="427" spans="1:72">
      <c r="A427" s="6"/>
      <c r="B427" s="31"/>
      <c r="C427" s="31"/>
      <c r="D427" s="1509" t="s">
        <v>3569</v>
      </c>
      <c r="E427" s="32" t="e">
        <f t="shared" si="241"/>
        <v>#REF!</v>
      </c>
      <c r="F427" s="33"/>
      <c r="G427" s="34">
        <f t="shared" si="242"/>
        <v>0</v>
      </c>
      <c r="H427" s="35">
        <f t="shared" si="243"/>
        <v>0</v>
      </c>
      <c r="I427" s="1510">
        <f>铂郡面积表!E375</f>
        <v>0</v>
      </c>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3"/>
      <c r="AU427" s="1512"/>
      <c r="AV427" s="529">
        <f t="shared" si="245"/>
        <v>0</v>
      </c>
      <c r="AW427" s="529">
        <f t="shared" si="246"/>
        <v>0</v>
      </c>
      <c r="AX427" s="529">
        <f t="shared" si="247"/>
        <v>0</v>
      </c>
      <c r="AY427" s="38" t="e">
        <f t="shared" si="248"/>
        <v>#REF!</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39">
        <f t="shared" si="269"/>
        <v>0</v>
      </c>
    </row>
    <row r="428" spans="1:72">
      <c r="A428" s="6"/>
      <c r="B428" s="31"/>
      <c r="C428" s="31"/>
      <c r="D428" s="1509" t="s">
        <v>3569</v>
      </c>
      <c r="E428" s="32" t="e">
        <f t="shared" si="241"/>
        <v>#REF!</v>
      </c>
      <c r="F428" s="33"/>
      <c r="G428" s="34">
        <f t="shared" si="242"/>
        <v>0</v>
      </c>
      <c r="H428" s="35">
        <f t="shared" si="243"/>
        <v>0</v>
      </c>
      <c r="I428" s="1510">
        <f>铂郡面积表!E376</f>
        <v>0</v>
      </c>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3"/>
      <c r="AU428" s="1512"/>
      <c r="AV428" s="529">
        <f t="shared" si="245"/>
        <v>0</v>
      </c>
      <c r="AW428" s="529">
        <f t="shared" si="246"/>
        <v>0</v>
      </c>
      <c r="AX428" s="529">
        <f t="shared" si="247"/>
        <v>0</v>
      </c>
      <c r="AY428" s="38" t="e">
        <f t="shared" si="248"/>
        <v>#REF!</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39">
        <f t="shared" si="269"/>
        <v>0</v>
      </c>
    </row>
    <row r="429" spans="1:72">
      <c r="A429" s="6"/>
      <c r="B429" s="31"/>
      <c r="C429" s="31"/>
      <c r="D429" s="1509" t="s">
        <v>3569</v>
      </c>
      <c r="E429" s="32" t="e">
        <f t="shared" si="241"/>
        <v>#REF!</v>
      </c>
      <c r="F429" s="33"/>
      <c r="G429" s="34">
        <f t="shared" si="242"/>
        <v>0</v>
      </c>
      <c r="H429" s="35">
        <f t="shared" si="243"/>
        <v>0</v>
      </c>
      <c r="I429" s="1510">
        <f>铂郡面积表!E377</f>
        <v>0</v>
      </c>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3"/>
      <c r="AU429" s="1512"/>
      <c r="AV429" s="529">
        <f t="shared" si="245"/>
        <v>0</v>
      </c>
      <c r="AW429" s="529">
        <f t="shared" si="246"/>
        <v>0</v>
      </c>
      <c r="AX429" s="529">
        <f t="shared" si="247"/>
        <v>0</v>
      </c>
      <c r="AY429" s="38" t="e">
        <f t="shared" si="248"/>
        <v>#REF!</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39">
        <f t="shared" si="269"/>
        <v>0</v>
      </c>
    </row>
    <row r="430" spans="1:72">
      <c r="A430" s="6"/>
      <c r="B430" s="31"/>
      <c r="C430" s="31"/>
      <c r="D430" s="1509" t="s">
        <v>3569</v>
      </c>
      <c r="E430" s="32" t="e">
        <f t="shared" si="241"/>
        <v>#REF!</v>
      </c>
      <c r="F430" s="33"/>
      <c r="G430" s="34">
        <f t="shared" si="242"/>
        <v>0</v>
      </c>
      <c r="H430" s="35">
        <f t="shared" si="243"/>
        <v>0</v>
      </c>
      <c r="I430" s="1510">
        <f>铂郡面积表!E378</f>
        <v>0</v>
      </c>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3"/>
      <c r="AU430" s="1512"/>
      <c r="AV430" s="529">
        <f t="shared" si="245"/>
        <v>0</v>
      </c>
      <c r="AW430" s="529">
        <f t="shared" si="246"/>
        <v>0</v>
      </c>
      <c r="AX430" s="529">
        <f t="shared" si="247"/>
        <v>0</v>
      </c>
      <c r="AY430" s="38" t="e">
        <f t="shared" si="248"/>
        <v>#REF!</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39">
        <f t="shared" si="269"/>
        <v>0</v>
      </c>
    </row>
    <row r="431" spans="1:72">
      <c r="A431" s="6"/>
      <c r="B431" s="31"/>
      <c r="C431" s="31"/>
      <c r="D431" s="1509" t="s">
        <v>3569</v>
      </c>
      <c r="E431" s="32" t="e">
        <f t="shared" si="241"/>
        <v>#REF!</v>
      </c>
      <c r="F431" s="33"/>
      <c r="G431" s="34">
        <f t="shared" si="242"/>
        <v>0</v>
      </c>
      <c r="H431" s="35">
        <f t="shared" si="243"/>
        <v>0</v>
      </c>
      <c r="I431" s="1510">
        <f>铂郡面积表!E379</f>
        <v>0</v>
      </c>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3"/>
      <c r="AU431" s="1512"/>
      <c r="AV431" s="529">
        <f t="shared" si="245"/>
        <v>0</v>
      </c>
      <c r="AW431" s="529">
        <f t="shared" si="246"/>
        <v>0</v>
      </c>
      <c r="AX431" s="529">
        <f t="shared" si="247"/>
        <v>0</v>
      </c>
      <c r="AY431" s="38" t="e">
        <f t="shared" si="248"/>
        <v>#REF!</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39">
        <f t="shared" si="269"/>
        <v>0</v>
      </c>
    </row>
    <row r="432" spans="1:72">
      <c r="A432" s="6"/>
      <c r="B432" s="31"/>
      <c r="C432" s="31"/>
      <c r="D432" s="1509" t="s">
        <v>3569</v>
      </c>
      <c r="E432" s="32" t="e">
        <f t="shared" si="241"/>
        <v>#REF!</v>
      </c>
      <c r="F432" s="33"/>
      <c r="G432" s="34">
        <f t="shared" si="242"/>
        <v>0</v>
      </c>
      <c r="H432" s="35">
        <f t="shared" si="243"/>
        <v>0</v>
      </c>
      <c r="I432" s="1510">
        <f>铂郡面积表!E380</f>
        <v>0</v>
      </c>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3"/>
      <c r="AU432" s="1512"/>
      <c r="AV432" s="529">
        <f t="shared" si="245"/>
        <v>0</v>
      </c>
      <c r="AW432" s="529">
        <f t="shared" si="246"/>
        <v>0</v>
      </c>
      <c r="AX432" s="529">
        <f t="shared" si="247"/>
        <v>0</v>
      </c>
      <c r="AY432" s="38" t="e">
        <f t="shared" si="248"/>
        <v>#REF!</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39">
        <f t="shared" si="269"/>
        <v>0</v>
      </c>
    </row>
    <row r="433" spans="1:72">
      <c r="A433" s="6"/>
      <c r="B433" s="31"/>
      <c r="C433" s="31"/>
      <c r="D433" s="1509" t="s">
        <v>3569</v>
      </c>
      <c r="E433" s="32" t="e">
        <f t="shared" si="241"/>
        <v>#REF!</v>
      </c>
      <c r="F433" s="33"/>
      <c r="G433" s="34">
        <f t="shared" si="242"/>
        <v>0</v>
      </c>
      <c r="H433" s="35">
        <f t="shared" si="243"/>
        <v>0</v>
      </c>
      <c r="I433" s="1510">
        <f>铂郡面积表!E381</f>
        <v>0</v>
      </c>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3"/>
      <c r="AU433" s="1512"/>
      <c r="AV433" s="529">
        <f t="shared" si="245"/>
        <v>0</v>
      </c>
      <c r="AW433" s="529">
        <f t="shared" si="246"/>
        <v>0</v>
      </c>
      <c r="AX433" s="529">
        <f t="shared" si="247"/>
        <v>0</v>
      </c>
      <c r="AY433" s="38" t="e">
        <f t="shared" si="248"/>
        <v>#REF!</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39">
        <f t="shared" si="269"/>
        <v>0</v>
      </c>
    </row>
    <row r="434" spans="1:72">
      <c r="A434" s="6"/>
      <c r="B434" s="31"/>
      <c r="C434" s="31"/>
      <c r="D434" s="1509" t="s">
        <v>3569</v>
      </c>
      <c r="E434" s="32" t="e">
        <f t="shared" si="241"/>
        <v>#REF!</v>
      </c>
      <c r="F434" s="33"/>
      <c r="G434" s="34">
        <f t="shared" si="242"/>
        <v>0</v>
      </c>
      <c r="H434" s="35">
        <f t="shared" si="243"/>
        <v>0</v>
      </c>
      <c r="I434" s="1510">
        <f>铂郡面积表!E382</f>
        <v>0</v>
      </c>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3"/>
      <c r="AU434" s="1512"/>
      <c r="AV434" s="529">
        <f t="shared" si="245"/>
        <v>0</v>
      </c>
      <c r="AW434" s="529">
        <f t="shared" si="246"/>
        <v>0</v>
      </c>
      <c r="AX434" s="529">
        <f t="shared" si="247"/>
        <v>0</v>
      </c>
      <c r="AY434" s="38" t="e">
        <f t="shared" si="248"/>
        <v>#REF!</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39">
        <f t="shared" si="269"/>
        <v>0</v>
      </c>
    </row>
    <row r="435" spans="1:72">
      <c r="A435" s="6"/>
      <c r="B435" s="31"/>
      <c r="C435" s="31"/>
      <c r="D435" s="1509" t="s">
        <v>3569</v>
      </c>
      <c r="E435" s="32" t="e">
        <f t="shared" si="241"/>
        <v>#REF!</v>
      </c>
      <c r="F435" s="33"/>
      <c r="G435" s="34">
        <f t="shared" si="242"/>
        <v>0</v>
      </c>
      <c r="H435" s="35">
        <f t="shared" si="243"/>
        <v>0</v>
      </c>
      <c r="I435" s="1510">
        <f>铂郡面积表!E383</f>
        <v>0</v>
      </c>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3"/>
      <c r="AU435" s="1512"/>
      <c r="AV435" s="529">
        <f t="shared" si="245"/>
        <v>0</v>
      </c>
      <c r="AW435" s="529">
        <f t="shared" si="246"/>
        <v>0</v>
      </c>
      <c r="AX435" s="529">
        <f t="shared" si="247"/>
        <v>0</v>
      </c>
      <c r="AY435" s="38" t="e">
        <f t="shared" si="248"/>
        <v>#REF!</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39">
        <f t="shared" si="269"/>
        <v>0</v>
      </c>
    </row>
    <row r="436" spans="1:72">
      <c r="A436" s="6"/>
      <c r="B436" s="31"/>
      <c r="C436" s="31"/>
      <c r="D436" s="1509" t="s">
        <v>3569</v>
      </c>
      <c r="E436" s="32" t="e">
        <f t="shared" si="241"/>
        <v>#REF!</v>
      </c>
      <c r="F436" s="33"/>
      <c r="G436" s="34">
        <f t="shared" si="242"/>
        <v>0</v>
      </c>
      <c r="H436" s="35">
        <f t="shared" si="243"/>
        <v>0</v>
      </c>
      <c r="I436" s="1510">
        <f>铂郡面积表!E384</f>
        <v>0</v>
      </c>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3"/>
      <c r="AU436" s="1512"/>
      <c r="AV436" s="529">
        <f t="shared" si="245"/>
        <v>0</v>
      </c>
      <c r="AW436" s="529">
        <f t="shared" si="246"/>
        <v>0</v>
      </c>
      <c r="AX436" s="529">
        <f t="shared" si="247"/>
        <v>0</v>
      </c>
      <c r="AY436" s="38" t="e">
        <f t="shared" si="248"/>
        <v>#REF!</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39">
        <f t="shared" si="269"/>
        <v>0</v>
      </c>
    </row>
    <row r="437" spans="1:72">
      <c r="A437" s="6"/>
      <c r="B437" s="31"/>
      <c r="C437" s="31"/>
      <c r="D437" s="1509" t="s">
        <v>3569</v>
      </c>
      <c r="E437" s="32" t="e">
        <f t="shared" si="241"/>
        <v>#REF!</v>
      </c>
      <c r="F437" s="33"/>
      <c r="G437" s="34">
        <f t="shared" si="242"/>
        <v>0</v>
      </c>
      <c r="H437" s="35">
        <f t="shared" si="243"/>
        <v>0</v>
      </c>
      <c r="I437" s="1510">
        <f>铂郡面积表!E385</f>
        <v>0</v>
      </c>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3"/>
      <c r="AU437" s="1512"/>
      <c r="AV437" s="529">
        <f t="shared" si="245"/>
        <v>0</v>
      </c>
      <c r="AW437" s="529">
        <f t="shared" si="246"/>
        <v>0</v>
      </c>
      <c r="AX437" s="529">
        <f t="shared" si="247"/>
        <v>0</v>
      </c>
      <c r="AY437" s="38" t="e">
        <f t="shared" si="248"/>
        <v>#REF!</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39">
        <f t="shared" si="269"/>
        <v>0</v>
      </c>
    </row>
    <row r="438" spans="1:72">
      <c r="A438" s="6"/>
      <c r="B438" s="31"/>
      <c r="C438" s="31"/>
      <c r="D438" s="1509" t="s">
        <v>3569</v>
      </c>
      <c r="E438" s="32" t="e">
        <f t="shared" si="241"/>
        <v>#REF!</v>
      </c>
      <c r="F438" s="33"/>
      <c r="G438" s="34">
        <f t="shared" si="242"/>
        <v>0</v>
      </c>
      <c r="H438" s="35">
        <f t="shared" si="243"/>
        <v>0</v>
      </c>
      <c r="I438" s="1510">
        <f>铂郡面积表!E386</f>
        <v>0</v>
      </c>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3"/>
      <c r="AU438" s="1512"/>
      <c r="AV438" s="529">
        <f t="shared" si="245"/>
        <v>0</v>
      </c>
      <c r="AW438" s="529">
        <f t="shared" si="246"/>
        <v>0</v>
      </c>
      <c r="AX438" s="529">
        <f t="shared" si="247"/>
        <v>0</v>
      </c>
      <c r="AY438" s="38" t="e">
        <f t="shared" si="248"/>
        <v>#REF!</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39">
        <f t="shared" si="269"/>
        <v>0</v>
      </c>
    </row>
    <row r="439" spans="1:72">
      <c r="A439" s="6"/>
      <c r="B439" s="31"/>
      <c r="C439" s="31"/>
      <c r="D439" s="1509" t="s">
        <v>3569</v>
      </c>
      <c r="E439" s="32" t="e">
        <f t="shared" si="241"/>
        <v>#REF!</v>
      </c>
      <c r="F439" s="33"/>
      <c r="G439" s="34">
        <f t="shared" si="242"/>
        <v>0</v>
      </c>
      <c r="H439" s="35">
        <f t="shared" si="243"/>
        <v>0</v>
      </c>
      <c r="I439" s="1510">
        <f>铂郡面积表!E387</f>
        <v>0</v>
      </c>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3"/>
      <c r="AU439" s="1512"/>
      <c r="AV439" s="529">
        <f t="shared" si="245"/>
        <v>0</v>
      </c>
      <c r="AW439" s="529">
        <f t="shared" si="246"/>
        <v>0</v>
      </c>
      <c r="AX439" s="529">
        <f t="shared" si="247"/>
        <v>0</v>
      </c>
      <c r="AY439" s="38" t="e">
        <f t="shared" si="248"/>
        <v>#REF!</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39">
        <f t="shared" si="269"/>
        <v>0</v>
      </c>
    </row>
    <row r="440" spans="1:72">
      <c r="A440" s="6"/>
      <c r="B440" s="31"/>
      <c r="C440" s="31"/>
      <c r="D440" s="1509" t="s">
        <v>3569</v>
      </c>
      <c r="E440" s="32" t="e">
        <f t="shared" si="241"/>
        <v>#REF!</v>
      </c>
      <c r="F440" s="33"/>
      <c r="G440" s="34">
        <f t="shared" si="242"/>
        <v>0</v>
      </c>
      <c r="H440" s="35">
        <f t="shared" si="243"/>
        <v>0</v>
      </c>
      <c r="I440" s="1510">
        <f>铂郡面积表!E388</f>
        <v>0</v>
      </c>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3"/>
      <c r="AU440" s="1512"/>
      <c r="AV440" s="529">
        <f t="shared" si="245"/>
        <v>0</v>
      </c>
      <c r="AW440" s="529">
        <f t="shared" si="246"/>
        <v>0</v>
      </c>
      <c r="AX440" s="529">
        <f t="shared" si="247"/>
        <v>0</v>
      </c>
      <c r="AY440" s="38" t="e">
        <f t="shared" si="248"/>
        <v>#REF!</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39">
        <f t="shared" si="269"/>
        <v>0</v>
      </c>
    </row>
    <row r="441" spans="1:72">
      <c r="A441" s="6"/>
      <c r="B441" s="31"/>
      <c r="C441" s="31"/>
      <c r="D441" s="1509" t="s">
        <v>3569</v>
      </c>
      <c r="E441" s="32" t="e">
        <f t="shared" si="241"/>
        <v>#REF!</v>
      </c>
      <c r="F441" s="33"/>
      <c r="G441" s="34">
        <f t="shared" si="242"/>
        <v>0</v>
      </c>
      <c r="H441" s="35">
        <f t="shared" si="243"/>
        <v>0</v>
      </c>
      <c r="I441" s="1510">
        <f>铂郡面积表!E389</f>
        <v>0</v>
      </c>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3"/>
      <c r="AU441" s="1512"/>
      <c r="AV441" s="529">
        <f t="shared" si="245"/>
        <v>0</v>
      </c>
      <c r="AW441" s="529">
        <f t="shared" si="246"/>
        <v>0</v>
      </c>
      <c r="AX441" s="529">
        <f t="shared" si="247"/>
        <v>0</v>
      </c>
      <c r="AY441" s="38" t="e">
        <f t="shared" si="248"/>
        <v>#REF!</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39">
        <f t="shared" si="269"/>
        <v>0</v>
      </c>
    </row>
    <row r="442" spans="1:72">
      <c r="A442" s="6"/>
      <c r="B442" s="31"/>
      <c r="C442" s="31"/>
      <c r="D442" s="1509" t="s">
        <v>3569</v>
      </c>
      <c r="E442" s="32" t="e">
        <f t="shared" si="241"/>
        <v>#REF!</v>
      </c>
      <c r="F442" s="33"/>
      <c r="G442" s="34">
        <f t="shared" si="242"/>
        <v>0</v>
      </c>
      <c r="H442" s="35">
        <f t="shared" si="243"/>
        <v>0</v>
      </c>
      <c r="I442" s="1510">
        <f>铂郡面积表!E390</f>
        <v>0</v>
      </c>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3"/>
      <c r="AU442" s="1512"/>
      <c r="AV442" s="529">
        <f t="shared" si="245"/>
        <v>0</v>
      </c>
      <c r="AW442" s="529">
        <f t="shared" si="246"/>
        <v>0</v>
      </c>
      <c r="AX442" s="529">
        <f t="shared" si="247"/>
        <v>0</v>
      </c>
      <c r="AY442" s="38" t="e">
        <f t="shared" si="248"/>
        <v>#REF!</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39">
        <f t="shared" si="269"/>
        <v>0</v>
      </c>
    </row>
    <row r="443" spans="1:72">
      <c r="A443" s="6"/>
      <c r="B443" s="31"/>
      <c r="C443" s="31"/>
      <c r="D443" s="1509" t="s">
        <v>3569</v>
      </c>
      <c r="E443" s="32" t="e">
        <f t="shared" si="241"/>
        <v>#REF!</v>
      </c>
      <c r="F443" s="33"/>
      <c r="G443" s="34">
        <f t="shared" si="242"/>
        <v>0</v>
      </c>
      <c r="H443" s="35">
        <f t="shared" si="243"/>
        <v>0</v>
      </c>
      <c r="I443" s="1510">
        <f>铂郡面积表!E391</f>
        <v>0</v>
      </c>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3"/>
      <c r="AU443" s="1512"/>
      <c r="AV443" s="529">
        <f t="shared" si="245"/>
        <v>0</v>
      </c>
      <c r="AW443" s="529">
        <f t="shared" si="246"/>
        <v>0</v>
      </c>
      <c r="AX443" s="529">
        <f t="shared" si="247"/>
        <v>0</v>
      </c>
      <c r="AY443" s="38" t="e">
        <f t="shared" si="248"/>
        <v>#REF!</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39">
        <f t="shared" si="269"/>
        <v>0</v>
      </c>
    </row>
    <row r="444" spans="1:72">
      <c r="A444" s="6"/>
      <c r="B444" s="31"/>
      <c r="C444" s="31"/>
      <c r="D444" s="1509" t="s">
        <v>3569</v>
      </c>
      <c r="E444" s="32" t="e">
        <f t="shared" si="241"/>
        <v>#REF!</v>
      </c>
      <c r="F444" s="33"/>
      <c r="G444" s="34">
        <f t="shared" si="242"/>
        <v>0</v>
      </c>
      <c r="H444" s="35">
        <f t="shared" si="243"/>
        <v>0</v>
      </c>
      <c r="I444" s="1510">
        <f>铂郡面积表!E392</f>
        <v>0</v>
      </c>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3"/>
      <c r="AU444" s="1512"/>
      <c r="AV444" s="529">
        <f t="shared" si="245"/>
        <v>0</v>
      </c>
      <c r="AW444" s="529">
        <f t="shared" si="246"/>
        <v>0</v>
      </c>
      <c r="AX444" s="529">
        <f t="shared" si="247"/>
        <v>0</v>
      </c>
      <c r="AY444" s="38" t="e">
        <f t="shared" si="248"/>
        <v>#REF!</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39">
        <f t="shared" si="269"/>
        <v>0</v>
      </c>
    </row>
    <row r="445" spans="1:72">
      <c r="A445" s="6"/>
      <c r="B445" s="31"/>
      <c r="C445" s="31"/>
      <c r="D445" s="1509" t="s">
        <v>3569</v>
      </c>
      <c r="E445" s="32" t="e">
        <f t="shared" si="241"/>
        <v>#REF!</v>
      </c>
      <c r="F445" s="33"/>
      <c r="G445" s="34">
        <f t="shared" si="242"/>
        <v>0</v>
      </c>
      <c r="H445" s="35">
        <f t="shared" si="243"/>
        <v>0</v>
      </c>
      <c r="I445" s="1510">
        <f>铂郡面积表!E393</f>
        <v>0</v>
      </c>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3"/>
      <c r="AU445" s="1512"/>
      <c r="AV445" s="529">
        <f t="shared" si="245"/>
        <v>0</v>
      </c>
      <c r="AW445" s="529">
        <f t="shared" si="246"/>
        <v>0</v>
      </c>
      <c r="AX445" s="529">
        <f t="shared" si="247"/>
        <v>0</v>
      </c>
      <c r="AY445" s="38" t="e">
        <f t="shared" si="248"/>
        <v>#REF!</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39">
        <f t="shared" si="269"/>
        <v>0</v>
      </c>
    </row>
    <row r="446" spans="1:72">
      <c r="A446" s="6"/>
      <c r="B446" s="31"/>
      <c r="C446" s="31"/>
      <c r="D446" s="1509" t="s">
        <v>3569</v>
      </c>
      <c r="E446" s="32" t="e">
        <f t="shared" si="241"/>
        <v>#REF!</v>
      </c>
      <c r="F446" s="33"/>
      <c r="G446" s="34">
        <f t="shared" si="242"/>
        <v>0</v>
      </c>
      <c r="H446" s="35">
        <f t="shared" si="243"/>
        <v>0</v>
      </c>
      <c r="I446" s="1510">
        <f>铂郡面积表!E394</f>
        <v>0</v>
      </c>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3"/>
      <c r="AU446" s="1512"/>
      <c r="AV446" s="529">
        <f t="shared" si="245"/>
        <v>0</v>
      </c>
      <c r="AW446" s="529">
        <f t="shared" si="246"/>
        <v>0</v>
      </c>
      <c r="AX446" s="529">
        <f t="shared" si="247"/>
        <v>0</v>
      </c>
      <c r="AY446" s="38" t="e">
        <f t="shared" si="248"/>
        <v>#REF!</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39">
        <f t="shared" si="269"/>
        <v>0</v>
      </c>
    </row>
    <row r="447" spans="1:72">
      <c r="A447" s="6"/>
      <c r="B447" s="31"/>
      <c r="C447" s="31"/>
      <c r="D447" s="1509" t="s">
        <v>3569</v>
      </c>
      <c r="E447" s="32" t="e">
        <f t="shared" si="241"/>
        <v>#REF!</v>
      </c>
      <c r="F447" s="33"/>
      <c r="G447" s="34">
        <f t="shared" si="242"/>
        <v>0</v>
      </c>
      <c r="H447" s="35">
        <f t="shared" si="243"/>
        <v>0</v>
      </c>
      <c r="I447" s="1510">
        <f>铂郡面积表!E395</f>
        <v>0</v>
      </c>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3"/>
      <c r="AU447" s="1512"/>
      <c r="AV447" s="529">
        <f t="shared" si="245"/>
        <v>0</v>
      </c>
      <c r="AW447" s="529">
        <f t="shared" si="246"/>
        <v>0</v>
      </c>
      <c r="AX447" s="529">
        <f t="shared" si="247"/>
        <v>0</v>
      </c>
      <c r="AY447" s="38" t="e">
        <f t="shared" si="248"/>
        <v>#REF!</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39">
        <f t="shared" si="269"/>
        <v>0</v>
      </c>
    </row>
    <row r="448" spans="1:72">
      <c r="A448" s="6"/>
      <c r="B448" s="31"/>
      <c r="C448" s="31"/>
      <c r="D448" s="1509" t="s">
        <v>3569</v>
      </c>
      <c r="E448" s="32" t="e">
        <f t="shared" si="241"/>
        <v>#REF!</v>
      </c>
      <c r="F448" s="33"/>
      <c r="G448" s="34">
        <f t="shared" si="242"/>
        <v>0</v>
      </c>
      <c r="H448" s="35">
        <f t="shared" si="243"/>
        <v>0</v>
      </c>
      <c r="I448" s="1510">
        <f>铂郡面积表!E396</f>
        <v>0</v>
      </c>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3"/>
      <c r="AU448" s="1512"/>
      <c r="AV448" s="529">
        <f t="shared" si="245"/>
        <v>0</v>
      </c>
      <c r="AW448" s="529">
        <f t="shared" si="246"/>
        <v>0</v>
      </c>
      <c r="AX448" s="529">
        <f t="shared" si="247"/>
        <v>0</v>
      </c>
      <c r="AY448" s="38" t="e">
        <f t="shared" si="248"/>
        <v>#REF!</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39">
        <f t="shared" si="269"/>
        <v>0</v>
      </c>
    </row>
    <row r="449" spans="1:72">
      <c r="A449" s="6"/>
      <c r="B449" s="31"/>
      <c r="C449" s="31"/>
      <c r="D449" s="1509" t="s">
        <v>3569</v>
      </c>
      <c r="E449" s="32" t="e">
        <f t="shared" si="241"/>
        <v>#REF!</v>
      </c>
      <c r="F449" s="33"/>
      <c r="G449" s="34">
        <f t="shared" si="242"/>
        <v>0</v>
      </c>
      <c r="H449" s="35">
        <f t="shared" si="243"/>
        <v>0</v>
      </c>
      <c r="I449" s="1510">
        <f>铂郡面积表!E397</f>
        <v>0</v>
      </c>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3"/>
      <c r="AU449" s="1512"/>
      <c r="AV449" s="529">
        <f t="shared" si="245"/>
        <v>0</v>
      </c>
      <c r="AW449" s="529">
        <f t="shared" si="246"/>
        <v>0</v>
      </c>
      <c r="AX449" s="529">
        <f t="shared" si="247"/>
        <v>0</v>
      </c>
      <c r="AY449" s="38" t="e">
        <f t="shared" si="248"/>
        <v>#REF!</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39">
        <f t="shared" si="269"/>
        <v>0</v>
      </c>
    </row>
    <row r="450" spans="1:72">
      <c r="A450" s="6"/>
      <c r="B450" s="31"/>
      <c r="C450" s="31"/>
      <c r="D450" s="1509" t="s">
        <v>3569</v>
      </c>
      <c r="E450" s="32" t="e">
        <f t="shared" si="241"/>
        <v>#REF!</v>
      </c>
      <c r="F450" s="33"/>
      <c r="G450" s="34">
        <f t="shared" si="242"/>
        <v>0</v>
      </c>
      <c r="H450" s="35">
        <f t="shared" si="243"/>
        <v>0</v>
      </c>
      <c r="I450" s="1510">
        <f>铂郡面积表!E398</f>
        <v>0</v>
      </c>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3"/>
      <c r="AU450" s="1512"/>
      <c r="AV450" s="529">
        <f t="shared" si="245"/>
        <v>0</v>
      </c>
      <c r="AW450" s="529">
        <f t="shared" si="246"/>
        <v>0</v>
      </c>
      <c r="AX450" s="529">
        <f t="shared" si="247"/>
        <v>0</v>
      </c>
      <c r="AY450" s="38" t="e">
        <f t="shared" si="248"/>
        <v>#REF!</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39">
        <f t="shared" si="269"/>
        <v>0</v>
      </c>
    </row>
    <row r="451" spans="1:72">
      <c r="A451" s="6"/>
      <c r="B451" s="31"/>
      <c r="C451" s="31"/>
      <c r="D451" s="1509" t="s">
        <v>3569</v>
      </c>
      <c r="E451" s="32" t="e">
        <f t="shared" si="241"/>
        <v>#REF!</v>
      </c>
      <c r="F451" s="33"/>
      <c r="G451" s="34">
        <f t="shared" si="242"/>
        <v>0</v>
      </c>
      <c r="H451" s="35">
        <f t="shared" si="243"/>
        <v>0</v>
      </c>
      <c r="I451" s="1510">
        <f>铂郡面积表!E399</f>
        <v>0</v>
      </c>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3"/>
      <c r="AU451" s="1512"/>
      <c r="AV451" s="529">
        <f t="shared" si="245"/>
        <v>0</v>
      </c>
      <c r="AW451" s="529">
        <f t="shared" si="246"/>
        <v>0</v>
      </c>
      <c r="AX451" s="529">
        <f t="shared" si="247"/>
        <v>0</v>
      </c>
      <c r="AY451" s="38" t="e">
        <f t="shared" si="248"/>
        <v>#REF!</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39">
        <f t="shared" si="269"/>
        <v>0</v>
      </c>
    </row>
    <row r="452" spans="1:72">
      <c r="A452" s="6"/>
      <c r="B452" s="31"/>
      <c r="C452" s="31"/>
      <c r="D452" s="1509" t="s">
        <v>3569</v>
      </c>
      <c r="E452" s="32" t="e">
        <f t="shared" si="241"/>
        <v>#REF!</v>
      </c>
      <c r="F452" s="33"/>
      <c r="G452" s="34">
        <f t="shared" si="242"/>
        <v>0</v>
      </c>
      <c r="H452" s="35">
        <f t="shared" si="243"/>
        <v>0</v>
      </c>
      <c r="I452" s="1510">
        <f>铂郡面积表!E400</f>
        <v>0</v>
      </c>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3"/>
      <c r="AU452" s="1512"/>
      <c r="AV452" s="529">
        <f t="shared" si="245"/>
        <v>0</v>
      </c>
      <c r="AW452" s="529">
        <f t="shared" si="246"/>
        <v>0</v>
      </c>
      <c r="AX452" s="529">
        <f t="shared" si="247"/>
        <v>0</v>
      </c>
      <c r="AY452" s="38" t="e">
        <f t="shared" si="248"/>
        <v>#REF!</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39">
        <f t="shared" si="269"/>
        <v>0</v>
      </c>
    </row>
    <row r="453" spans="1:72">
      <c r="A453" s="6"/>
      <c r="B453" s="31"/>
      <c r="C453" s="31"/>
      <c r="D453" s="1509" t="s">
        <v>3569</v>
      </c>
      <c r="E453" s="32" t="e">
        <f t="shared" si="241"/>
        <v>#REF!</v>
      </c>
      <c r="F453" s="33"/>
      <c r="G453" s="34">
        <f t="shared" si="242"/>
        <v>0</v>
      </c>
      <c r="H453" s="35">
        <f t="shared" si="243"/>
        <v>0</v>
      </c>
      <c r="I453" s="1510">
        <f>铂郡面积表!E401</f>
        <v>0</v>
      </c>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3"/>
      <c r="AU453" s="1512"/>
      <c r="AV453" s="529">
        <f t="shared" si="245"/>
        <v>0</v>
      </c>
      <c r="AW453" s="529">
        <f t="shared" si="246"/>
        <v>0</v>
      </c>
      <c r="AX453" s="529">
        <f t="shared" si="247"/>
        <v>0</v>
      </c>
      <c r="AY453" s="38" t="e">
        <f t="shared" si="248"/>
        <v>#REF!</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39">
        <f t="shared" si="269"/>
        <v>0</v>
      </c>
    </row>
    <row r="454" spans="1:72">
      <c r="A454" s="6"/>
      <c r="B454" s="31"/>
      <c r="C454" s="31"/>
      <c r="D454" s="1509" t="s">
        <v>3569</v>
      </c>
      <c r="E454" s="32" t="e">
        <f t="shared" si="241"/>
        <v>#REF!</v>
      </c>
      <c r="F454" s="33"/>
      <c r="G454" s="34">
        <f t="shared" si="242"/>
        <v>0</v>
      </c>
      <c r="H454" s="35">
        <f t="shared" si="243"/>
        <v>0</v>
      </c>
      <c r="I454" s="1510">
        <f>铂郡面积表!E402</f>
        <v>0</v>
      </c>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3"/>
      <c r="AU454" s="1512"/>
      <c r="AV454" s="529">
        <f t="shared" si="245"/>
        <v>0</v>
      </c>
      <c r="AW454" s="529">
        <f t="shared" si="246"/>
        <v>0</v>
      </c>
      <c r="AX454" s="529">
        <f t="shared" si="247"/>
        <v>0</v>
      </c>
      <c r="AY454" s="38" t="e">
        <f t="shared" si="248"/>
        <v>#REF!</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39">
        <f t="shared" si="269"/>
        <v>0</v>
      </c>
    </row>
    <row r="455" spans="1:72">
      <c r="A455" s="6"/>
      <c r="B455" s="31"/>
      <c r="C455" s="31"/>
      <c r="D455" s="1509" t="s">
        <v>3569</v>
      </c>
      <c r="E455" s="32" t="e">
        <f t="shared" si="241"/>
        <v>#REF!</v>
      </c>
      <c r="F455" s="33"/>
      <c r="G455" s="34">
        <f t="shared" si="242"/>
        <v>0</v>
      </c>
      <c r="H455" s="35">
        <f t="shared" si="243"/>
        <v>0</v>
      </c>
      <c r="I455" s="1510">
        <f>铂郡面积表!E403</f>
        <v>0</v>
      </c>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3"/>
      <c r="AU455" s="1512"/>
      <c r="AV455" s="529">
        <f t="shared" si="245"/>
        <v>0</v>
      </c>
      <c r="AW455" s="529">
        <f t="shared" si="246"/>
        <v>0</v>
      </c>
      <c r="AX455" s="529">
        <f t="shared" si="247"/>
        <v>0</v>
      </c>
      <c r="AY455" s="38" t="e">
        <f t="shared" si="248"/>
        <v>#REF!</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39">
        <f t="shared" si="269"/>
        <v>0</v>
      </c>
    </row>
    <row r="456" spans="1:72">
      <c r="A456" s="6"/>
      <c r="B456" s="31"/>
      <c r="C456" s="31"/>
      <c r="D456" s="1509" t="s">
        <v>3569</v>
      </c>
      <c r="E456" s="32" t="e">
        <f t="shared" si="241"/>
        <v>#REF!</v>
      </c>
      <c r="F456" s="33"/>
      <c r="G456" s="34">
        <f t="shared" si="242"/>
        <v>0</v>
      </c>
      <c r="H456" s="35">
        <f t="shared" si="243"/>
        <v>0</v>
      </c>
      <c r="I456" s="1510">
        <f>铂郡面积表!E404</f>
        <v>0</v>
      </c>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3"/>
      <c r="AU456" s="1512"/>
      <c r="AV456" s="529">
        <f t="shared" si="245"/>
        <v>0</v>
      </c>
      <c r="AW456" s="529">
        <f t="shared" si="246"/>
        <v>0</v>
      </c>
      <c r="AX456" s="529">
        <f t="shared" si="247"/>
        <v>0</v>
      </c>
      <c r="AY456" s="38" t="e">
        <f t="shared" si="248"/>
        <v>#REF!</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39">
        <f t="shared" si="269"/>
        <v>0</v>
      </c>
    </row>
    <row r="457" spans="1:72">
      <c r="A457" s="6"/>
      <c r="B457" s="31"/>
      <c r="C457" s="31"/>
      <c r="D457" s="1509" t="s">
        <v>3569</v>
      </c>
      <c r="E457" s="32" t="e">
        <f t="shared" si="241"/>
        <v>#REF!</v>
      </c>
      <c r="F457" s="33"/>
      <c r="G457" s="34">
        <f t="shared" si="242"/>
        <v>0</v>
      </c>
      <c r="H457" s="35">
        <f t="shared" si="243"/>
        <v>0</v>
      </c>
      <c r="I457" s="1510">
        <f>铂郡面积表!E405</f>
        <v>0</v>
      </c>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3"/>
      <c r="AU457" s="1512"/>
      <c r="AV457" s="529">
        <f t="shared" si="245"/>
        <v>0</v>
      </c>
      <c r="AW457" s="529">
        <f t="shared" si="246"/>
        <v>0</v>
      </c>
      <c r="AX457" s="529">
        <f t="shared" si="247"/>
        <v>0</v>
      </c>
      <c r="AY457" s="38" t="e">
        <f t="shared" si="248"/>
        <v>#REF!</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39">
        <f t="shared" si="269"/>
        <v>0</v>
      </c>
    </row>
    <row r="458" spans="1:72">
      <c r="A458" s="6"/>
      <c r="B458" s="31"/>
      <c r="C458" s="31"/>
      <c r="D458" s="1509" t="s">
        <v>3569</v>
      </c>
      <c r="E458" s="32" t="e">
        <f t="shared" si="241"/>
        <v>#REF!</v>
      </c>
      <c r="F458" s="33"/>
      <c r="G458" s="34">
        <f t="shared" si="242"/>
        <v>0</v>
      </c>
      <c r="H458" s="35">
        <f t="shared" si="243"/>
        <v>0</v>
      </c>
      <c r="I458" s="1510">
        <f>铂郡面积表!E406</f>
        <v>0</v>
      </c>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3"/>
      <c r="AU458" s="1512"/>
      <c r="AV458" s="529">
        <f t="shared" si="245"/>
        <v>0</v>
      </c>
      <c r="AW458" s="529">
        <f t="shared" si="246"/>
        <v>0</v>
      </c>
      <c r="AX458" s="529">
        <f t="shared" si="247"/>
        <v>0</v>
      </c>
      <c r="AY458" s="38" t="e">
        <f t="shared" si="248"/>
        <v>#REF!</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39">
        <f t="shared" si="269"/>
        <v>0</v>
      </c>
    </row>
    <row r="459" spans="1:72">
      <c r="A459" s="6"/>
      <c r="B459" s="31"/>
      <c r="C459" s="31"/>
      <c r="D459" s="1509" t="s">
        <v>3569</v>
      </c>
      <c r="E459" s="32" t="e">
        <f t="shared" si="241"/>
        <v>#REF!</v>
      </c>
      <c r="F459" s="33"/>
      <c r="G459" s="34">
        <f t="shared" si="242"/>
        <v>0</v>
      </c>
      <c r="H459" s="35">
        <f t="shared" si="243"/>
        <v>0</v>
      </c>
      <c r="I459" s="1510">
        <f>铂郡面积表!E407</f>
        <v>0</v>
      </c>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3"/>
      <c r="AU459" s="1512"/>
      <c r="AV459" s="529">
        <f t="shared" si="245"/>
        <v>0</v>
      </c>
      <c r="AW459" s="529">
        <f t="shared" si="246"/>
        <v>0</v>
      </c>
      <c r="AX459" s="529">
        <f t="shared" si="247"/>
        <v>0</v>
      </c>
      <c r="AY459" s="38" t="e">
        <f t="shared" si="248"/>
        <v>#REF!</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39">
        <f t="shared" si="269"/>
        <v>0</v>
      </c>
    </row>
    <row r="460" spans="1:72">
      <c r="A460" s="6"/>
      <c r="B460" s="31"/>
      <c r="C460" s="31"/>
      <c r="D460" s="1509" t="s">
        <v>3569</v>
      </c>
      <c r="E460" s="32" t="e">
        <f t="shared" si="241"/>
        <v>#REF!</v>
      </c>
      <c r="F460" s="33"/>
      <c r="G460" s="34">
        <f t="shared" si="242"/>
        <v>0</v>
      </c>
      <c r="H460" s="35">
        <f t="shared" si="243"/>
        <v>0</v>
      </c>
      <c r="I460" s="1510">
        <f>铂郡面积表!E408</f>
        <v>0</v>
      </c>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3"/>
      <c r="AU460" s="1512"/>
      <c r="AV460" s="529">
        <f t="shared" si="245"/>
        <v>0</v>
      </c>
      <c r="AW460" s="529">
        <f t="shared" si="246"/>
        <v>0</v>
      </c>
      <c r="AX460" s="529">
        <f t="shared" si="247"/>
        <v>0</v>
      </c>
      <c r="AY460" s="38" t="e">
        <f t="shared" si="248"/>
        <v>#REF!</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39">
        <f t="shared" si="269"/>
        <v>0</v>
      </c>
    </row>
    <row r="461" spans="1:72">
      <c r="A461" s="6"/>
      <c r="B461" s="31"/>
      <c r="C461" s="31"/>
      <c r="D461" s="1509" t="s">
        <v>3569</v>
      </c>
      <c r="E461" s="32" t="e">
        <f t="shared" si="241"/>
        <v>#REF!</v>
      </c>
      <c r="F461" s="33"/>
      <c r="G461" s="34">
        <f t="shared" si="242"/>
        <v>0</v>
      </c>
      <c r="H461" s="35">
        <f t="shared" si="243"/>
        <v>0</v>
      </c>
      <c r="I461" s="1510">
        <f>铂郡面积表!E409</f>
        <v>0</v>
      </c>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3"/>
      <c r="AU461" s="1512"/>
      <c r="AV461" s="529">
        <f t="shared" si="245"/>
        <v>0</v>
      </c>
      <c r="AW461" s="529">
        <f t="shared" si="246"/>
        <v>0</v>
      </c>
      <c r="AX461" s="529">
        <f t="shared" si="247"/>
        <v>0</v>
      </c>
      <c r="AY461" s="38" t="e">
        <f t="shared" si="248"/>
        <v>#REF!</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39">
        <f t="shared" si="269"/>
        <v>0</v>
      </c>
    </row>
    <row r="462" spans="1:72">
      <c r="A462" s="6"/>
      <c r="B462" s="31"/>
      <c r="C462" s="31"/>
      <c r="D462" s="1509" t="s">
        <v>3569</v>
      </c>
      <c r="E462" s="32" t="e">
        <f t="shared" si="241"/>
        <v>#REF!</v>
      </c>
      <c r="F462" s="33"/>
      <c r="G462" s="34">
        <f t="shared" si="242"/>
        <v>0</v>
      </c>
      <c r="H462" s="35">
        <f t="shared" si="243"/>
        <v>0</v>
      </c>
      <c r="I462" s="1510">
        <f>铂郡面积表!E410</f>
        <v>0</v>
      </c>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3"/>
      <c r="AU462" s="1512"/>
      <c r="AV462" s="529">
        <f t="shared" si="245"/>
        <v>0</v>
      </c>
      <c r="AW462" s="529">
        <f t="shared" si="246"/>
        <v>0</v>
      </c>
      <c r="AX462" s="529">
        <f t="shared" si="247"/>
        <v>0</v>
      </c>
      <c r="AY462" s="38" t="e">
        <f t="shared" si="248"/>
        <v>#REF!</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39">
        <f t="shared" si="269"/>
        <v>0</v>
      </c>
    </row>
    <row r="463" spans="1:72">
      <c r="A463" s="6"/>
      <c r="B463" s="31"/>
      <c r="C463" s="31"/>
      <c r="D463" s="1509" t="s">
        <v>3569</v>
      </c>
      <c r="E463" s="32" t="e">
        <f t="shared" si="241"/>
        <v>#REF!</v>
      </c>
      <c r="F463" s="33"/>
      <c r="G463" s="34">
        <f t="shared" si="242"/>
        <v>0</v>
      </c>
      <c r="H463" s="35">
        <f t="shared" si="243"/>
        <v>0</v>
      </c>
      <c r="I463" s="1510">
        <f>铂郡面积表!E411</f>
        <v>0</v>
      </c>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3"/>
      <c r="AU463" s="1512"/>
      <c r="AV463" s="529">
        <f t="shared" si="245"/>
        <v>0</v>
      </c>
      <c r="AW463" s="529">
        <f t="shared" si="246"/>
        <v>0</v>
      </c>
      <c r="AX463" s="529">
        <f t="shared" si="247"/>
        <v>0</v>
      </c>
      <c r="AY463" s="38" t="e">
        <f t="shared" si="248"/>
        <v>#REF!</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39">
        <f t="shared" si="269"/>
        <v>0</v>
      </c>
    </row>
    <row r="464" spans="1:72">
      <c r="A464" s="6"/>
      <c r="B464" s="31"/>
      <c r="C464" s="31"/>
      <c r="D464" s="1509" t="s">
        <v>3569</v>
      </c>
      <c r="E464" s="32" t="e">
        <f t="shared" si="241"/>
        <v>#REF!</v>
      </c>
      <c r="F464" s="33"/>
      <c r="G464" s="34">
        <f t="shared" si="242"/>
        <v>0</v>
      </c>
      <c r="H464" s="35">
        <f t="shared" si="243"/>
        <v>0</v>
      </c>
      <c r="I464" s="1510">
        <f>铂郡面积表!E412</f>
        <v>0</v>
      </c>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3"/>
      <c r="AU464" s="1512"/>
      <c r="AV464" s="529">
        <f t="shared" si="245"/>
        <v>0</v>
      </c>
      <c r="AW464" s="529">
        <f t="shared" si="246"/>
        <v>0</v>
      </c>
      <c r="AX464" s="529">
        <f t="shared" si="247"/>
        <v>0</v>
      </c>
      <c r="AY464" s="38" t="e">
        <f t="shared" si="248"/>
        <v>#REF!</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39">
        <f t="shared" si="269"/>
        <v>0</v>
      </c>
    </row>
    <row r="465" spans="1:72">
      <c r="A465" s="6"/>
      <c r="B465" s="31"/>
      <c r="C465" s="31"/>
      <c r="D465" s="1509" t="s">
        <v>3569</v>
      </c>
      <c r="E465" s="32" t="e">
        <f t="shared" si="241"/>
        <v>#REF!</v>
      </c>
      <c r="F465" s="33"/>
      <c r="G465" s="34">
        <f t="shared" si="242"/>
        <v>0</v>
      </c>
      <c r="H465" s="35">
        <f t="shared" si="243"/>
        <v>0</v>
      </c>
      <c r="I465" s="1510">
        <f>铂郡面积表!E413</f>
        <v>0</v>
      </c>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3"/>
      <c r="AU465" s="1512"/>
      <c r="AV465" s="529">
        <f t="shared" si="245"/>
        <v>0</v>
      </c>
      <c r="AW465" s="529">
        <f t="shared" si="246"/>
        <v>0</v>
      </c>
      <c r="AX465" s="529">
        <f t="shared" si="247"/>
        <v>0</v>
      </c>
      <c r="AY465" s="38" t="e">
        <f t="shared" si="248"/>
        <v>#REF!</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39">
        <f t="shared" si="269"/>
        <v>0</v>
      </c>
    </row>
    <row r="466" spans="1:72">
      <c r="A466" s="6"/>
      <c r="B466" s="31"/>
      <c r="C466" s="31"/>
      <c r="D466" s="1509" t="s">
        <v>3569</v>
      </c>
      <c r="E466" s="32" t="e">
        <f t="shared" si="241"/>
        <v>#REF!</v>
      </c>
      <c r="F466" s="33"/>
      <c r="G466" s="34">
        <f t="shared" si="242"/>
        <v>0</v>
      </c>
      <c r="H466" s="35">
        <f t="shared" si="243"/>
        <v>0</v>
      </c>
      <c r="I466" s="1510">
        <f>铂郡面积表!E414</f>
        <v>0</v>
      </c>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3"/>
      <c r="AU466" s="1512"/>
      <c r="AV466" s="529">
        <f t="shared" si="245"/>
        <v>0</v>
      </c>
      <c r="AW466" s="529">
        <f t="shared" si="246"/>
        <v>0</v>
      </c>
      <c r="AX466" s="529">
        <f t="shared" si="247"/>
        <v>0</v>
      </c>
      <c r="AY466" s="38" t="e">
        <f t="shared" si="248"/>
        <v>#REF!</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39">
        <f t="shared" si="269"/>
        <v>0</v>
      </c>
    </row>
    <row r="467" spans="1:72">
      <c r="A467" s="6"/>
      <c r="B467" s="31"/>
      <c r="C467" s="31"/>
      <c r="D467" s="1509" t="s">
        <v>3569</v>
      </c>
      <c r="E467" s="32" t="e">
        <f t="shared" si="241"/>
        <v>#REF!</v>
      </c>
      <c r="F467" s="33"/>
      <c r="G467" s="34">
        <f t="shared" si="242"/>
        <v>0</v>
      </c>
      <c r="H467" s="35">
        <f t="shared" si="243"/>
        <v>0</v>
      </c>
      <c r="I467" s="1510">
        <f>铂郡面积表!E415</f>
        <v>0</v>
      </c>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3"/>
      <c r="AU467" s="1512"/>
      <c r="AV467" s="529">
        <f t="shared" si="245"/>
        <v>0</v>
      </c>
      <c r="AW467" s="529">
        <f t="shared" si="246"/>
        <v>0</v>
      </c>
      <c r="AX467" s="529">
        <f t="shared" si="247"/>
        <v>0</v>
      </c>
      <c r="AY467" s="38" t="e">
        <f t="shared" si="248"/>
        <v>#REF!</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39">
        <f t="shared" si="269"/>
        <v>0</v>
      </c>
    </row>
    <row r="468" spans="1:72">
      <c r="A468" s="6"/>
      <c r="B468" s="31"/>
      <c r="C468" s="31"/>
      <c r="D468" s="1509" t="s">
        <v>3569</v>
      </c>
      <c r="E468" s="32" t="e">
        <f t="shared" si="241"/>
        <v>#REF!</v>
      </c>
      <c r="F468" s="33"/>
      <c r="G468" s="34">
        <f t="shared" si="242"/>
        <v>0</v>
      </c>
      <c r="H468" s="35">
        <f t="shared" si="243"/>
        <v>0</v>
      </c>
      <c r="I468" s="1510">
        <f>铂郡面积表!E416</f>
        <v>0</v>
      </c>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3"/>
      <c r="AU468" s="1512"/>
      <c r="AV468" s="529">
        <f t="shared" si="245"/>
        <v>0</v>
      </c>
      <c r="AW468" s="529">
        <f t="shared" si="246"/>
        <v>0</v>
      </c>
      <c r="AX468" s="529">
        <f t="shared" si="247"/>
        <v>0</v>
      </c>
      <c r="AY468" s="38" t="e">
        <f t="shared" si="248"/>
        <v>#REF!</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39">
        <f t="shared" si="269"/>
        <v>0</v>
      </c>
    </row>
    <row r="469" spans="1:72">
      <c r="A469" s="6"/>
      <c r="B469" s="31"/>
      <c r="C469" s="31"/>
      <c r="D469" s="1509" t="s">
        <v>3569</v>
      </c>
      <c r="E469" s="32" t="e">
        <f t="shared" si="241"/>
        <v>#REF!</v>
      </c>
      <c r="F469" s="33"/>
      <c r="G469" s="34">
        <f t="shared" si="242"/>
        <v>0</v>
      </c>
      <c r="H469" s="35">
        <f t="shared" si="243"/>
        <v>0</v>
      </c>
      <c r="I469" s="1510">
        <f>铂郡面积表!E417</f>
        <v>0</v>
      </c>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3"/>
      <c r="AU469" s="1512"/>
      <c r="AV469" s="529">
        <f t="shared" si="245"/>
        <v>0</v>
      </c>
      <c r="AW469" s="529">
        <f t="shared" si="246"/>
        <v>0</v>
      </c>
      <c r="AX469" s="529">
        <f t="shared" si="247"/>
        <v>0</v>
      </c>
      <c r="AY469" s="38" t="e">
        <f t="shared" si="248"/>
        <v>#REF!</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39">
        <f t="shared" si="269"/>
        <v>0</v>
      </c>
    </row>
    <row r="470" spans="1:72">
      <c r="A470" s="6"/>
      <c r="B470" s="31"/>
      <c r="C470" s="31"/>
      <c r="D470" s="1509" t="s">
        <v>3569</v>
      </c>
      <c r="E470" s="32" t="e">
        <f t="shared" si="241"/>
        <v>#REF!</v>
      </c>
      <c r="F470" s="33"/>
      <c r="G470" s="34">
        <f t="shared" si="242"/>
        <v>0</v>
      </c>
      <c r="H470" s="35">
        <f t="shared" si="243"/>
        <v>0</v>
      </c>
      <c r="I470" s="1510">
        <f>铂郡面积表!E418</f>
        <v>0</v>
      </c>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3"/>
      <c r="AU470" s="1512"/>
      <c r="AV470" s="529">
        <f t="shared" si="245"/>
        <v>0</v>
      </c>
      <c r="AW470" s="529">
        <f t="shared" si="246"/>
        <v>0</v>
      </c>
      <c r="AX470" s="529">
        <f t="shared" si="247"/>
        <v>0</v>
      </c>
      <c r="AY470" s="38" t="e">
        <f t="shared" si="248"/>
        <v>#REF!</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39">
        <f t="shared" si="269"/>
        <v>0</v>
      </c>
    </row>
    <row r="471" spans="1:72">
      <c r="A471" s="6"/>
      <c r="B471" s="31"/>
      <c r="C471" s="31"/>
      <c r="D471" s="1509" t="s">
        <v>3569</v>
      </c>
      <c r="E471" s="32" t="e">
        <f t="shared" si="241"/>
        <v>#REF!</v>
      </c>
      <c r="F471" s="33"/>
      <c r="G471" s="34">
        <f t="shared" si="242"/>
        <v>0</v>
      </c>
      <c r="H471" s="35">
        <f t="shared" si="243"/>
        <v>0</v>
      </c>
      <c r="I471" s="1510">
        <f>铂郡面积表!E419</f>
        <v>0</v>
      </c>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3"/>
      <c r="AU471" s="1512"/>
      <c r="AV471" s="529">
        <f t="shared" si="245"/>
        <v>0</v>
      </c>
      <c r="AW471" s="529">
        <f t="shared" si="246"/>
        <v>0</v>
      </c>
      <c r="AX471" s="529">
        <f t="shared" si="247"/>
        <v>0</v>
      </c>
      <c r="AY471" s="38" t="e">
        <f t="shared" si="248"/>
        <v>#REF!</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39">
        <f t="shared" si="269"/>
        <v>0</v>
      </c>
    </row>
    <row r="472" spans="1:72">
      <c r="A472" s="6"/>
      <c r="B472" s="31"/>
      <c r="C472" s="31"/>
      <c r="D472" s="1509" t="s">
        <v>3569</v>
      </c>
      <c r="E472" s="32" t="e">
        <f t="shared" si="241"/>
        <v>#REF!</v>
      </c>
      <c r="F472" s="33"/>
      <c r="G472" s="34">
        <f t="shared" si="242"/>
        <v>0</v>
      </c>
      <c r="H472" s="35">
        <f t="shared" si="243"/>
        <v>0</v>
      </c>
      <c r="I472" s="1510">
        <f>铂郡面积表!E420</f>
        <v>0</v>
      </c>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3"/>
      <c r="AU472" s="1512"/>
      <c r="AV472" s="529">
        <f t="shared" si="245"/>
        <v>0</v>
      </c>
      <c r="AW472" s="529">
        <f t="shared" si="246"/>
        <v>0</v>
      </c>
      <c r="AX472" s="529">
        <f t="shared" si="247"/>
        <v>0</v>
      </c>
      <c r="AY472" s="38" t="e">
        <f t="shared" si="248"/>
        <v>#REF!</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39">
        <f t="shared" si="269"/>
        <v>0</v>
      </c>
    </row>
    <row r="473" spans="1:72">
      <c r="A473" s="6"/>
      <c r="B473" s="31"/>
      <c r="C473" s="31"/>
      <c r="D473" s="1509" t="s">
        <v>3569</v>
      </c>
      <c r="E473" s="32" t="e">
        <f t="shared" si="241"/>
        <v>#REF!</v>
      </c>
      <c r="F473" s="33"/>
      <c r="G473" s="34">
        <f t="shared" si="242"/>
        <v>0</v>
      </c>
      <c r="H473" s="35">
        <f t="shared" si="243"/>
        <v>0</v>
      </c>
      <c r="I473" s="1510">
        <f>铂郡面积表!E421</f>
        <v>0</v>
      </c>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3"/>
      <c r="AU473" s="1512"/>
      <c r="AV473" s="529">
        <f t="shared" si="245"/>
        <v>0</v>
      </c>
      <c r="AW473" s="529">
        <f t="shared" si="246"/>
        <v>0</v>
      </c>
      <c r="AX473" s="529">
        <f t="shared" si="247"/>
        <v>0</v>
      </c>
      <c r="AY473" s="38" t="e">
        <f t="shared" si="248"/>
        <v>#REF!</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39">
        <f t="shared" si="269"/>
        <v>0</v>
      </c>
    </row>
    <row r="474" spans="1:72">
      <c r="A474" s="6"/>
      <c r="B474" s="31"/>
      <c r="C474" s="31"/>
      <c r="D474" s="1509" t="s">
        <v>3569</v>
      </c>
      <c r="E474" s="32" t="e">
        <f t="shared" si="241"/>
        <v>#REF!</v>
      </c>
      <c r="F474" s="33"/>
      <c r="G474" s="34">
        <f t="shared" si="242"/>
        <v>0</v>
      </c>
      <c r="H474" s="35">
        <f t="shared" si="243"/>
        <v>0</v>
      </c>
      <c r="I474" s="1510">
        <f>铂郡面积表!E422</f>
        <v>0</v>
      </c>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3"/>
      <c r="AU474" s="1512"/>
      <c r="AV474" s="529">
        <f t="shared" si="245"/>
        <v>0</v>
      </c>
      <c r="AW474" s="529">
        <f t="shared" si="246"/>
        <v>0</v>
      </c>
      <c r="AX474" s="529">
        <f t="shared" si="247"/>
        <v>0</v>
      </c>
      <c r="AY474" s="38" t="e">
        <f t="shared" si="248"/>
        <v>#REF!</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39">
        <f t="shared" si="269"/>
        <v>0</v>
      </c>
    </row>
    <row r="475" spans="1:72">
      <c r="A475" s="6"/>
      <c r="B475" s="31"/>
      <c r="C475" s="31"/>
      <c r="D475" s="1509" t="s">
        <v>3569</v>
      </c>
      <c r="E475" s="32" t="e">
        <f t="shared" si="241"/>
        <v>#REF!</v>
      </c>
      <c r="F475" s="33"/>
      <c r="G475" s="34">
        <f t="shared" si="242"/>
        <v>0</v>
      </c>
      <c r="H475" s="35">
        <f t="shared" si="243"/>
        <v>0</v>
      </c>
      <c r="I475" s="1510">
        <f>铂郡面积表!E423</f>
        <v>0</v>
      </c>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3"/>
      <c r="AU475" s="1512"/>
      <c r="AV475" s="529">
        <f t="shared" si="245"/>
        <v>0</v>
      </c>
      <c r="AW475" s="529">
        <f t="shared" si="246"/>
        <v>0</v>
      </c>
      <c r="AX475" s="529">
        <f t="shared" si="247"/>
        <v>0</v>
      </c>
      <c r="AY475" s="38" t="e">
        <f t="shared" si="248"/>
        <v>#REF!</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39">
        <f t="shared" si="269"/>
        <v>0</v>
      </c>
    </row>
    <row r="476" spans="1:72">
      <c r="A476" s="6"/>
      <c r="B476" s="31"/>
      <c r="C476" s="31"/>
      <c r="D476" s="1509" t="s">
        <v>3569</v>
      </c>
      <c r="E476" s="32" t="e">
        <f t="shared" si="241"/>
        <v>#REF!</v>
      </c>
      <c r="F476" s="33"/>
      <c r="G476" s="34">
        <f t="shared" si="242"/>
        <v>0</v>
      </c>
      <c r="H476" s="35">
        <f t="shared" si="243"/>
        <v>0</v>
      </c>
      <c r="I476" s="1510">
        <f>铂郡面积表!E424</f>
        <v>0</v>
      </c>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3"/>
      <c r="AU476" s="1512"/>
      <c r="AV476" s="529">
        <f t="shared" si="245"/>
        <v>0</v>
      </c>
      <c r="AW476" s="529">
        <f t="shared" si="246"/>
        <v>0</v>
      </c>
      <c r="AX476" s="529">
        <f t="shared" si="247"/>
        <v>0</v>
      </c>
      <c r="AY476" s="38" t="e">
        <f t="shared" si="248"/>
        <v>#REF!</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39">
        <f t="shared" si="269"/>
        <v>0</v>
      </c>
    </row>
    <row r="477" spans="1:72">
      <c r="A477" s="6"/>
      <c r="B477" s="31"/>
      <c r="C477" s="31"/>
      <c r="D477" s="1509" t="s">
        <v>3569</v>
      </c>
      <c r="E477" s="32" t="e">
        <f t="shared" si="241"/>
        <v>#REF!</v>
      </c>
      <c r="F477" s="33"/>
      <c r="G477" s="34">
        <f t="shared" si="242"/>
        <v>0</v>
      </c>
      <c r="H477" s="35">
        <f t="shared" si="243"/>
        <v>0</v>
      </c>
      <c r="I477" s="1510">
        <f>铂郡面积表!E425</f>
        <v>0</v>
      </c>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3"/>
      <c r="AU477" s="1512"/>
      <c r="AV477" s="529">
        <f t="shared" si="245"/>
        <v>0</v>
      </c>
      <c r="AW477" s="529">
        <f t="shared" si="246"/>
        <v>0</v>
      </c>
      <c r="AX477" s="529">
        <f t="shared" si="247"/>
        <v>0</v>
      </c>
      <c r="AY477" s="38" t="e">
        <f t="shared" si="248"/>
        <v>#REF!</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39">
        <f t="shared" si="269"/>
        <v>0</v>
      </c>
    </row>
    <row r="478" spans="1:72">
      <c r="A478" s="6"/>
      <c r="B478" s="31"/>
      <c r="C478" s="31"/>
      <c r="D478" s="1509" t="s">
        <v>3569</v>
      </c>
      <c r="E478" s="32" t="e">
        <f t="shared" si="241"/>
        <v>#REF!</v>
      </c>
      <c r="F478" s="33"/>
      <c r="G478" s="34">
        <f t="shared" si="242"/>
        <v>0</v>
      </c>
      <c r="H478" s="35">
        <f t="shared" si="243"/>
        <v>0</v>
      </c>
      <c r="I478" s="1510">
        <f>铂郡面积表!E426</f>
        <v>0</v>
      </c>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3"/>
      <c r="AU478" s="1512"/>
      <c r="AV478" s="529">
        <f t="shared" si="245"/>
        <v>0</v>
      </c>
      <c r="AW478" s="529">
        <f t="shared" si="246"/>
        <v>0</v>
      </c>
      <c r="AX478" s="529">
        <f t="shared" si="247"/>
        <v>0</v>
      </c>
      <c r="AY478" s="38" t="e">
        <f t="shared" si="248"/>
        <v>#REF!</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39">
        <f t="shared" si="269"/>
        <v>0</v>
      </c>
    </row>
    <row r="479" spans="1:72">
      <c r="A479" s="6"/>
      <c r="B479" s="31"/>
      <c r="C479" s="31"/>
      <c r="D479" s="1509" t="s">
        <v>3569</v>
      </c>
      <c r="E479" s="32" t="e">
        <f t="shared" si="241"/>
        <v>#REF!</v>
      </c>
      <c r="F479" s="33"/>
      <c r="G479" s="34">
        <f t="shared" si="242"/>
        <v>0</v>
      </c>
      <c r="H479" s="35">
        <f t="shared" si="243"/>
        <v>0</v>
      </c>
      <c r="I479" s="1510">
        <f>铂郡面积表!E427</f>
        <v>0</v>
      </c>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3"/>
      <c r="AU479" s="1512"/>
      <c r="AV479" s="529">
        <f t="shared" si="245"/>
        <v>0</v>
      </c>
      <c r="AW479" s="529">
        <f t="shared" si="246"/>
        <v>0</v>
      </c>
      <c r="AX479" s="529">
        <f t="shared" si="247"/>
        <v>0</v>
      </c>
      <c r="AY479" s="38" t="e">
        <f t="shared" si="248"/>
        <v>#REF!</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39">
        <f t="shared" si="269"/>
        <v>0</v>
      </c>
    </row>
    <row r="480" spans="1:72">
      <c r="A480" s="6"/>
      <c r="B480" s="31"/>
      <c r="C480" s="31"/>
      <c r="D480" s="1509" t="s">
        <v>3569</v>
      </c>
      <c r="E480" s="32" t="e">
        <f t="shared" si="241"/>
        <v>#REF!</v>
      </c>
      <c r="F480" s="33"/>
      <c r="G480" s="34">
        <f t="shared" si="242"/>
        <v>0</v>
      </c>
      <c r="H480" s="35">
        <f t="shared" si="243"/>
        <v>0</v>
      </c>
      <c r="I480" s="1510">
        <f>铂郡面积表!E428</f>
        <v>0</v>
      </c>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3"/>
      <c r="AU480" s="1512"/>
      <c r="AV480" s="529">
        <f t="shared" si="245"/>
        <v>0</v>
      </c>
      <c r="AW480" s="529">
        <f t="shared" si="246"/>
        <v>0</v>
      </c>
      <c r="AX480" s="529">
        <f t="shared" si="247"/>
        <v>0</v>
      </c>
      <c r="AY480" s="38" t="e">
        <f t="shared" si="248"/>
        <v>#REF!</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39">
        <f t="shared" si="269"/>
        <v>0</v>
      </c>
    </row>
    <row r="481" spans="1:72">
      <c r="A481" s="6"/>
      <c r="B481" s="31"/>
      <c r="C481" s="31"/>
      <c r="D481" s="1509" t="s">
        <v>3569</v>
      </c>
      <c r="E481" s="32" t="e">
        <f t="shared" si="241"/>
        <v>#REF!</v>
      </c>
      <c r="F481" s="33"/>
      <c r="G481" s="34">
        <f t="shared" si="242"/>
        <v>0</v>
      </c>
      <c r="H481" s="35">
        <f t="shared" si="243"/>
        <v>0</v>
      </c>
      <c r="I481" s="1510">
        <f>铂郡面积表!E429</f>
        <v>0</v>
      </c>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3"/>
      <c r="AU481" s="1512"/>
      <c r="AV481" s="529">
        <f t="shared" si="245"/>
        <v>0</v>
      </c>
      <c r="AW481" s="529">
        <f t="shared" si="246"/>
        <v>0</v>
      </c>
      <c r="AX481" s="529">
        <f t="shared" si="247"/>
        <v>0</v>
      </c>
      <c r="AY481" s="38" t="e">
        <f t="shared" si="248"/>
        <v>#REF!</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39">
        <f t="shared" si="269"/>
        <v>0</v>
      </c>
    </row>
    <row r="482" spans="1:72">
      <c r="A482" s="6"/>
      <c r="B482" s="31"/>
      <c r="C482" s="31"/>
      <c r="D482" s="1509" t="s">
        <v>3569</v>
      </c>
      <c r="E482" s="32" t="e">
        <f t="shared" si="241"/>
        <v>#REF!</v>
      </c>
      <c r="F482" s="33"/>
      <c r="G482" s="34">
        <f t="shared" si="242"/>
        <v>0</v>
      </c>
      <c r="H482" s="35">
        <f t="shared" si="243"/>
        <v>0</v>
      </c>
      <c r="I482" s="1510">
        <f>铂郡面积表!E430</f>
        <v>0</v>
      </c>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3"/>
      <c r="AU482" s="1512"/>
      <c r="AV482" s="529">
        <f t="shared" si="245"/>
        <v>0</v>
      </c>
      <c r="AW482" s="529">
        <f t="shared" si="246"/>
        <v>0</v>
      </c>
      <c r="AX482" s="529">
        <f t="shared" si="247"/>
        <v>0</v>
      </c>
      <c r="AY482" s="38" t="e">
        <f t="shared" si="248"/>
        <v>#REF!</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39">
        <f t="shared" si="269"/>
        <v>0</v>
      </c>
    </row>
    <row r="483" spans="1:72">
      <c r="A483" s="6"/>
      <c r="B483" s="31"/>
      <c r="C483" s="31"/>
      <c r="D483" s="1509" t="s">
        <v>3569</v>
      </c>
      <c r="E483" s="32" t="e">
        <f t="shared" si="241"/>
        <v>#REF!</v>
      </c>
      <c r="F483" s="33"/>
      <c r="G483" s="34">
        <f t="shared" si="242"/>
        <v>0</v>
      </c>
      <c r="H483" s="35">
        <f t="shared" si="243"/>
        <v>0</v>
      </c>
      <c r="I483" s="1510">
        <f>铂郡面积表!E431</f>
        <v>0</v>
      </c>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3"/>
      <c r="AU483" s="1512"/>
      <c r="AV483" s="529">
        <f t="shared" si="245"/>
        <v>0</v>
      </c>
      <c r="AW483" s="529">
        <f t="shared" si="246"/>
        <v>0</v>
      </c>
      <c r="AX483" s="529">
        <f t="shared" si="247"/>
        <v>0</v>
      </c>
      <c r="AY483" s="38" t="e">
        <f t="shared" si="248"/>
        <v>#REF!</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39">
        <f t="shared" si="269"/>
        <v>0</v>
      </c>
    </row>
    <row r="484" spans="1:72">
      <c r="A484" s="6"/>
      <c r="B484" s="31"/>
      <c r="C484" s="31"/>
      <c r="D484" s="1509" t="s">
        <v>3569</v>
      </c>
      <c r="E484" s="32" t="e">
        <f t="shared" si="241"/>
        <v>#REF!</v>
      </c>
      <c r="F484" s="33"/>
      <c r="G484" s="34">
        <f t="shared" si="242"/>
        <v>0</v>
      </c>
      <c r="H484" s="35">
        <f t="shared" si="243"/>
        <v>0</v>
      </c>
      <c r="I484" s="1510">
        <f>铂郡面积表!E432</f>
        <v>0</v>
      </c>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3"/>
      <c r="AU484" s="1512"/>
      <c r="AV484" s="529">
        <f t="shared" si="245"/>
        <v>0</v>
      </c>
      <c r="AW484" s="529">
        <f t="shared" si="246"/>
        <v>0</v>
      </c>
      <c r="AX484" s="529">
        <f t="shared" si="247"/>
        <v>0</v>
      </c>
      <c r="AY484" s="38" t="e">
        <f t="shared" si="248"/>
        <v>#REF!</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39">
        <f t="shared" si="269"/>
        <v>0</v>
      </c>
    </row>
    <row r="485" spans="1:72">
      <c r="A485" s="6"/>
      <c r="B485" s="31"/>
      <c r="C485" s="31"/>
      <c r="D485" s="1509" t="s">
        <v>3569</v>
      </c>
      <c r="E485" s="32" t="e">
        <f t="shared" si="241"/>
        <v>#REF!</v>
      </c>
      <c r="F485" s="33"/>
      <c r="G485" s="34">
        <f t="shared" si="242"/>
        <v>0</v>
      </c>
      <c r="H485" s="35">
        <f t="shared" si="243"/>
        <v>0</v>
      </c>
      <c r="I485" s="1510">
        <f>铂郡面积表!E433</f>
        <v>0</v>
      </c>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3"/>
      <c r="AU485" s="1512"/>
      <c r="AV485" s="529">
        <f t="shared" si="245"/>
        <v>0</v>
      </c>
      <c r="AW485" s="529">
        <f t="shared" si="246"/>
        <v>0</v>
      </c>
      <c r="AX485" s="529">
        <f t="shared" si="247"/>
        <v>0</v>
      </c>
      <c r="AY485" s="38" t="e">
        <f t="shared" si="248"/>
        <v>#REF!</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39">
        <f t="shared" si="269"/>
        <v>0</v>
      </c>
    </row>
    <row r="486" spans="1:72">
      <c r="A486" s="6"/>
      <c r="B486" s="31"/>
      <c r="C486" s="31"/>
      <c r="D486" s="1509" t="s">
        <v>3569</v>
      </c>
      <c r="E486" s="32" t="e">
        <f t="shared" si="241"/>
        <v>#REF!</v>
      </c>
      <c r="F486" s="33"/>
      <c r="G486" s="34">
        <f t="shared" si="242"/>
        <v>0</v>
      </c>
      <c r="H486" s="35">
        <f t="shared" si="243"/>
        <v>0</v>
      </c>
      <c r="I486" s="1510">
        <f>铂郡面积表!E434</f>
        <v>0</v>
      </c>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3"/>
      <c r="AU486" s="1512"/>
      <c r="AV486" s="529">
        <f t="shared" si="245"/>
        <v>0</v>
      </c>
      <c r="AW486" s="529">
        <f t="shared" si="246"/>
        <v>0</v>
      </c>
      <c r="AX486" s="529">
        <f t="shared" si="247"/>
        <v>0</v>
      </c>
      <c r="AY486" s="38" t="e">
        <f t="shared" si="248"/>
        <v>#REF!</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39">
        <f t="shared" si="269"/>
        <v>0</v>
      </c>
    </row>
    <row r="487" spans="1:72">
      <c r="A487" s="6"/>
      <c r="B487" s="31"/>
      <c r="C487" s="31"/>
      <c r="D487" s="1509" t="s">
        <v>3569</v>
      </c>
      <c r="E487" s="32" t="e">
        <f t="shared" si="241"/>
        <v>#REF!</v>
      </c>
      <c r="F487" s="33"/>
      <c r="G487" s="34">
        <f t="shared" si="242"/>
        <v>0</v>
      </c>
      <c r="H487" s="35">
        <f t="shared" si="243"/>
        <v>0</v>
      </c>
      <c r="I487" s="1510">
        <f>铂郡面积表!E435</f>
        <v>0</v>
      </c>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3"/>
      <c r="AU487" s="1512"/>
      <c r="AV487" s="529">
        <f t="shared" si="245"/>
        <v>0</v>
      </c>
      <c r="AW487" s="529">
        <f t="shared" si="246"/>
        <v>0</v>
      </c>
      <c r="AX487" s="529">
        <f t="shared" si="247"/>
        <v>0</v>
      </c>
      <c r="AY487" s="38" t="e">
        <f t="shared" si="248"/>
        <v>#REF!</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39">
        <f t="shared" si="269"/>
        <v>0</v>
      </c>
    </row>
    <row r="488" spans="1:72">
      <c r="A488" s="6"/>
      <c r="B488" s="31"/>
      <c r="C488" s="31"/>
      <c r="D488" s="1509" t="s">
        <v>3569</v>
      </c>
      <c r="E488" s="32" t="e">
        <f t="shared" si="241"/>
        <v>#REF!</v>
      </c>
      <c r="F488" s="33"/>
      <c r="G488" s="34">
        <f t="shared" si="242"/>
        <v>0</v>
      </c>
      <c r="H488" s="35">
        <f t="shared" si="243"/>
        <v>0</v>
      </c>
      <c r="I488" s="1510">
        <f>铂郡面积表!E436</f>
        <v>0</v>
      </c>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3"/>
      <c r="AU488" s="1512"/>
      <c r="AV488" s="529">
        <f t="shared" si="245"/>
        <v>0</v>
      </c>
      <c r="AW488" s="529">
        <f t="shared" si="246"/>
        <v>0</v>
      </c>
      <c r="AX488" s="529">
        <f t="shared" si="247"/>
        <v>0</v>
      </c>
      <c r="AY488" s="38" t="e">
        <f t="shared" si="248"/>
        <v>#REF!</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39">
        <f t="shared" si="269"/>
        <v>0</v>
      </c>
    </row>
    <row r="489" spans="1:72">
      <c r="A489" s="6"/>
      <c r="B489" s="31"/>
      <c r="C489" s="31"/>
      <c r="D489" s="1509" t="s">
        <v>3569</v>
      </c>
      <c r="E489" s="32" t="e">
        <f t="shared" si="241"/>
        <v>#REF!</v>
      </c>
      <c r="F489" s="33"/>
      <c r="G489" s="34">
        <f t="shared" si="242"/>
        <v>0</v>
      </c>
      <c r="H489" s="35">
        <f t="shared" si="243"/>
        <v>0</v>
      </c>
      <c r="I489" s="1510">
        <f>铂郡面积表!E437</f>
        <v>0</v>
      </c>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3"/>
      <c r="AU489" s="1512"/>
      <c r="AV489" s="529">
        <f t="shared" si="245"/>
        <v>0</v>
      </c>
      <c r="AW489" s="529">
        <f t="shared" si="246"/>
        <v>0</v>
      </c>
      <c r="AX489" s="529">
        <f t="shared" si="247"/>
        <v>0</v>
      </c>
      <c r="AY489" s="38" t="e">
        <f t="shared" si="248"/>
        <v>#REF!</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39">
        <f t="shared" si="269"/>
        <v>0</v>
      </c>
    </row>
    <row r="490" spans="1:72">
      <c r="A490" s="6"/>
      <c r="B490" s="6"/>
      <c r="C490" s="6"/>
      <c r="D490" s="1509" t="s">
        <v>3569</v>
      </c>
      <c r="E490" s="32" t="e">
        <f t="shared" si="241"/>
        <v>#REF!</v>
      </c>
      <c r="F490" s="37"/>
      <c r="G490" s="34">
        <f t="shared" ref="G490:G521" si="270">H490+AC490+AT490</f>
        <v>0</v>
      </c>
      <c r="H490" s="35">
        <f t="shared" ref="H490:H521" si="271">SUMIF(I$12:AB$12,"总值",I490:AB490)</f>
        <v>0</v>
      </c>
      <c r="I490" s="1510">
        <f>铂郡面积表!E438</f>
        <v>0</v>
      </c>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9">
        <f t="shared" si="245"/>
        <v>0</v>
      </c>
      <c r="AW490" s="529">
        <f t="shared" si="246"/>
        <v>0</v>
      </c>
      <c r="AX490" s="529">
        <f t="shared" si="247"/>
        <v>0</v>
      </c>
      <c r="AY490" s="38" t="e">
        <f t="shared" ref="AY490:AY521" si="273">ROUND($AY$6*AZ490/$AZ$5,2)</f>
        <v>#REF!</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39">
        <f t="shared" ref="BT490:BT521" si="294">IF($D490="是",AR490-AS490,0)</f>
        <v>0</v>
      </c>
    </row>
    <row r="491" spans="1:72">
      <c r="A491" s="6"/>
      <c r="B491" s="6"/>
      <c r="C491" s="6"/>
      <c r="D491" s="1509" t="s">
        <v>3569</v>
      </c>
      <c r="E491" s="32" t="e">
        <f t="shared" si="241"/>
        <v>#REF!</v>
      </c>
      <c r="F491" s="37"/>
      <c r="G491" s="34">
        <f t="shared" si="270"/>
        <v>0</v>
      </c>
      <c r="H491" s="35">
        <f t="shared" si="271"/>
        <v>0</v>
      </c>
      <c r="I491" s="1510">
        <f>铂郡面积表!E439</f>
        <v>0</v>
      </c>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062"/>
      <c r="AV491" s="529">
        <f t="shared" si="245"/>
        <v>0</v>
      </c>
      <c r="AW491" s="529">
        <f t="shared" si="246"/>
        <v>0</v>
      </c>
      <c r="AX491" s="529">
        <f t="shared" si="247"/>
        <v>0</v>
      </c>
      <c r="AY491" s="38" t="e">
        <f t="shared" si="273"/>
        <v>#REF!</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39">
        <f t="shared" si="294"/>
        <v>0</v>
      </c>
    </row>
    <row r="492" spans="1:72">
      <c r="A492" s="6"/>
      <c r="B492" s="6"/>
      <c r="C492" s="6"/>
      <c r="D492" s="1509" t="s">
        <v>3569</v>
      </c>
      <c r="E492" s="32" t="e">
        <f t="shared" si="241"/>
        <v>#REF!</v>
      </c>
      <c r="F492" s="37"/>
      <c r="G492" s="34">
        <f t="shared" si="270"/>
        <v>0</v>
      </c>
      <c r="H492" s="35">
        <f t="shared" si="271"/>
        <v>0</v>
      </c>
      <c r="I492" s="1510">
        <f>铂郡面积表!E440</f>
        <v>0</v>
      </c>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062"/>
      <c r="AV492" s="529">
        <f t="shared" si="245"/>
        <v>0</v>
      </c>
      <c r="AW492" s="529">
        <f t="shared" si="246"/>
        <v>0</v>
      </c>
      <c r="AX492" s="529">
        <f t="shared" si="247"/>
        <v>0</v>
      </c>
      <c r="AY492" s="38" t="e">
        <f t="shared" si="273"/>
        <v>#REF!</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39">
        <f t="shared" si="294"/>
        <v>0</v>
      </c>
    </row>
    <row r="493" spans="1:72">
      <c r="A493" s="6"/>
      <c r="B493" s="31"/>
      <c r="C493" s="31"/>
      <c r="D493" s="1509" t="s">
        <v>3569</v>
      </c>
      <c r="E493" s="32" t="e">
        <f t="shared" ref="E493:E519" si="295">IF($C$3="是",ROUND($A$3*G493/$B$3,2),ROUND($A$3*(G493-AT493)/$B$3,2))</f>
        <v>#REF!</v>
      </c>
      <c r="F493" s="33"/>
      <c r="G493" s="34">
        <f t="shared" si="270"/>
        <v>0</v>
      </c>
      <c r="H493" s="35">
        <f t="shared" si="271"/>
        <v>0</v>
      </c>
      <c r="I493" s="1510">
        <f>铂郡面积表!E441</f>
        <v>0</v>
      </c>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3"/>
      <c r="AU493" s="1512"/>
      <c r="AV493" s="529">
        <f t="shared" ref="AV493:AV520" si="296">A493</f>
        <v>0</v>
      </c>
      <c r="AW493" s="529">
        <f t="shared" ref="AW493:AW520" si="297">B493</f>
        <v>0</v>
      </c>
      <c r="AX493" s="529">
        <f t="shared" ref="AX493:AX520" si="298">C493</f>
        <v>0</v>
      </c>
      <c r="AY493" s="38" t="e">
        <f t="shared" si="273"/>
        <v>#REF!</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39">
        <f t="shared" si="294"/>
        <v>0</v>
      </c>
    </row>
    <row r="494" spans="1:72">
      <c r="A494" s="6"/>
      <c r="B494" s="31"/>
      <c r="C494" s="31"/>
      <c r="D494" s="1509" t="s">
        <v>3569</v>
      </c>
      <c r="E494" s="32" t="e">
        <f t="shared" si="295"/>
        <v>#REF!</v>
      </c>
      <c r="F494" s="33"/>
      <c r="G494" s="34">
        <f t="shared" si="270"/>
        <v>0</v>
      </c>
      <c r="H494" s="35">
        <f t="shared" si="271"/>
        <v>0</v>
      </c>
      <c r="I494" s="1510">
        <f>铂郡面积表!E442</f>
        <v>0</v>
      </c>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3"/>
      <c r="AU494" s="1512"/>
      <c r="AV494" s="529">
        <f t="shared" si="296"/>
        <v>0</v>
      </c>
      <c r="AW494" s="529">
        <f t="shared" si="297"/>
        <v>0</v>
      </c>
      <c r="AX494" s="529">
        <f t="shared" si="298"/>
        <v>0</v>
      </c>
      <c r="AY494" s="38" t="e">
        <f t="shared" si="273"/>
        <v>#REF!</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39">
        <f t="shared" si="294"/>
        <v>0</v>
      </c>
    </row>
    <row r="495" spans="1:72">
      <c r="A495" s="6"/>
      <c r="B495" s="31"/>
      <c r="C495" s="31"/>
      <c r="D495" s="1509" t="s">
        <v>3569</v>
      </c>
      <c r="E495" s="32" t="e">
        <f t="shared" si="295"/>
        <v>#REF!</v>
      </c>
      <c r="F495" s="33"/>
      <c r="G495" s="34">
        <f t="shared" si="270"/>
        <v>0</v>
      </c>
      <c r="H495" s="35">
        <f t="shared" si="271"/>
        <v>0</v>
      </c>
      <c r="I495" s="1510">
        <f>铂郡面积表!E443</f>
        <v>0</v>
      </c>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3"/>
      <c r="AU495" s="1512"/>
      <c r="AV495" s="529">
        <f t="shared" si="296"/>
        <v>0</v>
      </c>
      <c r="AW495" s="529">
        <f t="shared" si="297"/>
        <v>0</v>
      </c>
      <c r="AX495" s="529">
        <f t="shared" si="298"/>
        <v>0</v>
      </c>
      <c r="AY495" s="38" t="e">
        <f t="shared" si="273"/>
        <v>#REF!</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39">
        <f t="shared" si="294"/>
        <v>0</v>
      </c>
    </row>
    <row r="496" spans="1:72">
      <c r="A496" s="6"/>
      <c r="B496" s="31"/>
      <c r="C496" s="31"/>
      <c r="D496" s="1509" t="s">
        <v>3569</v>
      </c>
      <c r="E496" s="32" t="e">
        <f t="shared" si="295"/>
        <v>#REF!</v>
      </c>
      <c r="F496" s="33"/>
      <c r="G496" s="34">
        <f t="shared" si="270"/>
        <v>0</v>
      </c>
      <c r="H496" s="35">
        <f t="shared" si="271"/>
        <v>0</v>
      </c>
      <c r="I496" s="1510">
        <f>铂郡面积表!E444</f>
        <v>0</v>
      </c>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3"/>
      <c r="AU496" s="1512"/>
      <c r="AV496" s="529">
        <f t="shared" si="296"/>
        <v>0</v>
      </c>
      <c r="AW496" s="529">
        <f t="shared" si="297"/>
        <v>0</v>
      </c>
      <c r="AX496" s="529">
        <f t="shared" si="298"/>
        <v>0</v>
      </c>
      <c r="AY496" s="38" t="e">
        <f t="shared" si="273"/>
        <v>#REF!</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39">
        <f t="shared" si="294"/>
        <v>0</v>
      </c>
    </row>
    <row r="497" spans="1:72">
      <c r="A497" s="6"/>
      <c r="B497" s="31"/>
      <c r="C497" s="31"/>
      <c r="D497" s="1509" t="s">
        <v>3569</v>
      </c>
      <c r="E497" s="32" t="e">
        <f t="shared" si="295"/>
        <v>#REF!</v>
      </c>
      <c r="F497" s="33"/>
      <c r="G497" s="34">
        <f t="shared" si="270"/>
        <v>0</v>
      </c>
      <c r="H497" s="35">
        <f t="shared" si="271"/>
        <v>0</v>
      </c>
      <c r="I497" s="1510">
        <f>铂郡面积表!E445</f>
        <v>0</v>
      </c>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3"/>
      <c r="AU497" s="1512"/>
      <c r="AV497" s="529">
        <f t="shared" si="296"/>
        <v>0</v>
      </c>
      <c r="AW497" s="529">
        <f t="shared" si="297"/>
        <v>0</v>
      </c>
      <c r="AX497" s="529">
        <f t="shared" si="298"/>
        <v>0</v>
      </c>
      <c r="AY497" s="38" t="e">
        <f t="shared" si="273"/>
        <v>#REF!</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39">
        <f t="shared" si="294"/>
        <v>0</v>
      </c>
    </row>
    <row r="498" spans="1:72">
      <c r="A498" s="6"/>
      <c r="B498" s="31"/>
      <c r="C498" s="31"/>
      <c r="D498" s="1509" t="s">
        <v>3569</v>
      </c>
      <c r="E498" s="32" t="e">
        <f t="shared" si="295"/>
        <v>#REF!</v>
      </c>
      <c r="F498" s="33"/>
      <c r="G498" s="34">
        <f t="shared" si="270"/>
        <v>0</v>
      </c>
      <c r="H498" s="35">
        <f t="shared" si="271"/>
        <v>0</v>
      </c>
      <c r="I498" s="1510">
        <f>铂郡面积表!E446</f>
        <v>0</v>
      </c>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3"/>
      <c r="AU498" s="1512"/>
      <c r="AV498" s="529">
        <f t="shared" si="296"/>
        <v>0</v>
      </c>
      <c r="AW498" s="529">
        <f t="shared" si="297"/>
        <v>0</v>
      </c>
      <c r="AX498" s="529">
        <f t="shared" si="298"/>
        <v>0</v>
      </c>
      <c r="AY498" s="38" t="e">
        <f t="shared" si="273"/>
        <v>#REF!</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39">
        <f t="shared" si="294"/>
        <v>0</v>
      </c>
    </row>
    <row r="499" spans="1:72">
      <c r="A499" s="6"/>
      <c r="B499" s="31"/>
      <c r="C499" s="31"/>
      <c r="D499" s="1509" t="s">
        <v>3569</v>
      </c>
      <c r="E499" s="32" t="e">
        <f t="shared" si="295"/>
        <v>#REF!</v>
      </c>
      <c r="F499" s="33"/>
      <c r="G499" s="34">
        <f t="shared" si="270"/>
        <v>0</v>
      </c>
      <c r="H499" s="35">
        <f t="shared" si="271"/>
        <v>0</v>
      </c>
      <c r="I499" s="1510">
        <f>铂郡面积表!E447</f>
        <v>0</v>
      </c>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3"/>
      <c r="AU499" s="1512"/>
      <c r="AV499" s="529">
        <f t="shared" si="296"/>
        <v>0</v>
      </c>
      <c r="AW499" s="529">
        <f t="shared" si="297"/>
        <v>0</v>
      </c>
      <c r="AX499" s="529">
        <f t="shared" si="298"/>
        <v>0</v>
      </c>
      <c r="AY499" s="38" t="e">
        <f t="shared" si="273"/>
        <v>#REF!</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39">
        <f t="shared" si="294"/>
        <v>0</v>
      </c>
    </row>
    <row r="500" spans="1:72">
      <c r="A500" s="6"/>
      <c r="B500" s="31"/>
      <c r="C500" s="31"/>
      <c r="D500" s="1509" t="s">
        <v>3569</v>
      </c>
      <c r="E500" s="32" t="e">
        <f t="shared" si="295"/>
        <v>#REF!</v>
      </c>
      <c r="F500" s="33"/>
      <c r="G500" s="34">
        <f t="shared" si="270"/>
        <v>0</v>
      </c>
      <c r="H500" s="35">
        <f t="shared" si="271"/>
        <v>0</v>
      </c>
      <c r="I500" s="1510">
        <f>铂郡面积表!E448</f>
        <v>0</v>
      </c>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3"/>
      <c r="AU500" s="1512"/>
      <c r="AV500" s="529">
        <f t="shared" si="296"/>
        <v>0</v>
      </c>
      <c r="AW500" s="529">
        <f t="shared" si="297"/>
        <v>0</v>
      </c>
      <c r="AX500" s="529">
        <f t="shared" si="298"/>
        <v>0</v>
      </c>
      <c r="AY500" s="38" t="e">
        <f t="shared" si="273"/>
        <v>#REF!</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39">
        <f t="shared" si="294"/>
        <v>0</v>
      </c>
    </row>
    <row r="501" spans="1:72">
      <c r="A501" s="6"/>
      <c r="B501" s="31"/>
      <c r="C501" s="31"/>
      <c r="D501" s="1509" t="s">
        <v>3569</v>
      </c>
      <c r="E501" s="32" t="e">
        <f t="shared" si="295"/>
        <v>#REF!</v>
      </c>
      <c r="F501" s="33"/>
      <c r="G501" s="34">
        <f t="shared" si="270"/>
        <v>0</v>
      </c>
      <c r="H501" s="35">
        <f t="shared" si="271"/>
        <v>0</v>
      </c>
      <c r="I501" s="1510">
        <f>铂郡面积表!E449</f>
        <v>0</v>
      </c>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3"/>
      <c r="AU501" s="1512"/>
      <c r="AV501" s="529">
        <f t="shared" si="296"/>
        <v>0</v>
      </c>
      <c r="AW501" s="529">
        <f t="shared" si="297"/>
        <v>0</v>
      </c>
      <c r="AX501" s="529">
        <f t="shared" si="298"/>
        <v>0</v>
      </c>
      <c r="AY501" s="38" t="e">
        <f t="shared" si="273"/>
        <v>#REF!</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39">
        <f t="shared" si="294"/>
        <v>0</v>
      </c>
    </row>
    <row r="502" spans="1:72">
      <c r="A502" s="6"/>
      <c r="B502" s="31"/>
      <c r="C502" s="31"/>
      <c r="D502" s="1509" t="s">
        <v>3569</v>
      </c>
      <c r="E502" s="32" t="e">
        <f t="shared" si="295"/>
        <v>#REF!</v>
      </c>
      <c r="F502" s="33"/>
      <c r="G502" s="34">
        <f t="shared" si="270"/>
        <v>0</v>
      </c>
      <c r="H502" s="35">
        <f t="shared" si="271"/>
        <v>0</v>
      </c>
      <c r="I502" s="1510">
        <f>铂郡面积表!E450</f>
        <v>0</v>
      </c>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3"/>
      <c r="AU502" s="1512"/>
      <c r="AV502" s="529">
        <f t="shared" si="296"/>
        <v>0</v>
      </c>
      <c r="AW502" s="529">
        <f t="shared" si="297"/>
        <v>0</v>
      </c>
      <c r="AX502" s="529">
        <f t="shared" si="298"/>
        <v>0</v>
      </c>
      <c r="AY502" s="38" t="e">
        <f t="shared" si="273"/>
        <v>#REF!</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39">
        <f t="shared" si="294"/>
        <v>0</v>
      </c>
    </row>
    <row r="503" spans="1:72">
      <c r="A503" s="6"/>
      <c r="B503" s="31"/>
      <c r="C503" s="31"/>
      <c r="D503" s="1509" t="s">
        <v>3569</v>
      </c>
      <c r="E503" s="32" t="e">
        <f t="shared" si="295"/>
        <v>#REF!</v>
      </c>
      <c r="F503" s="33"/>
      <c r="G503" s="34">
        <f t="shared" si="270"/>
        <v>0</v>
      </c>
      <c r="H503" s="35">
        <f t="shared" si="271"/>
        <v>0</v>
      </c>
      <c r="I503" s="1510">
        <f>铂郡面积表!E451</f>
        <v>0</v>
      </c>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3"/>
      <c r="AU503" s="1512"/>
      <c r="AV503" s="529">
        <f t="shared" si="296"/>
        <v>0</v>
      </c>
      <c r="AW503" s="529">
        <f t="shared" si="297"/>
        <v>0</v>
      </c>
      <c r="AX503" s="529">
        <f t="shared" si="298"/>
        <v>0</v>
      </c>
      <c r="AY503" s="38" t="e">
        <f t="shared" si="273"/>
        <v>#REF!</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39">
        <f t="shared" si="294"/>
        <v>0</v>
      </c>
    </row>
    <row r="504" spans="1:72">
      <c r="A504" s="6"/>
      <c r="B504" s="31"/>
      <c r="C504" s="31"/>
      <c r="D504" s="1509" t="s">
        <v>3569</v>
      </c>
      <c r="E504" s="32" t="e">
        <f t="shared" si="295"/>
        <v>#REF!</v>
      </c>
      <c r="F504" s="33"/>
      <c r="G504" s="34">
        <f t="shared" si="270"/>
        <v>0</v>
      </c>
      <c r="H504" s="35">
        <f t="shared" si="271"/>
        <v>0</v>
      </c>
      <c r="I504" s="1510">
        <f>铂郡面积表!E452</f>
        <v>0</v>
      </c>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3"/>
      <c r="AU504" s="1512"/>
      <c r="AV504" s="529">
        <f t="shared" si="296"/>
        <v>0</v>
      </c>
      <c r="AW504" s="529">
        <f t="shared" si="297"/>
        <v>0</v>
      </c>
      <c r="AX504" s="529">
        <f t="shared" si="298"/>
        <v>0</v>
      </c>
      <c r="AY504" s="38" t="e">
        <f t="shared" si="273"/>
        <v>#REF!</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39">
        <f t="shared" si="294"/>
        <v>0</v>
      </c>
    </row>
    <row r="505" spans="1:72">
      <c r="A505" s="6"/>
      <c r="B505" s="31"/>
      <c r="C505" s="31"/>
      <c r="D505" s="1509" t="s">
        <v>3569</v>
      </c>
      <c r="E505" s="32" t="e">
        <f t="shared" si="295"/>
        <v>#REF!</v>
      </c>
      <c r="F505" s="33"/>
      <c r="G505" s="34">
        <f t="shared" si="270"/>
        <v>0</v>
      </c>
      <c r="H505" s="35">
        <f t="shared" si="271"/>
        <v>0</v>
      </c>
      <c r="I505" s="1510">
        <f>铂郡面积表!E453</f>
        <v>0</v>
      </c>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3"/>
      <c r="AU505" s="1512"/>
      <c r="AV505" s="529">
        <f t="shared" si="296"/>
        <v>0</v>
      </c>
      <c r="AW505" s="529">
        <f t="shared" si="297"/>
        <v>0</v>
      </c>
      <c r="AX505" s="529">
        <f t="shared" si="298"/>
        <v>0</v>
      </c>
      <c r="AY505" s="38" t="e">
        <f t="shared" si="273"/>
        <v>#REF!</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39">
        <f t="shared" si="294"/>
        <v>0</v>
      </c>
    </row>
    <row r="506" spans="1:72">
      <c r="A506" s="6"/>
      <c r="B506" s="31"/>
      <c r="C506" s="31"/>
      <c r="D506" s="1509" t="s">
        <v>3569</v>
      </c>
      <c r="E506" s="32" t="e">
        <f t="shared" si="295"/>
        <v>#REF!</v>
      </c>
      <c r="F506" s="33"/>
      <c r="G506" s="34">
        <f t="shared" si="270"/>
        <v>0</v>
      </c>
      <c r="H506" s="35">
        <f t="shared" si="271"/>
        <v>0</v>
      </c>
      <c r="I506" s="1510">
        <f>铂郡面积表!E454</f>
        <v>0</v>
      </c>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3"/>
      <c r="AU506" s="1512"/>
      <c r="AV506" s="529">
        <f t="shared" si="296"/>
        <v>0</v>
      </c>
      <c r="AW506" s="529">
        <f t="shared" si="297"/>
        <v>0</v>
      </c>
      <c r="AX506" s="529">
        <f t="shared" si="298"/>
        <v>0</v>
      </c>
      <c r="AY506" s="38" t="e">
        <f t="shared" si="273"/>
        <v>#REF!</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39">
        <f t="shared" si="294"/>
        <v>0</v>
      </c>
    </row>
    <row r="507" spans="1:72">
      <c r="A507" s="6"/>
      <c r="B507" s="31"/>
      <c r="C507" s="31"/>
      <c r="D507" s="1509" t="s">
        <v>3569</v>
      </c>
      <c r="E507" s="32" t="e">
        <f t="shared" si="295"/>
        <v>#REF!</v>
      </c>
      <c r="F507" s="33"/>
      <c r="G507" s="34">
        <f t="shared" si="270"/>
        <v>0</v>
      </c>
      <c r="H507" s="35">
        <f t="shared" si="271"/>
        <v>0</v>
      </c>
      <c r="I507" s="1510">
        <f>铂郡面积表!E455</f>
        <v>0</v>
      </c>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3"/>
      <c r="AU507" s="1512"/>
      <c r="AV507" s="529">
        <f t="shared" si="296"/>
        <v>0</v>
      </c>
      <c r="AW507" s="529">
        <f t="shared" si="297"/>
        <v>0</v>
      </c>
      <c r="AX507" s="529">
        <f t="shared" si="298"/>
        <v>0</v>
      </c>
      <c r="AY507" s="38" t="e">
        <f t="shared" si="273"/>
        <v>#REF!</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39">
        <f t="shared" si="294"/>
        <v>0</v>
      </c>
    </row>
    <row r="508" spans="1:72">
      <c r="A508" s="6"/>
      <c r="B508" s="31"/>
      <c r="C508" s="31"/>
      <c r="D508" s="1509" t="s">
        <v>3569</v>
      </c>
      <c r="E508" s="32" t="e">
        <f t="shared" si="295"/>
        <v>#REF!</v>
      </c>
      <c r="F508" s="33"/>
      <c r="G508" s="34">
        <f t="shared" si="270"/>
        <v>0</v>
      </c>
      <c r="H508" s="35">
        <f t="shared" si="271"/>
        <v>0</v>
      </c>
      <c r="I508" s="1510">
        <f>铂郡面积表!E456</f>
        <v>0</v>
      </c>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3"/>
      <c r="AU508" s="1512"/>
      <c r="AV508" s="529">
        <f t="shared" si="296"/>
        <v>0</v>
      </c>
      <c r="AW508" s="529">
        <f t="shared" si="297"/>
        <v>0</v>
      </c>
      <c r="AX508" s="529">
        <f t="shared" si="298"/>
        <v>0</v>
      </c>
      <c r="AY508" s="38" t="e">
        <f t="shared" si="273"/>
        <v>#REF!</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39">
        <f t="shared" si="294"/>
        <v>0</v>
      </c>
    </row>
    <row r="509" spans="1:72">
      <c r="A509" s="6"/>
      <c r="B509" s="31"/>
      <c r="C509" s="31"/>
      <c r="D509" s="1509" t="s">
        <v>3569</v>
      </c>
      <c r="E509" s="32" t="e">
        <f t="shared" si="295"/>
        <v>#REF!</v>
      </c>
      <c r="F509" s="33"/>
      <c r="G509" s="34">
        <f t="shared" si="270"/>
        <v>0</v>
      </c>
      <c r="H509" s="35">
        <f t="shared" si="271"/>
        <v>0</v>
      </c>
      <c r="I509" s="1510">
        <f>铂郡面积表!E457</f>
        <v>0</v>
      </c>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3"/>
      <c r="AU509" s="1512"/>
      <c r="AV509" s="529">
        <f t="shared" si="296"/>
        <v>0</v>
      </c>
      <c r="AW509" s="529">
        <f t="shared" si="297"/>
        <v>0</v>
      </c>
      <c r="AX509" s="529">
        <f t="shared" si="298"/>
        <v>0</v>
      </c>
      <c r="AY509" s="38" t="e">
        <f t="shared" si="273"/>
        <v>#REF!</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39">
        <f t="shared" si="294"/>
        <v>0</v>
      </c>
    </row>
    <row r="510" spans="1:72">
      <c r="A510" s="6"/>
      <c r="B510" s="31"/>
      <c r="C510" s="31"/>
      <c r="D510" s="1509" t="s">
        <v>3569</v>
      </c>
      <c r="E510" s="32" t="e">
        <f t="shared" si="295"/>
        <v>#REF!</v>
      </c>
      <c r="F510" s="33"/>
      <c r="G510" s="34">
        <f t="shared" si="270"/>
        <v>0</v>
      </c>
      <c r="H510" s="35">
        <f t="shared" si="271"/>
        <v>0</v>
      </c>
      <c r="I510" s="1510">
        <f>铂郡面积表!E458</f>
        <v>0</v>
      </c>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3"/>
      <c r="AU510" s="1512"/>
      <c r="AV510" s="529">
        <f t="shared" si="296"/>
        <v>0</v>
      </c>
      <c r="AW510" s="529">
        <f t="shared" si="297"/>
        <v>0</v>
      </c>
      <c r="AX510" s="529">
        <f t="shared" si="298"/>
        <v>0</v>
      </c>
      <c r="AY510" s="38" t="e">
        <f t="shared" si="273"/>
        <v>#REF!</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39">
        <f t="shared" si="294"/>
        <v>0</v>
      </c>
    </row>
    <row r="511" spans="1:72">
      <c r="A511" s="6"/>
      <c r="B511" s="31"/>
      <c r="C511" s="31"/>
      <c r="D511" s="1509" t="s">
        <v>3569</v>
      </c>
      <c r="E511" s="32" t="e">
        <f t="shared" si="295"/>
        <v>#REF!</v>
      </c>
      <c r="F511" s="33"/>
      <c r="G511" s="34">
        <f t="shared" si="270"/>
        <v>0</v>
      </c>
      <c r="H511" s="35">
        <f t="shared" si="271"/>
        <v>0</v>
      </c>
      <c r="I511" s="1510">
        <f>铂郡面积表!E459</f>
        <v>0</v>
      </c>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3"/>
      <c r="AU511" s="1512"/>
      <c r="AV511" s="529">
        <f t="shared" si="296"/>
        <v>0</v>
      </c>
      <c r="AW511" s="529">
        <f t="shared" si="297"/>
        <v>0</v>
      </c>
      <c r="AX511" s="529">
        <f t="shared" si="298"/>
        <v>0</v>
      </c>
      <c r="AY511" s="38" t="e">
        <f t="shared" si="273"/>
        <v>#REF!</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39">
        <f t="shared" si="294"/>
        <v>0</v>
      </c>
    </row>
    <row r="512" spans="1:72">
      <c r="A512" s="6"/>
      <c r="B512" s="31"/>
      <c r="C512" s="31"/>
      <c r="D512" s="1509" t="s">
        <v>3569</v>
      </c>
      <c r="E512" s="32" t="e">
        <f t="shared" si="295"/>
        <v>#REF!</v>
      </c>
      <c r="F512" s="33"/>
      <c r="G512" s="34">
        <f t="shared" si="270"/>
        <v>0</v>
      </c>
      <c r="H512" s="35">
        <f t="shared" si="271"/>
        <v>0</v>
      </c>
      <c r="I512" s="1510">
        <f>铂郡面积表!E460</f>
        <v>0</v>
      </c>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3"/>
      <c r="AU512" s="1512"/>
      <c r="AV512" s="529">
        <f t="shared" si="296"/>
        <v>0</v>
      </c>
      <c r="AW512" s="529">
        <f t="shared" si="297"/>
        <v>0</v>
      </c>
      <c r="AX512" s="529">
        <f t="shared" si="298"/>
        <v>0</v>
      </c>
      <c r="AY512" s="38" t="e">
        <f t="shared" si="273"/>
        <v>#REF!</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39">
        <f t="shared" si="294"/>
        <v>0</v>
      </c>
    </row>
    <row r="513" spans="1:72">
      <c r="A513" s="6"/>
      <c r="B513" s="31"/>
      <c r="C513" s="31"/>
      <c r="D513" s="1509" t="s">
        <v>3569</v>
      </c>
      <c r="E513" s="32" t="e">
        <f t="shared" si="295"/>
        <v>#REF!</v>
      </c>
      <c r="F513" s="33"/>
      <c r="G513" s="34">
        <f t="shared" si="270"/>
        <v>0</v>
      </c>
      <c r="H513" s="35">
        <f t="shared" si="271"/>
        <v>0</v>
      </c>
      <c r="I513" s="1510">
        <f>铂郡面积表!E461</f>
        <v>0</v>
      </c>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3"/>
      <c r="AU513" s="1512"/>
      <c r="AV513" s="529">
        <f t="shared" si="296"/>
        <v>0</v>
      </c>
      <c r="AW513" s="529">
        <f t="shared" si="297"/>
        <v>0</v>
      </c>
      <c r="AX513" s="529">
        <f t="shared" si="298"/>
        <v>0</v>
      </c>
      <c r="AY513" s="38" t="e">
        <f t="shared" si="273"/>
        <v>#REF!</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39">
        <f t="shared" si="294"/>
        <v>0</v>
      </c>
    </row>
    <row r="514" spans="1:72">
      <c r="A514" s="6"/>
      <c r="B514" s="31"/>
      <c r="C514" s="31"/>
      <c r="D514" s="1509" t="s">
        <v>3569</v>
      </c>
      <c r="E514" s="32" t="e">
        <f t="shared" si="295"/>
        <v>#REF!</v>
      </c>
      <c r="F514" s="33"/>
      <c r="G514" s="34">
        <f t="shared" si="270"/>
        <v>0</v>
      </c>
      <c r="H514" s="35">
        <f t="shared" si="271"/>
        <v>0</v>
      </c>
      <c r="I514" s="1510">
        <f>铂郡面积表!E462</f>
        <v>0</v>
      </c>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3"/>
      <c r="AU514" s="1512"/>
      <c r="AV514" s="529">
        <f t="shared" si="296"/>
        <v>0</v>
      </c>
      <c r="AW514" s="529">
        <f t="shared" si="297"/>
        <v>0</v>
      </c>
      <c r="AX514" s="529">
        <f t="shared" si="298"/>
        <v>0</v>
      </c>
      <c r="AY514" s="38" t="e">
        <f t="shared" si="273"/>
        <v>#REF!</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39">
        <f t="shared" si="294"/>
        <v>0</v>
      </c>
    </row>
    <row r="515" spans="1:72">
      <c r="A515" s="6"/>
      <c r="B515" s="31"/>
      <c r="C515" s="31"/>
      <c r="D515" s="1509" t="s">
        <v>3569</v>
      </c>
      <c r="E515" s="32" t="e">
        <f t="shared" si="295"/>
        <v>#REF!</v>
      </c>
      <c r="F515" s="33"/>
      <c r="G515" s="34">
        <f t="shared" si="270"/>
        <v>0</v>
      </c>
      <c r="H515" s="35">
        <f t="shared" si="271"/>
        <v>0</v>
      </c>
      <c r="I515" s="1510">
        <f>铂郡面积表!E463</f>
        <v>0</v>
      </c>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3"/>
      <c r="AU515" s="1512"/>
      <c r="AV515" s="529">
        <f t="shared" si="296"/>
        <v>0</v>
      </c>
      <c r="AW515" s="529">
        <f t="shared" si="297"/>
        <v>0</v>
      </c>
      <c r="AX515" s="529">
        <f t="shared" si="298"/>
        <v>0</v>
      </c>
      <c r="AY515" s="38" t="e">
        <f t="shared" si="273"/>
        <v>#REF!</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39">
        <f t="shared" si="294"/>
        <v>0</v>
      </c>
    </row>
    <row r="516" spans="1:72">
      <c r="A516" s="6"/>
      <c r="B516" s="31"/>
      <c r="C516" s="31"/>
      <c r="D516" s="1509" t="s">
        <v>3569</v>
      </c>
      <c r="E516" s="32" t="e">
        <f t="shared" si="295"/>
        <v>#REF!</v>
      </c>
      <c r="F516" s="33"/>
      <c r="G516" s="34">
        <f t="shared" si="270"/>
        <v>0</v>
      </c>
      <c r="H516" s="35">
        <f t="shared" si="271"/>
        <v>0</v>
      </c>
      <c r="I516" s="1510">
        <f>铂郡面积表!E464</f>
        <v>0</v>
      </c>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3"/>
      <c r="AU516" s="1512"/>
      <c r="AV516" s="529">
        <f t="shared" si="296"/>
        <v>0</v>
      </c>
      <c r="AW516" s="529">
        <f t="shared" si="297"/>
        <v>0</v>
      </c>
      <c r="AX516" s="529">
        <f t="shared" si="298"/>
        <v>0</v>
      </c>
      <c r="AY516" s="38" t="e">
        <f t="shared" si="273"/>
        <v>#REF!</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39">
        <f t="shared" si="294"/>
        <v>0</v>
      </c>
    </row>
    <row r="517" spans="1:72">
      <c r="A517" s="6"/>
      <c r="B517" s="31"/>
      <c r="C517" s="31"/>
      <c r="D517" s="1509" t="s">
        <v>3569</v>
      </c>
      <c r="E517" s="32" t="e">
        <f t="shared" si="295"/>
        <v>#REF!</v>
      </c>
      <c r="F517" s="33"/>
      <c r="G517" s="34">
        <f t="shared" si="270"/>
        <v>0</v>
      </c>
      <c r="H517" s="35">
        <f t="shared" si="271"/>
        <v>0</v>
      </c>
      <c r="I517" s="1510">
        <f>铂郡面积表!E465</f>
        <v>0</v>
      </c>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3"/>
      <c r="AU517" s="1512"/>
      <c r="AV517" s="529">
        <f t="shared" si="296"/>
        <v>0</v>
      </c>
      <c r="AW517" s="529">
        <f t="shared" si="297"/>
        <v>0</v>
      </c>
      <c r="AX517" s="529">
        <f t="shared" si="298"/>
        <v>0</v>
      </c>
      <c r="AY517" s="38" t="e">
        <f t="shared" si="273"/>
        <v>#REF!</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39">
        <f t="shared" si="294"/>
        <v>0</v>
      </c>
    </row>
    <row r="518" spans="1:72">
      <c r="A518" s="6"/>
      <c r="B518" s="31"/>
      <c r="C518" s="31"/>
      <c r="D518" s="1509" t="s">
        <v>3569</v>
      </c>
      <c r="E518" s="32" t="e">
        <f t="shared" si="295"/>
        <v>#REF!</v>
      </c>
      <c r="F518" s="33"/>
      <c r="G518" s="34">
        <f t="shared" si="270"/>
        <v>0</v>
      </c>
      <c r="H518" s="35">
        <f t="shared" si="271"/>
        <v>0</v>
      </c>
      <c r="I518" s="1510">
        <f>铂郡面积表!E466</f>
        <v>0</v>
      </c>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3"/>
      <c r="AU518" s="1512"/>
      <c r="AV518" s="529">
        <f t="shared" si="296"/>
        <v>0</v>
      </c>
      <c r="AW518" s="529">
        <f t="shared" si="297"/>
        <v>0</v>
      </c>
      <c r="AX518" s="529">
        <f t="shared" si="298"/>
        <v>0</v>
      </c>
      <c r="AY518" s="38" t="e">
        <f t="shared" si="273"/>
        <v>#REF!</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39">
        <f t="shared" si="294"/>
        <v>0</v>
      </c>
    </row>
    <row r="519" spans="1:72">
      <c r="A519" s="6"/>
      <c r="B519" s="31"/>
      <c r="C519" s="31"/>
      <c r="D519" s="1509" t="s">
        <v>3569</v>
      </c>
      <c r="E519" s="32" t="e">
        <f t="shared" si="295"/>
        <v>#REF!</v>
      </c>
      <c r="F519" s="33"/>
      <c r="G519" s="34">
        <f t="shared" si="270"/>
        <v>0</v>
      </c>
      <c r="H519" s="35">
        <f t="shared" si="271"/>
        <v>0</v>
      </c>
      <c r="I519" s="1510">
        <f>铂郡面积表!E467</f>
        <v>0</v>
      </c>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3"/>
      <c r="AU519" s="1512"/>
      <c r="AV519" s="529">
        <f t="shared" si="296"/>
        <v>0</v>
      </c>
      <c r="AW519" s="529">
        <f t="shared" si="297"/>
        <v>0</v>
      </c>
      <c r="AX519" s="529">
        <f t="shared" si="298"/>
        <v>0</v>
      </c>
      <c r="AY519" s="38" t="e">
        <f t="shared" si="273"/>
        <v>#REF!</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39">
        <f t="shared" si="294"/>
        <v>0</v>
      </c>
    </row>
    <row r="520" spans="1:72">
      <c r="A520" s="6"/>
      <c r="B520" s="31"/>
      <c r="C520" s="31"/>
      <c r="D520" s="1509" t="s">
        <v>3569</v>
      </c>
      <c r="E520" s="32" t="e">
        <f t="shared" ref="E520:E551" si="299">IF($C$3="是",ROUND($A$3*G520/$B$3,2),ROUND($A$3*(G520-AT520)/$B$3,2))</f>
        <v>#REF!</v>
      </c>
      <c r="F520" s="33"/>
      <c r="G520" s="34">
        <f t="shared" si="270"/>
        <v>0</v>
      </c>
      <c r="H520" s="35">
        <f t="shared" si="271"/>
        <v>0</v>
      </c>
      <c r="I520" s="1510">
        <f>铂郡面积表!E468</f>
        <v>0</v>
      </c>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3"/>
      <c r="AU520" s="1512"/>
      <c r="AV520" s="529">
        <f t="shared" si="296"/>
        <v>0</v>
      </c>
      <c r="AW520" s="529">
        <f t="shared" si="297"/>
        <v>0</v>
      </c>
      <c r="AX520" s="529">
        <f t="shared" si="298"/>
        <v>0</v>
      </c>
      <c r="AY520" s="38" t="e">
        <f t="shared" si="273"/>
        <v>#REF!</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39">
        <f t="shared" si="294"/>
        <v>0</v>
      </c>
    </row>
    <row r="521" spans="1:72">
      <c r="A521" s="6"/>
      <c r="B521" s="31"/>
      <c r="C521" s="31"/>
      <c r="D521" s="1509" t="s">
        <v>3569</v>
      </c>
      <c r="E521" s="32" t="e">
        <f t="shared" si="299"/>
        <v>#REF!</v>
      </c>
      <c r="F521" s="33"/>
      <c r="G521" s="34">
        <f t="shared" si="270"/>
        <v>0</v>
      </c>
      <c r="H521" s="35">
        <f t="shared" si="271"/>
        <v>0</v>
      </c>
      <c r="I521" s="1510">
        <f>铂郡面积表!E469</f>
        <v>0</v>
      </c>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3"/>
      <c r="AU521" s="1512"/>
      <c r="AV521" s="529">
        <f t="shared" ref="AV521:AV552" si="300">A521</f>
        <v>0</v>
      </c>
      <c r="AW521" s="529">
        <f t="shared" ref="AW521:AW552" si="301">B521</f>
        <v>0</v>
      </c>
      <c r="AX521" s="529">
        <f t="shared" ref="AX521:AX552" si="302">C521</f>
        <v>0</v>
      </c>
      <c r="AY521" s="38" t="e">
        <f t="shared" si="273"/>
        <v>#REF!</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39">
        <f t="shared" si="294"/>
        <v>0</v>
      </c>
    </row>
    <row r="522" spans="1:72">
      <c r="A522" s="6"/>
      <c r="B522" s="31"/>
      <c r="C522" s="31"/>
      <c r="D522" s="1509" t="s">
        <v>3569</v>
      </c>
      <c r="E522" s="32" t="e">
        <f t="shared" si="299"/>
        <v>#REF!</v>
      </c>
      <c r="F522" s="33"/>
      <c r="G522" s="34">
        <f t="shared" ref="G522:G552" si="303">H522+AC522+AT522</f>
        <v>0</v>
      </c>
      <c r="H522" s="35">
        <f t="shared" ref="H522:H552" si="304">SUMIF(I$12:AB$12,"总值",I522:AB522)</f>
        <v>0</v>
      </c>
      <c r="I522" s="1510">
        <f>铂郡面积表!E470</f>
        <v>0</v>
      </c>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9">
        <f t="shared" si="300"/>
        <v>0</v>
      </c>
      <c r="AW522" s="529">
        <f t="shared" si="301"/>
        <v>0</v>
      </c>
      <c r="AX522" s="529">
        <f t="shared" si="302"/>
        <v>0</v>
      </c>
      <c r="AY522" s="38" t="e">
        <f t="shared" ref="AY522:AY552" si="306">ROUND($AY$6*AZ522/$AZ$5,2)</f>
        <v>#REF!</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39">
        <f t="shared" ref="BT522:BT552" si="327">IF($D522="是",AR522-AS522,0)</f>
        <v>0</v>
      </c>
    </row>
    <row r="523" spans="1:72">
      <c r="A523" s="6"/>
      <c r="B523" s="31"/>
      <c r="C523" s="31"/>
      <c r="D523" s="1509" t="s">
        <v>3569</v>
      </c>
      <c r="E523" s="32" t="e">
        <f t="shared" si="299"/>
        <v>#REF!</v>
      </c>
      <c r="F523" s="33"/>
      <c r="G523" s="34">
        <f t="shared" si="303"/>
        <v>0</v>
      </c>
      <c r="H523" s="35">
        <f t="shared" si="304"/>
        <v>0</v>
      </c>
      <c r="I523" s="1510">
        <f>铂郡面积表!E471</f>
        <v>0</v>
      </c>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3"/>
      <c r="AU523" s="1512"/>
      <c r="AV523" s="529">
        <f t="shared" si="300"/>
        <v>0</v>
      </c>
      <c r="AW523" s="529">
        <f t="shared" si="301"/>
        <v>0</v>
      </c>
      <c r="AX523" s="529">
        <f t="shared" si="302"/>
        <v>0</v>
      </c>
      <c r="AY523" s="38" t="e">
        <f t="shared" si="306"/>
        <v>#REF!</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39">
        <f t="shared" si="327"/>
        <v>0</v>
      </c>
    </row>
    <row r="524" spans="1:72">
      <c r="A524" s="6"/>
      <c r="B524" s="31"/>
      <c r="C524" s="31"/>
      <c r="D524" s="1509" t="s">
        <v>3569</v>
      </c>
      <c r="E524" s="32" t="e">
        <f t="shared" si="299"/>
        <v>#REF!</v>
      </c>
      <c r="F524" s="33"/>
      <c r="G524" s="34">
        <f t="shared" si="303"/>
        <v>0</v>
      </c>
      <c r="H524" s="35">
        <f t="shared" si="304"/>
        <v>0</v>
      </c>
      <c r="I524" s="1510">
        <f>铂郡面积表!E472</f>
        <v>0</v>
      </c>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3"/>
      <c r="AU524" s="1512"/>
      <c r="AV524" s="529">
        <f t="shared" si="300"/>
        <v>0</v>
      </c>
      <c r="AW524" s="529">
        <f t="shared" si="301"/>
        <v>0</v>
      </c>
      <c r="AX524" s="529">
        <f t="shared" si="302"/>
        <v>0</v>
      </c>
      <c r="AY524" s="38" t="e">
        <f t="shared" si="306"/>
        <v>#REF!</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39">
        <f t="shared" si="327"/>
        <v>0</v>
      </c>
    </row>
    <row r="525" spans="1:72">
      <c r="A525" s="6"/>
      <c r="B525" s="31"/>
      <c r="C525" s="31"/>
      <c r="D525" s="1509" t="s">
        <v>3569</v>
      </c>
      <c r="E525" s="32" t="e">
        <f t="shared" si="299"/>
        <v>#REF!</v>
      </c>
      <c r="F525" s="33"/>
      <c r="G525" s="34">
        <f t="shared" si="303"/>
        <v>0</v>
      </c>
      <c r="H525" s="35">
        <f t="shared" si="304"/>
        <v>0</v>
      </c>
      <c r="I525" s="1510">
        <f>铂郡面积表!E473</f>
        <v>0</v>
      </c>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3"/>
      <c r="AU525" s="1512"/>
      <c r="AV525" s="529">
        <f t="shared" si="300"/>
        <v>0</v>
      </c>
      <c r="AW525" s="529">
        <f t="shared" si="301"/>
        <v>0</v>
      </c>
      <c r="AX525" s="529">
        <f t="shared" si="302"/>
        <v>0</v>
      </c>
      <c r="AY525" s="38" t="e">
        <f t="shared" si="306"/>
        <v>#REF!</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39">
        <f t="shared" si="327"/>
        <v>0</v>
      </c>
    </row>
    <row r="526" spans="1:72">
      <c r="A526" s="6"/>
      <c r="B526" s="31"/>
      <c r="C526" s="31"/>
      <c r="D526" s="1509" t="s">
        <v>3569</v>
      </c>
      <c r="E526" s="32" t="e">
        <f t="shared" si="299"/>
        <v>#REF!</v>
      </c>
      <c r="F526" s="33"/>
      <c r="G526" s="34">
        <f t="shared" si="303"/>
        <v>0</v>
      </c>
      <c r="H526" s="35">
        <f t="shared" si="304"/>
        <v>0</v>
      </c>
      <c r="I526" s="1510">
        <f>铂郡面积表!E474</f>
        <v>0</v>
      </c>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3"/>
      <c r="AU526" s="1512"/>
      <c r="AV526" s="529">
        <f t="shared" si="300"/>
        <v>0</v>
      </c>
      <c r="AW526" s="529">
        <f t="shared" si="301"/>
        <v>0</v>
      </c>
      <c r="AX526" s="529">
        <f t="shared" si="302"/>
        <v>0</v>
      </c>
      <c r="AY526" s="38" t="e">
        <f t="shared" si="306"/>
        <v>#REF!</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39">
        <f t="shared" si="327"/>
        <v>0</v>
      </c>
    </row>
    <row r="527" spans="1:72">
      <c r="A527" s="6"/>
      <c r="B527" s="31"/>
      <c r="C527" s="31"/>
      <c r="D527" s="1509" t="s">
        <v>3569</v>
      </c>
      <c r="E527" s="32" t="e">
        <f t="shared" si="299"/>
        <v>#REF!</v>
      </c>
      <c r="F527" s="33"/>
      <c r="G527" s="34">
        <f t="shared" si="303"/>
        <v>0</v>
      </c>
      <c r="H527" s="35">
        <f t="shared" si="304"/>
        <v>0</v>
      </c>
      <c r="I527" s="1510">
        <f>铂郡面积表!E475</f>
        <v>0</v>
      </c>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3"/>
      <c r="AU527" s="1512"/>
      <c r="AV527" s="529">
        <f t="shared" si="300"/>
        <v>0</v>
      </c>
      <c r="AW527" s="529">
        <f t="shared" si="301"/>
        <v>0</v>
      </c>
      <c r="AX527" s="529">
        <f t="shared" si="302"/>
        <v>0</v>
      </c>
      <c r="AY527" s="38" t="e">
        <f t="shared" si="306"/>
        <v>#REF!</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39">
        <f t="shared" si="327"/>
        <v>0</v>
      </c>
    </row>
    <row r="528" spans="1:72">
      <c r="A528" s="6"/>
      <c r="B528" s="31"/>
      <c r="C528" s="31"/>
      <c r="D528" s="1509" t="s">
        <v>3569</v>
      </c>
      <c r="E528" s="32" t="e">
        <f t="shared" si="299"/>
        <v>#REF!</v>
      </c>
      <c r="F528" s="33"/>
      <c r="G528" s="34">
        <f t="shared" si="303"/>
        <v>0</v>
      </c>
      <c r="H528" s="35">
        <f t="shared" si="304"/>
        <v>0</v>
      </c>
      <c r="I528" s="1510">
        <f>铂郡面积表!E476</f>
        <v>0</v>
      </c>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3"/>
      <c r="AU528" s="1512"/>
      <c r="AV528" s="529">
        <f t="shared" si="300"/>
        <v>0</v>
      </c>
      <c r="AW528" s="529">
        <f t="shared" si="301"/>
        <v>0</v>
      </c>
      <c r="AX528" s="529">
        <f t="shared" si="302"/>
        <v>0</v>
      </c>
      <c r="AY528" s="38" t="e">
        <f t="shared" si="306"/>
        <v>#REF!</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39">
        <f t="shared" si="327"/>
        <v>0</v>
      </c>
    </row>
    <row r="529" spans="1:72">
      <c r="A529" s="6"/>
      <c r="B529" s="31"/>
      <c r="C529" s="31"/>
      <c r="D529" s="1509" t="s">
        <v>3569</v>
      </c>
      <c r="E529" s="32" t="e">
        <f t="shared" si="299"/>
        <v>#REF!</v>
      </c>
      <c r="F529" s="33"/>
      <c r="G529" s="34">
        <f t="shared" si="303"/>
        <v>0</v>
      </c>
      <c r="H529" s="35">
        <f t="shared" si="304"/>
        <v>0</v>
      </c>
      <c r="I529" s="1510">
        <f>铂郡面积表!E477</f>
        <v>0</v>
      </c>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3"/>
      <c r="AU529" s="1512"/>
      <c r="AV529" s="529">
        <f t="shared" si="300"/>
        <v>0</v>
      </c>
      <c r="AW529" s="529">
        <f t="shared" si="301"/>
        <v>0</v>
      </c>
      <c r="AX529" s="529">
        <f t="shared" si="302"/>
        <v>0</v>
      </c>
      <c r="AY529" s="38" t="e">
        <f t="shared" si="306"/>
        <v>#REF!</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39">
        <f t="shared" si="327"/>
        <v>0</v>
      </c>
    </row>
    <row r="530" spans="1:72">
      <c r="A530" s="6"/>
      <c r="B530" s="31"/>
      <c r="C530" s="31"/>
      <c r="D530" s="1509" t="s">
        <v>3569</v>
      </c>
      <c r="E530" s="32" t="e">
        <f t="shared" si="299"/>
        <v>#REF!</v>
      </c>
      <c r="F530" s="33"/>
      <c r="G530" s="34">
        <f t="shared" si="303"/>
        <v>0</v>
      </c>
      <c r="H530" s="35">
        <f t="shared" si="304"/>
        <v>0</v>
      </c>
      <c r="I530" s="1510">
        <f>铂郡面积表!E478</f>
        <v>0</v>
      </c>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3"/>
      <c r="AU530" s="1512"/>
      <c r="AV530" s="529">
        <f t="shared" si="300"/>
        <v>0</v>
      </c>
      <c r="AW530" s="529">
        <f t="shared" si="301"/>
        <v>0</v>
      </c>
      <c r="AX530" s="529">
        <f t="shared" si="302"/>
        <v>0</v>
      </c>
      <c r="AY530" s="38" t="e">
        <f t="shared" si="306"/>
        <v>#REF!</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39">
        <f t="shared" si="327"/>
        <v>0</v>
      </c>
    </row>
    <row r="531" spans="1:72">
      <c r="A531" s="6"/>
      <c r="B531" s="31"/>
      <c r="C531" s="31"/>
      <c r="D531" s="1509" t="s">
        <v>3569</v>
      </c>
      <c r="E531" s="32" t="e">
        <f t="shared" si="299"/>
        <v>#REF!</v>
      </c>
      <c r="F531" s="33"/>
      <c r="G531" s="34">
        <f t="shared" si="303"/>
        <v>0</v>
      </c>
      <c r="H531" s="35">
        <f t="shared" si="304"/>
        <v>0</v>
      </c>
      <c r="I531" s="1510">
        <f>铂郡面积表!E479</f>
        <v>0</v>
      </c>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3"/>
      <c r="AU531" s="1512"/>
      <c r="AV531" s="529">
        <f t="shared" si="300"/>
        <v>0</v>
      </c>
      <c r="AW531" s="529">
        <f t="shared" si="301"/>
        <v>0</v>
      </c>
      <c r="AX531" s="529">
        <f t="shared" si="302"/>
        <v>0</v>
      </c>
      <c r="AY531" s="38" t="e">
        <f t="shared" si="306"/>
        <v>#REF!</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39">
        <f t="shared" si="327"/>
        <v>0</v>
      </c>
    </row>
    <row r="532" spans="1:72">
      <c r="A532" s="6"/>
      <c r="B532" s="31"/>
      <c r="C532" s="31"/>
      <c r="D532" s="1509" t="s">
        <v>3569</v>
      </c>
      <c r="E532" s="32" t="e">
        <f t="shared" si="299"/>
        <v>#REF!</v>
      </c>
      <c r="F532" s="33"/>
      <c r="G532" s="34">
        <f t="shared" si="303"/>
        <v>0</v>
      </c>
      <c r="H532" s="35">
        <f t="shared" si="304"/>
        <v>0</v>
      </c>
      <c r="I532" s="1510">
        <f>铂郡面积表!E480</f>
        <v>0</v>
      </c>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3"/>
      <c r="AU532" s="1512"/>
      <c r="AV532" s="529">
        <f t="shared" si="300"/>
        <v>0</v>
      </c>
      <c r="AW532" s="529">
        <f t="shared" si="301"/>
        <v>0</v>
      </c>
      <c r="AX532" s="529">
        <f t="shared" si="302"/>
        <v>0</v>
      </c>
      <c r="AY532" s="38" t="e">
        <f t="shared" si="306"/>
        <v>#REF!</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39">
        <f t="shared" si="327"/>
        <v>0</v>
      </c>
    </row>
    <row r="533" spans="1:72">
      <c r="A533" s="6"/>
      <c r="B533" s="31"/>
      <c r="C533" s="31"/>
      <c r="D533" s="1509" t="s">
        <v>3569</v>
      </c>
      <c r="E533" s="32" t="e">
        <f t="shared" si="299"/>
        <v>#REF!</v>
      </c>
      <c r="F533" s="33"/>
      <c r="G533" s="34">
        <f t="shared" si="303"/>
        <v>0</v>
      </c>
      <c r="H533" s="35">
        <f t="shared" si="304"/>
        <v>0</v>
      </c>
      <c r="I533" s="1510">
        <f>铂郡面积表!E481</f>
        <v>0</v>
      </c>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3"/>
      <c r="AU533" s="1512"/>
      <c r="AV533" s="529">
        <f t="shared" si="300"/>
        <v>0</v>
      </c>
      <c r="AW533" s="529">
        <f t="shared" si="301"/>
        <v>0</v>
      </c>
      <c r="AX533" s="529">
        <f t="shared" si="302"/>
        <v>0</v>
      </c>
      <c r="AY533" s="38" t="e">
        <f t="shared" si="306"/>
        <v>#REF!</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39">
        <f t="shared" si="327"/>
        <v>0</v>
      </c>
    </row>
    <row r="534" spans="1:72">
      <c r="A534" s="6"/>
      <c r="B534" s="31"/>
      <c r="C534" s="31"/>
      <c r="D534" s="1509" t="s">
        <v>3569</v>
      </c>
      <c r="E534" s="32" t="e">
        <f t="shared" si="299"/>
        <v>#REF!</v>
      </c>
      <c r="F534" s="33"/>
      <c r="G534" s="34">
        <f t="shared" si="303"/>
        <v>0</v>
      </c>
      <c r="H534" s="35">
        <f t="shared" si="304"/>
        <v>0</v>
      </c>
      <c r="I534" s="1510">
        <f>铂郡面积表!E482</f>
        <v>0</v>
      </c>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3"/>
      <c r="AU534" s="1512"/>
      <c r="AV534" s="529">
        <f t="shared" si="300"/>
        <v>0</v>
      </c>
      <c r="AW534" s="529">
        <f t="shared" si="301"/>
        <v>0</v>
      </c>
      <c r="AX534" s="529">
        <f t="shared" si="302"/>
        <v>0</v>
      </c>
      <c r="AY534" s="38" t="e">
        <f t="shared" si="306"/>
        <v>#REF!</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39">
        <f t="shared" si="327"/>
        <v>0</v>
      </c>
    </row>
    <row r="535" spans="1:72">
      <c r="A535" s="6"/>
      <c r="B535" s="31"/>
      <c r="C535" s="31"/>
      <c r="D535" s="1509" t="s">
        <v>3569</v>
      </c>
      <c r="E535" s="32" t="e">
        <f t="shared" si="299"/>
        <v>#REF!</v>
      </c>
      <c r="F535" s="33"/>
      <c r="G535" s="34">
        <f t="shared" si="303"/>
        <v>0</v>
      </c>
      <c r="H535" s="35">
        <f t="shared" si="304"/>
        <v>0</v>
      </c>
      <c r="I535" s="1510">
        <f>铂郡面积表!E483</f>
        <v>0</v>
      </c>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3"/>
      <c r="AU535" s="1512"/>
      <c r="AV535" s="529">
        <f t="shared" si="300"/>
        <v>0</v>
      </c>
      <c r="AW535" s="529">
        <f t="shared" si="301"/>
        <v>0</v>
      </c>
      <c r="AX535" s="529">
        <f t="shared" si="302"/>
        <v>0</v>
      </c>
      <c r="AY535" s="38" t="e">
        <f t="shared" si="306"/>
        <v>#REF!</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39">
        <f t="shared" si="327"/>
        <v>0</v>
      </c>
    </row>
    <row r="536" spans="1:72">
      <c r="A536" s="6"/>
      <c r="B536" s="31"/>
      <c r="C536" s="31"/>
      <c r="D536" s="1509" t="s">
        <v>3569</v>
      </c>
      <c r="E536" s="32" t="e">
        <f t="shared" si="299"/>
        <v>#REF!</v>
      </c>
      <c r="F536" s="33"/>
      <c r="G536" s="34">
        <f t="shared" si="303"/>
        <v>0</v>
      </c>
      <c r="H536" s="35">
        <f t="shared" si="304"/>
        <v>0</v>
      </c>
      <c r="I536" s="1510">
        <f>铂郡面积表!E484</f>
        <v>0</v>
      </c>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3"/>
      <c r="AU536" s="1512"/>
      <c r="AV536" s="529">
        <f t="shared" si="300"/>
        <v>0</v>
      </c>
      <c r="AW536" s="529">
        <f t="shared" si="301"/>
        <v>0</v>
      </c>
      <c r="AX536" s="529">
        <f t="shared" si="302"/>
        <v>0</v>
      </c>
      <c r="AY536" s="38" t="e">
        <f t="shared" si="306"/>
        <v>#REF!</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39">
        <f t="shared" si="327"/>
        <v>0</v>
      </c>
    </row>
    <row r="537" spans="1:72">
      <c r="A537" s="6"/>
      <c r="B537" s="31"/>
      <c r="C537" s="31"/>
      <c r="D537" s="1509" t="s">
        <v>3569</v>
      </c>
      <c r="E537" s="32" t="e">
        <f t="shared" si="299"/>
        <v>#REF!</v>
      </c>
      <c r="F537" s="33"/>
      <c r="G537" s="34">
        <f t="shared" si="303"/>
        <v>0</v>
      </c>
      <c r="H537" s="35">
        <f t="shared" si="304"/>
        <v>0</v>
      </c>
      <c r="I537" s="1510">
        <f>铂郡面积表!E485</f>
        <v>0</v>
      </c>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3"/>
      <c r="AU537" s="1512"/>
      <c r="AV537" s="529">
        <f t="shared" si="300"/>
        <v>0</v>
      </c>
      <c r="AW537" s="529">
        <f t="shared" si="301"/>
        <v>0</v>
      </c>
      <c r="AX537" s="529">
        <f t="shared" si="302"/>
        <v>0</v>
      </c>
      <c r="AY537" s="38" t="e">
        <f t="shared" si="306"/>
        <v>#REF!</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39">
        <f t="shared" si="327"/>
        <v>0</v>
      </c>
    </row>
    <row r="538" spans="1:72">
      <c r="A538" s="6"/>
      <c r="B538" s="31"/>
      <c r="C538" s="31"/>
      <c r="D538" s="1509" t="s">
        <v>3569</v>
      </c>
      <c r="E538" s="32" t="e">
        <f t="shared" si="299"/>
        <v>#REF!</v>
      </c>
      <c r="F538" s="33"/>
      <c r="G538" s="34">
        <f t="shared" si="303"/>
        <v>0</v>
      </c>
      <c r="H538" s="35">
        <f t="shared" si="304"/>
        <v>0</v>
      </c>
      <c r="I538" s="1510">
        <f>铂郡面积表!E486</f>
        <v>0</v>
      </c>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3"/>
      <c r="AU538" s="1512"/>
      <c r="AV538" s="529">
        <f t="shared" si="300"/>
        <v>0</v>
      </c>
      <c r="AW538" s="529">
        <f t="shared" si="301"/>
        <v>0</v>
      </c>
      <c r="AX538" s="529">
        <f t="shared" si="302"/>
        <v>0</v>
      </c>
      <c r="AY538" s="38" t="e">
        <f t="shared" si="306"/>
        <v>#REF!</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39">
        <f t="shared" si="327"/>
        <v>0</v>
      </c>
    </row>
    <row r="539" spans="1:72">
      <c r="A539" s="6"/>
      <c r="B539" s="31"/>
      <c r="C539" s="31"/>
      <c r="D539" s="1509" t="s">
        <v>3569</v>
      </c>
      <c r="E539" s="32" t="e">
        <f t="shared" si="299"/>
        <v>#REF!</v>
      </c>
      <c r="F539" s="33"/>
      <c r="G539" s="34">
        <f t="shared" si="303"/>
        <v>0</v>
      </c>
      <c r="H539" s="35">
        <f t="shared" si="304"/>
        <v>0</v>
      </c>
      <c r="I539" s="1510">
        <f>铂郡面积表!E487</f>
        <v>0</v>
      </c>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3"/>
      <c r="AU539" s="1512"/>
      <c r="AV539" s="529">
        <f t="shared" si="300"/>
        <v>0</v>
      </c>
      <c r="AW539" s="529">
        <f t="shared" si="301"/>
        <v>0</v>
      </c>
      <c r="AX539" s="529">
        <f t="shared" si="302"/>
        <v>0</v>
      </c>
      <c r="AY539" s="38" t="e">
        <f t="shared" si="306"/>
        <v>#REF!</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39">
        <f t="shared" si="327"/>
        <v>0</v>
      </c>
    </row>
    <row r="540" spans="1:72">
      <c r="A540" s="6"/>
      <c r="B540" s="31"/>
      <c r="C540" s="31"/>
      <c r="D540" s="1509" t="s">
        <v>3569</v>
      </c>
      <c r="E540" s="32" t="e">
        <f t="shared" si="299"/>
        <v>#REF!</v>
      </c>
      <c r="F540" s="33"/>
      <c r="G540" s="34">
        <f t="shared" si="303"/>
        <v>0</v>
      </c>
      <c r="H540" s="35">
        <f t="shared" si="304"/>
        <v>0</v>
      </c>
      <c r="I540" s="1510">
        <f>铂郡面积表!E488</f>
        <v>0</v>
      </c>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3"/>
      <c r="AU540" s="1512"/>
      <c r="AV540" s="529">
        <f t="shared" si="300"/>
        <v>0</v>
      </c>
      <c r="AW540" s="529">
        <f t="shared" si="301"/>
        <v>0</v>
      </c>
      <c r="AX540" s="529">
        <f t="shared" si="302"/>
        <v>0</v>
      </c>
      <c r="AY540" s="38" t="e">
        <f t="shared" si="306"/>
        <v>#REF!</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39">
        <f t="shared" si="327"/>
        <v>0</v>
      </c>
    </row>
    <row r="541" spans="1:72">
      <c r="A541" s="6"/>
      <c r="B541" s="31"/>
      <c r="C541" s="31"/>
      <c r="D541" s="1509" t="s">
        <v>3569</v>
      </c>
      <c r="E541" s="32" t="e">
        <f t="shared" si="299"/>
        <v>#REF!</v>
      </c>
      <c r="F541" s="33"/>
      <c r="G541" s="34">
        <f t="shared" si="303"/>
        <v>0</v>
      </c>
      <c r="H541" s="35">
        <f t="shared" si="304"/>
        <v>0</v>
      </c>
      <c r="I541" s="1510">
        <f>铂郡面积表!E489</f>
        <v>0</v>
      </c>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3"/>
      <c r="AU541" s="1512"/>
      <c r="AV541" s="529">
        <f t="shared" si="300"/>
        <v>0</v>
      </c>
      <c r="AW541" s="529">
        <f t="shared" si="301"/>
        <v>0</v>
      </c>
      <c r="AX541" s="529">
        <f t="shared" si="302"/>
        <v>0</v>
      </c>
      <c r="AY541" s="38" t="e">
        <f t="shared" si="306"/>
        <v>#REF!</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39">
        <f t="shared" si="327"/>
        <v>0</v>
      </c>
    </row>
    <row r="542" spans="1:72">
      <c r="A542" s="6"/>
      <c r="B542" s="31"/>
      <c r="C542" s="31"/>
      <c r="D542" s="1509" t="s">
        <v>3569</v>
      </c>
      <c r="E542" s="32" t="e">
        <f t="shared" si="299"/>
        <v>#REF!</v>
      </c>
      <c r="F542" s="33"/>
      <c r="G542" s="34">
        <f t="shared" si="303"/>
        <v>0</v>
      </c>
      <c r="H542" s="35">
        <f t="shared" si="304"/>
        <v>0</v>
      </c>
      <c r="I542" s="1510">
        <f>铂郡面积表!E490</f>
        <v>0</v>
      </c>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3"/>
      <c r="AU542" s="1512"/>
      <c r="AV542" s="529">
        <f t="shared" si="300"/>
        <v>0</v>
      </c>
      <c r="AW542" s="529">
        <f t="shared" si="301"/>
        <v>0</v>
      </c>
      <c r="AX542" s="529">
        <f t="shared" si="302"/>
        <v>0</v>
      </c>
      <c r="AY542" s="38" t="e">
        <f t="shared" si="306"/>
        <v>#REF!</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39">
        <f t="shared" si="327"/>
        <v>0</v>
      </c>
    </row>
    <row r="543" spans="1:72">
      <c r="A543" s="6"/>
      <c r="B543" s="31"/>
      <c r="C543" s="31"/>
      <c r="D543" s="1509" t="s">
        <v>3569</v>
      </c>
      <c r="E543" s="32" t="e">
        <f t="shared" si="299"/>
        <v>#REF!</v>
      </c>
      <c r="F543" s="33"/>
      <c r="G543" s="34">
        <f t="shared" si="303"/>
        <v>0</v>
      </c>
      <c r="H543" s="35">
        <f t="shared" si="304"/>
        <v>0</v>
      </c>
      <c r="I543" s="1510">
        <f>铂郡面积表!E491</f>
        <v>0</v>
      </c>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3"/>
      <c r="AU543" s="1512"/>
      <c r="AV543" s="529">
        <f t="shared" si="300"/>
        <v>0</v>
      </c>
      <c r="AW543" s="529">
        <f t="shared" si="301"/>
        <v>0</v>
      </c>
      <c r="AX543" s="529">
        <f t="shared" si="302"/>
        <v>0</v>
      </c>
      <c r="AY543" s="38" t="e">
        <f t="shared" si="306"/>
        <v>#REF!</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39">
        <f t="shared" si="327"/>
        <v>0</v>
      </c>
    </row>
    <row r="544" spans="1:72">
      <c r="A544" s="6"/>
      <c r="B544" s="31"/>
      <c r="C544" s="31"/>
      <c r="D544" s="1509" t="s">
        <v>3569</v>
      </c>
      <c r="E544" s="32" t="e">
        <f t="shared" si="299"/>
        <v>#REF!</v>
      </c>
      <c r="F544" s="33"/>
      <c r="G544" s="34">
        <f t="shared" si="303"/>
        <v>0</v>
      </c>
      <c r="H544" s="35">
        <f t="shared" si="304"/>
        <v>0</v>
      </c>
      <c r="I544" s="1510">
        <f>铂郡面积表!E492</f>
        <v>0</v>
      </c>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3"/>
      <c r="AU544" s="1512"/>
      <c r="AV544" s="529">
        <f t="shared" si="300"/>
        <v>0</v>
      </c>
      <c r="AW544" s="529">
        <f t="shared" si="301"/>
        <v>0</v>
      </c>
      <c r="AX544" s="529">
        <f t="shared" si="302"/>
        <v>0</v>
      </c>
      <c r="AY544" s="38" t="e">
        <f t="shared" si="306"/>
        <v>#REF!</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39">
        <f t="shared" si="327"/>
        <v>0</v>
      </c>
    </row>
    <row r="545" spans="1:72">
      <c r="A545" s="6"/>
      <c r="B545" s="31"/>
      <c r="C545" s="31"/>
      <c r="D545" s="1509" t="s">
        <v>3569</v>
      </c>
      <c r="E545" s="32" t="e">
        <f t="shared" si="299"/>
        <v>#REF!</v>
      </c>
      <c r="F545" s="33"/>
      <c r="G545" s="34">
        <f t="shared" si="303"/>
        <v>0</v>
      </c>
      <c r="H545" s="35">
        <f t="shared" si="304"/>
        <v>0</v>
      </c>
      <c r="I545" s="1510">
        <f>铂郡面积表!E493</f>
        <v>0</v>
      </c>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3"/>
      <c r="AU545" s="1512"/>
      <c r="AV545" s="529">
        <f t="shared" si="300"/>
        <v>0</v>
      </c>
      <c r="AW545" s="529">
        <f t="shared" si="301"/>
        <v>0</v>
      </c>
      <c r="AX545" s="529">
        <f t="shared" si="302"/>
        <v>0</v>
      </c>
      <c r="AY545" s="38" t="e">
        <f t="shared" si="306"/>
        <v>#REF!</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39">
        <f t="shared" si="327"/>
        <v>0</v>
      </c>
    </row>
    <row r="546" spans="1:72">
      <c r="A546" s="6"/>
      <c r="B546" s="31"/>
      <c r="C546" s="31"/>
      <c r="D546" s="1509" t="s">
        <v>3569</v>
      </c>
      <c r="E546" s="32" t="e">
        <f t="shared" si="299"/>
        <v>#REF!</v>
      </c>
      <c r="F546" s="33"/>
      <c r="G546" s="34">
        <f t="shared" si="303"/>
        <v>0</v>
      </c>
      <c r="H546" s="35">
        <f t="shared" si="304"/>
        <v>0</v>
      </c>
      <c r="I546" s="1510">
        <f>铂郡面积表!E494</f>
        <v>0</v>
      </c>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3"/>
      <c r="AU546" s="1512"/>
      <c r="AV546" s="529">
        <f t="shared" si="300"/>
        <v>0</v>
      </c>
      <c r="AW546" s="529">
        <f t="shared" si="301"/>
        <v>0</v>
      </c>
      <c r="AX546" s="529">
        <f t="shared" si="302"/>
        <v>0</v>
      </c>
      <c r="AY546" s="38" t="e">
        <f t="shared" si="306"/>
        <v>#REF!</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39">
        <f t="shared" si="327"/>
        <v>0</v>
      </c>
    </row>
    <row r="547" spans="1:72">
      <c r="A547" s="6"/>
      <c r="B547" s="31"/>
      <c r="C547" s="31"/>
      <c r="D547" s="1509" t="s">
        <v>3569</v>
      </c>
      <c r="E547" s="32" t="e">
        <f t="shared" si="299"/>
        <v>#REF!</v>
      </c>
      <c r="F547" s="33"/>
      <c r="G547" s="34">
        <f t="shared" si="303"/>
        <v>0</v>
      </c>
      <c r="H547" s="35">
        <f t="shared" si="304"/>
        <v>0</v>
      </c>
      <c r="I547" s="1510">
        <f>铂郡面积表!E495</f>
        <v>0</v>
      </c>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3"/>
      <c r="AU547" s="1512"/>
      <c r="AV547" s="529">
        <f t="shared" si="300"/>
        <v>0</v>
      </c>
      <c r="AW547" s="529">
        <f t="shared" si="301"/>
        <v>0</v>
      </c>
      <c r="AX547" s="529">
        <f t="shared" si="302"/>
        <v>0</v>
      </c>
      <c r="AY547" s="38" t="e">
        <f t="shared" si="306"/>
        <v>#REF!</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39">
        <f t="shared" si="327"/>
        <v>0</v>
      </c>
    </row>
    <row r="548" spans="1:72">
      <c r="A548" s="6"/>
      <c r="B548" s="31"/>
      <c r="C548" s="31"/>
      <c r="D548" s="1509" t="s">
        <v>3569</v>
      </c>
      <c r="E548" s="32" t="e">
        <f t="shared" si="299"/>
        <v>#REF!</v>
      </c>
      <c r="F548" s="33"/>
      <c r="G548" s="34">
        <f t="shared" si="303"/>
        <v>0</v>
      </c>
      <c r="H548" s="35">
        <f t="shared" si="304"/>
        <v>0</v>
      </c>
      <c r="I548" s="1510">
        <f>铂郡面积表!E496</f>
        <v>0</v>
      </c>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3"/>
      <c r="AU548" s="1512"/>
      <c r="AV548" s="529">
        <f t="shared" si="300"/>
        <v>0</v>
      </c>
      <c r="AW548" s="529">
        <f t="shared" si="301"/>
        <v>0</v>
      </c>
      <c r="AX548" s="529">
        <f t="shared" si="302"/>
        <v>0</v>
      </c>
      <c r="AY548" s="38" t="e">
        <f t="shared" si="306"/>
        <v>#REF!</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39">
        <f t="shared" si="327"/>
        <v>0</v>
      </c>
    </row>
    <row r="549" spans="1:72">
      <c r="A549" s="6"/>
      <c r="B549" s="31"/>
      <c r="C549" s="31"/>
      <c r="D549" s="1509" t="s">
        <v>3569</v>
      </c>
      <c r="E549" s="32" t="e">
        <f t="shared" si="299"/>
        <v>#REF!</v>
      </c>
      <c r="F549" s="33"/>
      <c r="G549" s="34">
        <f t="shared" si="303"/>
        <v>0</v>
      </c>
      <c r="H549" s="35">
        <f t="shared" si="304"/>
        <v>0</v>
      </c>
      <c r="I549" s="1510">
        <f>铂郡面积表!E497</f>
        <v>0</v>
      </c>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3"/>
      <c r="AU549" s="1512"/>
      <c r="AV549" s="529">
        <f t="shared" si="300"/>
        <v>0</v>
      </c>
      <c r="AW549" s="529">
        <f t="shared" si="301"/>
        <v>0</v>
      </c>
      <c r="AX549" s="529">
        <f t="shared" si="302"/>
        <v>0</v>
      </c>
      <c r="AY549" s="38" t="e">
        <f t="shared" si="306"/>
        <v>#REF!</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39">
        <f t="shared" si="327"/>
        <v>0</v>
      </c>
    </row>
    <row r="550" spans="1:72">
      <c r="A550" s="6"/>
      <c r="B550" s="31"/>
      <c r="C550" s="31"/>
      <c r="D550" s="1509" t="s">
        <v>3569</v>
      </c>
      <c r="E550" s="32" t="e">
        <f t="shared" si="299"/>
        <v>#REF!</v>
      </c>
      <c r="F550" s="33"/>
      <c r="G550" s="34">
        <f t="shared" si="303"/>
        <v>0</v>
      </c>
      <c r="H550" s="35">
        <f t="shared" si="304"/>
        <v>0</v>
      </c>
      <c r="I550" s="1510">
        <f>铂郡面积表!E498</f>
        <v>0</v>
      </c>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3"/>
      <c r="AU550" s="1512"/>
      <c r="AV550" s="529">
        <f t="shared" si="300"/>
        <v>0</v>
      </c>
      <c r="AW550" s="529">
        <f t="shared" si="301"/>
        <v>0</v>
      </c>
      <c r="AX550" s="529">
        <f t="shared" si="302"/>
        <v>0</v>
      </c>
      <c r="AY550" s="38" t="e">
        <f t="shared" si="306"/>
        <v>#REF!</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39">
        <f t="shared" si="327"/>
        <v>0</v>
      </c>
    </row>
    <row r="551" spans="1:72">
      <c r="A551" s="6"/>
      <c r="B551" s="31"/>
      <c r="C551" s="31"/>
      <c r="D551" s="1509" t="s">
        <v>3569</v>
      </c>
      <c r="E551" s="32" t="e">
        <f t="shared" si="299"/>
        <v>#REF!</v>
      </c>
      <c r="F551" s="33"/>
      <c r="G551" s="34">
        <f t="shared" si="303"/>
        <v>0</v>
      </c>
      <c r="H551" s="35">
        <f t="shared" si="304"/>
        <v>0</v>
      </c>
      <c r="I551" s="1510">
        <f>铂郡面积表!E499</f>
        <v>0</v>
      </c>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3"/>
      <c r="AU551" s="1512"/>
      <c r="AV551" s="529">
        <f t="shared" si="300"/>
        <v>0</v>
      </c>
      <c r="AW551" s="529">
        <f t="shared" si="301"/>
        <v>0</v>
      </c>
      <c r="AX551" s="529">
        <f t="shared" si="302"/>
        <v>0</v>
      </c>
      <c r="AY551" s="38" t="e">
        <f t="shared" si="306"/>
        <v>#REF!</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39">
        <f t="shared" si="327"/>
        <v>0</v>
      </c>
    </row>
    <row r="552" spans="1:72">
      <c r="A552" s="6"/>
      <c r="B552" s="31"/>
      <c r="C552" s="31"/>
      <c r="D552" s="1509" t="s">
        <v>3569</v>
      </c>
      <c r="E552" s="32" t="e">
        <f t="shared" ref="E552:E587" si="328">IF($C$3="是",ROUND($A$3*G552/$B$3,2),ROUND($A$3*(G552-AT552)/$B$3,2))</f>
        <v>#REF!</v>
      </c>
      <c r="F552" s="33"/>
      <c r="G552" s="34">
        <f t="shared" si="303"/>
        <v>0</v>
      </c>
      <c r="H552" s="35">
        <f t="shared" si="304"/>
        <v>0</v>
      </c>
      <c r="I552" s="1510">
        <f>铂郡面积表!E500</f>
        <v>0</v>
      </c>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3"/>
      <c r="AU552" s="1512"/>
      <c r="AV552" s="529">
        <f t="shared" si="300"/>
        <v>0</v>
      </c>
      <c r="AW552" s="529">
        <f t="shared" si="301"/>
        <v>0</v>
      </c>
      <c r="AX552" s="529">
        <f t="shared" si="302"/>
        <v>0</v>
      </c>
      <c r="AY552" s="38" t="e">
        <f t="shared" si="306"/>
        <v>#REF!</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39">
        <f t="shared" si="327"/>
        <v>0</v>
      </c>
    </row>
    <row r="553" spans="1:72">
      <c r="A553" s="6"/>
      <c r="B553" s="31"/>
      <c r="C553" s="31"/>
      <c r="D553" s="1509" t="s">
        <v>3569</v>
      </c>
      <c r="E553" s="32" t="e">
        <f t="shared" si="328"/>
        <v>#REF!</v>
      </c>
      <c r="F553" s="33"/>
      <c r="G553" s="34">
        <f t="shared" ref="G553:G584" si="329">H553+AC553+AT553</f>
        <v>0</v>
      </c>
      <c r="H553" s="35">
        <f t="shared" ref="H553:H584" si="330">SUMIF(I$12:AB$12,"总值",I553:AB553)</f>
        <v>0</v>
      </c>
      <c r="I553" s="1510">
        <f>铂郡面积表!E501</f>
        <v>0</v>
      </c>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9">
        <f t="shared" ref="AV553:AV587" si="332">A553</f>
        <v>0</v>
      </c>
      <c r="AW553" s="529">
        <f t="shared" ref="AW553:AW587" si="333">B553</f>
        <v>0</v>
      </c>
      <c r="AX553" s="529">
        <f t="shared" ref="AX553:AX587" si="334">C553</f>
        <v>0</v>
      </c>
      <c r="AY553" s="38" t="e">
        <f t="shared" ref="AY553:AY584" si="335">ROUND($AY$6*AZ553/$AZ$5,2)</f>
        <v>#REF!</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39">
        <f t="shared" ref="BT553:BT584" si="356">IF($D553="是",AR553-AS553,0)</f>
        <v>0</v>
      </c>
    </row>
    <row r="554" spans="1:72">
      <c r="A554" s="6"/>
      <c r="B554" s="31"/>
      <c r="C554" s="31"/>
      <c r="D554" s="1509" t="s">
        <v>3569</v>
      </c>
      <c r="E554" s="32" t="e">
        <f t="shared" si="328"/>
        <v>#REF!</v>
      </c>
      <c r="F554" s="33"/>
      <c r="G554" s="34">
        <f t="shared" si="329"/>
        <v>0</v>
      </c>
      <c r="H554" s="35">
        <f t="shared" si="330"/>
        <v>0</v>
      </c>
      <c r="I554" s="1510">
        <f>铂郡面积表!E502</f>
        <v>0</v>
      </c>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3"/>
      <c r="AU554" s="1512"/>
      <c r="AV554" s="529">
        <f t="shared" si="332"/>
        <v>0</v>
      </c>
      <c r="AW554" s="529">
        <f t="shared" si="333"/>
        <v>0</v>
      </c>
      <c r="AX554" s="529">
        <f t="shared" si="334"/>
        <v>0</v>
      </c>
      <c r="AY554" s="38" t="e">
        <f t="shared" si="335"/>
        <v>#REF!</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39">
        <f t="shared" si="356"/>
        <v>0</v>
      </c>
    </row>
    <row r="555" spans="1:72">
      <c r="A555" s="6"/>
      <c r="B555" s="31"/>
      <c r="C555" s="31"/>
      <c r="D555" s="1509" t="s">
        <v>3569</v>
      </c>
      <c r="E555" s="32" t="e">
        <f t="shared" si="328"/>
        <v>#REF!</v>
      </c>
      <c r="F555" s="33"/>
      <c r="G555" s="34">
        <f t="shared" si="329"/>
        <v>0</v>
      </c>
      <c r="H555" s="35">
        <f t="shared" si="330"/>
        <v>0</v>
      </c>
      <c r="I555" s="1510">
        <f>铂郡面积表!E503</f>
        <v>0</v>
      </c>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3"/>
      <c r="AU555" s="1512"/>
      <c r="AV555" s="529">
        <f t="shared" si="332"/>
        <v>0</v>
      </c>
      <c r="AW555" s="529">
        <f t="shared" si="333"/>
        <v>0</v>
      </c>
      <c r="AX555" s="529">
        <f t="shared" si="334"/>
        <v>0</v>
      </c>
      <c r="AY555" s="38" t="e">
        <f t="shared" si="335"/>
        <v>#REF!</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39">
        <f t="shared" si="356"/>
        <v>0</v>
      </c>
    </row>
    <row r="556" spans="1:72">
      <c r="A556" s="6"/>
      <c r="B556" s="31"/>
      <c r="C556" s="31"/>
      <c r="D556" s="1509" t="s">
        <v>3569</v>
      </c>
      <c r="E556" s="32" t="e">
        <f t="shared" si="328"/>
        <v>#REF!</v>
      </c>
      <c r="F556" s="33"/>
      <c r="G556" s="34">
        <f t="shared" si="329"/>
        <v>0</v>
      </c>
      <c r="H556" s="35">
        <f t="shared" si="330"/>
        <v>0</v>
      </c>
      <c r="I556" s="1510">
        <f>铂郡面积表!E504</f>
        <v>0</v>
      </c>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3"/>
      <c r="AU556" s="1512"/>
      <c r="AV556" s="529">
        <f t="shared" si="332"/>
        <v>0</v>
      </c>
      <c r="AW556" s="529">
        <f t="shared" si="333"/>
        <v>0</v>
      </c>
      <c r="AX556" s="529">
        <f t="shared" si="334"/>
        <v>0</v>
      </c>
      <c r="AY556" s="38" t="e">
        <f t="shared" si="335"/>
        <v>#REF!</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39">
        <f t="shared" si="356"/>
        <v>0</v>
      </c>
    </row>
    <row r="557" spans="1:72">
      <c r="A557" s="6"/>
      <c r="B557" s="31"/>
      <c r="C557" s="31"/>
      <c r="D557" s="1509" t="s">
        <v>3569</v>
      </c>
      <c r="E557" s="32" t="e">
        <f t="shared" si="328"/>
        <v>#REF!</v>
      </c>
      <c r="F557" s="33"/>
      <c r="G557" s="34">
        <f t="shared" si="329"/>
        <v>0</v>
      </c>
      <c r="H557" s="35">
        <f t="shared" si="330"/>
        <v>0</v>
      </c>
      <c r="I557" s="1510">
        <f>铂郡面积表!E505</f>
        <v>0</v>
      </c>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3"/>
      <c r="AU557" s="1512"/>
      <c r="AV557" s="529">
        <f t="shared" si="332"/>
        <v>0</v>
      </c>
      <c r="AW557" s="529">
        <f t="shared" si="333"/>
        <v>0</v>
      </c>
      <c r="AX557" s="529">
        <f t="shared" si="334"/>
        <v>0</v>
      </c>
      <c r="AY557" s="38" t="e">
        <f t="shared" si="335"/>
        <v>#REF!</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39">
        <f t="shared" si="356"/>
        <v>0</v>
      </c>
    </row>
    <row r="558" spans="1:72">
      <c r="A558" s="6"/>
      <c r="B558" s="31"/>
      <c r="C558" s="31"/>
      <c r="D558" s="1509" t="s">
        <v>3569</v>
      </c>
      <c r="E558" s="32" t="e">
        <f t="shared" si="328"/>
        <v>#REF!</v>
      </c>
      <c r="F558" s="33"/>
      <c r="G558" s="34">
        <f t="shared" si="329"/>
        <v>0</v>
      </c>
      <c r="H558" s="35">
        <f t="shared" si="330"/>
        <v>0</v>
      </c>
      <c r="I558" s="1510">
        <f>铂郡面积表!E506</f>
        <v>0</v>
      </c>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3"/>
      <c r="AU558" s="1512"/>
      <c r="AV558" s="529">
        <f t="shared" si="332"/>
        <v>0</v>
      </c>
      <c r="AW558" s="529">
        <f t="shared" si="333"/>
        <v>0</v>
      </c>
      <c r="AX558" s="529">
        <f t="shared" si="334"/>
        <v>0</v>
      </c>
      <c r="AY558" s="38" t="e">
        <f t="shared" si="335"/>
        <v>#REF!</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39">
        <f t="shared" si="356"/>
        <v>0</v>
      </c>
    </row>
    <row r="559" spans="1:72">
      <c r="A559" s="6"/>
      <c r="B559" s="31"/>
      <c r="C559" s="31"/>
      <c r="D559" s="1509" t="s">
        <v>3569</v>
      </c>
      <c r="E559" s="32" t="e">
        <f t="shared" si="328"/>
        <v>#REF!</v>
      </c>
      <c r="F559" s="33"/>
      <c r="G559" s="34">
        <f t="shared" si="329"/>
        <v>0</v>
      </c>
      <c r="H559" s="35">
        <f t="shared" si="330"/>
        <v>0</v>
      </c>
      <c r="I559" s="1510">
        <f>铂郡面积表!E507</f>
        <v>0</v>
      </c>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3"/>
      <c r="AU559" s="1512"/>
      <c r="AV559" s="529">
        <f t="shared" si="332"/>
        <v>0</v>
      </c>
      <c r="AW559" s="529">
        <f t="shared" si="333"/>
        <v>0</v>
      </c>
      <c r="AX559" s="529">
        <f t="shared" si="334"/>
        <v>0</v>
      </c>
      <c r="AY559" s="38" t="e">
        <f t="shared" si="335"/>
        <v>#REF!</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39">
        <f t="shared" si="356"/>
        <v>0</v>
      </c>
    </row>
    <row r="560" spans="1:72">
      <c r="A560" s="6"/>
      <c r="B560" s="31"/>
      <c r="C560" s="31"/>
      <c r="D560" s="1509" t="s">
        <v>3569</v>
      </c>
      <c r="E560" s="32" t="e">
        <f t="shared" si="328"/>
        <v>#REF!</v>
      </c>
      <c r="F560" s="33"/>
      <c r="G560" s="34">
        <f t="shared" si="329"/>
        <v>0</v>
      </c>
      <c r="H560" s="35">
        <f t="shared" si="330"/>
        <v>0</v>
      </c>
      <c r="I560" s="1510">
        <f>铂郡面积表!E508</f>
        <v>0</v>
      </c>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3"/>
      <c r="AU560" s="1512"/>
      <c r="AV560" s="529">
        <f t="shared" si="332"/>
        <v>0</v>
      </c>
      <c r="AW560" s="529">
        <f t="shared" si="333"/>
        <v>0</v>
      </c>
      <c r="AX560" s="529">
        <f t="shared" si="334"/>
        <v>0</v>
      </c>
      <c r="AY560" s="38" t="e">
        <f t="shared" si="335"/>
        <v>#REF!</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39">
        <f t="shared" si="356"/>
        <v>0</v>
      </c>
    </row>
    <row r="561" spans="1:72">
      <c r="A561" s="6"/>
      <c r="B561" s="31"/>
      <c r="C561" s="31"/>
      <c r="D561" s="1509" t="s">
        <v>3569</v>
      </c>
      <c r="E561" s="32" t="e">
        <f t="shared" si="328"/>
        <v>#REF!</v>
      </c>
      <c r="F561" s="33"/>
      <c r="G561" s="34">
        <f t="shared" si="329"/>
        <v>0</v>
      </c>
      <c r="H561" s="35">
        <f t="shared" si="330"/>
        <v>0</v>
      </c>
      <c r="I561" s="1510">
        <f>铂郡面积表!E509</f>
        <v>0</v>
      </c>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3"/>
      <c r="AU561" s="1512"/>
      <c r="AV561" s="529">
        <f t="shared" si="332"/>
        <v>0</v>
      </c>
      <c r="AW561" s="529">
        <f t="shared" si="333"/>
        <v>0</v>
      </c>
      <c r="AX561" s="529">
        <f t="shared" si="334"/>
        <v>0</v>
      </c>
      <c r="AY561" s="38" t="e">
        <f t="shared" si="335"/>
        <v>#REF!</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39">
        <f t="shared" si="356"/>
        <v>0</v>
      </c>
    </row>
    <row r="562" spans="1:72">
      <c r="A562" s="6"/>
      <c r="B562" s="31"/>
      <c r="C562" s="31"/>
      <c r="D562" s="1509" t="s">
        <v>3569</v>
      </c>
      <c r="E562" s="32" t="e">
        <f t="shared" si="328"/>
        <v>#REF!</v>
      </c>
      <c r="F562" s="33"/>
      <c r="G562" s="34">
        <f t="shared" si="329"/>
        <v>0</v>
      </c>
      <c r="H562" s="35">
        <f t="shared" si="330"/>
        <v>0</v>
      </c>
      <c r="I562" s="1510">
        <f>铂郡面积表!E510</f>
        <v>0</v>
      </c>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3"/>
      <c r="AU562" s="1512"/>
      <c r="AV562" s="529">
        <f t="shared" si="332"/>
        <v>0</v>
      </c>
      <c r="AW562" s="529">
        <f t="shared" si="333"/>
        <v>0</v>
      </c>
      <c r="AX562" s="529">
        <f t="shared" si="334"/>
        <v>0</v>
      </c>
      <c r="AY562" s="38" t="e">
        <f t="shared" si="335"/>
        <v>#REF!</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39">
        <f t="shared" si="356"/>
        <v>0</v>
      </c>
    </row>
    <row r="563" spans="1:72">
      <c r="A563" s="6"/>
      <c r="B563" s="31"/>
      <c r="C563" s="31"/>
      <c r="D563" s="1509" t="s">
        <v>3569</v>
      </c>
      <c r="E563" s="32" t="e">
        <f t="shared" si="328"/>
        <v>#REF!</v>
      </c>
      <c r="F563" s="33"/>
      <c r="G563" s="34">
        <f t="shared" si="329"/>
        <v>0</v>
      </c>
      <c r="H563" s="35">
        <f t="shared" si="330"/>
        <v>0</v>
      </c>
      <c r="I563" s="1510">
        <f>铂郡面积表!E511</f>
        <v>0</v>
      </c>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3"/>
      <c r="AU563" s="1512"/>
      <c r="AV563" s="529">
        <f t="shared" si="332"/>
        <v>0</v>
      </c>
      <c r="AW563" s="529">
        <f t="shared" si="333"/>
        <v>0</v>
      </c>
      <c r="AX563" s="529">
        <f t="shared" si="334"/>
        <v>0</v>
      </c>
      <c r="AY563" s="38" t="e">
        <f t="shared" si="335"/>
        <v>#REF!</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39">
        <f t="shared" si="356"/>
        <v>0</v>
      </c>
    </row>
    <row r="564" spans="1:72">
      <c r="A564" s="6"/>
      <c r="B564" s="31"/>
      <c r="C564" s="31"/>
      <c r="D564" s="1509" t="s">
        <v>3569</v>
      </c>
      <c r="E564" s="32" t="e">
        <f t="shared" si="328"/>
        <v>#REF!</v>
      </c>
      <c r="F564" s="33"/>
      <c r="G564" s="34">
        <f t="shared" si="329"/>
        <v>0</v>
      </c>
      <c r="H564" s="35">
        <f t="shared" si="330"/>
        <v>0</v>
      </c>
      <c r="I564" s="1510">
        <f>铂郡面积表!E512</f>
        <v>0</v>
      </c>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3"/>
      <c r="AU564" s="1512"/>
      <c r="AV564" s="529">
        <f t="shared" si="332"/>
        <v>0</v>
      </c>
      <c r="AW564" s="529">
        <f t="shared" si="333"/>
        <v>0</v>
      </c>
      <c r="AX564" s="529">
        <f t="shared" si="334"/>
        <v>0</v>
      </c>
      <c r="AY564" s="38" t="e">
        <f t="shared" si="335"/>
        <v>#REF!</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39">
        <f t="shared" si="356"/>
        <v>0</v>
      </c>
    </row>
    <row r="565" spans="1:72">
      <c r="A565" s="6"/>
      <c r="B565" s="31"/>
      <c r="C565" s="31"/>
      <c r="D565" s="1509" t="s">
        <v>3569</v>
      </c>
      <c r="E565" s="32" t="e">
        <f t="shared" si="328"/>
        <v>#REF!</v>
      </c>
      <c r="F565" s="33"/>
      <c r="G565" s="34">
        <f t="shared" si="329"/>
        <v>0</v>
      </c>
      <c r="H565" s="35">
        <f t="shared" si="330"/>
        <v>0</v>
      </c>
      <c r="I565" s="1510">
        <f>铂郡面积表!E513</f>
        <v>0</v>
      </c>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3"/>
      <c r="AU565" s="1512"/>
      <c r="AV565" s="529">
        <f t="shared" si="332"/>
        <v>0</v>
      </c>
      <c r="AW565" s="529">
        <f t="shared" si="333"/>
        <v>0</v>
      </c>
      <c r="AX565" s="529">
        <f t="shared" si="334"/>
        <v>0</v>
      </c>
      <c r="AY565" s="38" t="e">
        <f t="shared" si="335"/>
        <v>#REF!</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39">
        <f t="shared" si="356"/>
        <v>0</v>
      </c>
    </row>
    <row r="566" spans="1:72">
      <c r="A566" s="6"/>
      <c r="B566" s="31"/>
      <c r="C566" s="31"/>
      <c r="D566" s="1509" t="s">
        <v>3569</v>
      </c>
      <c r="E566" s="32" t="e">
        <f t="shared" si="328"/>
        <v>#REF!</v>
      </c>
      <c r="F566" s="33"/>
      <c r="G566" s="34">
        <f t="shared" si="329"/>
        <v>0</v>
      </c>
      <c r="H566" s="35">
        <f t="shared" si="330"/>
        <v>0</v>
      </c>
      <c r="I566" s="1510">
        <f>铂郡面积表!E514</f>
        <v>0</v>
      </c>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3"/>
      <c r="AU566" s="1512"/>
      <c r="AV566" s="529">
        <f t="shared" si="332"/>
        <v>0</v>
      </c>
      <c r="AW566" s="529">
        <f t="shared" si="333"/>
        <v>0</v>
      </c>
      <c r="AX566" s="529">
        <f t="shared" si="334"/>
        <v>0</v>
      </c>
      <c r="AY566" s="38" t="e">
        <f t="shared" si="335"/>
        <v>#REF!</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39">
        <f t="shared" si="356"/>
        <v>0</v>
      </c>
    </row>
    <row r="567" spans="1:72">
      <c r="A567" s="6"/>
      <c r="B567" s="31"/>
      <c r="C567" s="31"/>
      <c r="D567" s="1509" t="s">
        <v>3569</v>
      </c>
      <c r="E567" s="32" t="e">
        <f t="shared" si="328"/>
        <v>#REF!</v>
      </c>
      <c r="F567" s="33"/>
      <c r="G567" s="34">
        <f t="shared" si="329"/>
        <v>0</v>
      </c>
      <c r="H567" s="35">
        <f t="shared" si="330"/>
        <v>0</v>
      </c>
      <c r="I567" s="1510">
        <f>铂郡面积表!E515</f>
        <v>0</v>
      </c>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3"/>
      <c r="AU567" s="1512"/>
      <c r="AV567" s="529">
        <f t="shared" si="332"/>
        <v>0</v>
      </c>
      <c r="AW567" s="529">
        <f t="shared" si="333"/>
        <v>0</v>
      </c>
      <c r="AX567" s="529">
        <f t="shared" si="334"/>
        <v>0</v>
      </c>
      <c r="AY567" s="38" t="e">
        <f t="shared" si="335"/>
        <v>#REF!</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39">
        <f t="shared" si="356"/>
        <v>0</v>
      </c>
    </row>
    <row r="568" spans="1:72">
      <c r="A568" s="6"/>
      <c r="B568" s="31"/>
      <c r="C568" s="31"/>
      <c r="D568" s="1509" t="s">
        <v>3569</v>
      </c>
      <c r="E568" s="32" t="e">
        <f t="shared" si="328"/>
        <v>#REF!</v>
      </c>
      <c r="F568" s="33"/>
      <c r="G568" s="34">
        <f t="shared" si="329"/>
        <v>0</v>
      </c>
      <c r="H568" s="35">
        <f t="shared" si="330"/>
        <v>0</v>
      </c>
      <c r="I568" s="1510">
        <f>铂郡面积表!E516</f>
        <v>0</v>
      </c>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3"/>
      <c r="AU568" s="1512"/>
      <c r="AV568" s="529">
        <f t="shared" si="332"/>
        <v>0</v>
      </c>
      <c r="AW568" s="529">
        <f t="shared" si="333"/>
        <v>0</v>
      </c>
      <c r="AX568" s="529">
        <f t="shared" si="334"/>
        <v>0</v>
      </c>
      <c r="AY568" s="38" t="e">
        <f t="shared" si="335"/>
        <v>#REF!</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39">
        <f t="shared" si="356"/>
        <v>0</v>
      </c>
    </row>
    <row r="569" spans="1:72">
      <c r="A569" s="6"/>
      <c r="B569" s="31"/>
      <c r="C569" s="31"/>
      <c r="D569" s="1509" t="s">
        <v>3569</v>
      </c>
      <c r="E569" s="32" t="e">
        <f t="shared" si="328"/>
        <v>#REF!</v>
      </c>
      <c r="F569" s="33"/>
      <c r="G569" s="34">
        <f t="shared" si="329"/>
        <v>0</v>
      </c>
      <c r="H569" s="35">
        <f t="shared" si="330"/>
        <v>0</v>
      </c>
      <c r="I569" s="1510">
        <f>铂郡面积表!E517</f>
        <v>0</v>
      </c>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3"/>
      <c r="AU569" s="1512"/>
      <c r="AV569" s="529">
        <f t="shared" si="332"/>
        <v>0</v>
      </c>
      <c r="AW569" s="529">
        <f t="shared" si="333"/>
        <v>0</v>
      </c>
      <c r="AX569" s="529">
        <f t="shared" si="334"/>
        <v>0</v>
      </c>
      <c r="AY569" s="38" t="e">
        <f t="shared" si="335"/>
        <v>#REF!</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39">
        <f t="shared" si="356"/>
        <v>0</v>
      </c>
    </row>
    <row r="570" spans="1:72">
      <c r="A570" s="6"/>
      <c r="B570" s="31"/>
      <c r="C570" s="31"/>
      <c r="D570" s="1509" t="s">
        <v>3569</v>
      </c>
      <c r="E570" s="32" t="e">
        <f t="shared" si="328"/>
        <v>#REF!</v>
      </c>
      <c r="F570" s="33"/>
      <c r="G570" s="34">
        <f t="shared" si="329"/>
        <v>0</v>
      </c>
      <c r="H570" s="35">
        <f t="shared" si="330"/>
        <v>0</v>
      </c>
      <c r="I570" s="1510">
        <f>铂郡面积表!E518</f>
        <v>0</v>
      </c>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3"/>
      <c r="AU570" s="1512"/>
      <c r="AV570" s="529">
        <f t="shared" si="332"/>
        <v>0</v>
      </c>
      <c r="AW570" s="529">
        <f t="shared" si="333"/>
        <v>0</v>
      </c>
      <c r="AX570" s="529">
        <f t="shared" si="334"/>
        <v>0</v>
      </c>
      <c r="AY570" s="38" t="e">
        <f t="shared" si="335"/>
        <v>#REF!</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39">
        <f t="shared" si="356"/>
        <v>0</v>
      </c>
    </row>
    <row r="571" spans="1:72">
      <c r="A571" s="6"/>
      <c r="B571" s="31"/>
      <c r="C571" s="31"/>
      <c r="D571" s="1509" t="s">
        <v>3569</v>
      </c>
      <c r="E571" s="32" t="e">
        <f t="shared" si="328"/>
        <v>#REF!</v>
      </c>
      <c r="F571" s="33"/>
      <c r="G571" s="34">
        <f t="shared" si="329"/>
        <v>0</v>
      </c>
      <c r="H571" s="35">
        <f t="shared" si="330"/>
        <v>0</v>
      </c>
      <c r="I571" s="1510">
        <f>铂郡面积表!E519</f>
        <v>0</v>
      </c>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3"/>
      <c r="AU571" s="1512"/>
      <c r="AV571" s="529">
        <f t="shared" si="332"/>
        <v>0</v>
      </c>
      <c r="AW571" s="529">
        <f t="shared" si="333"/>
        <v>0</v>
      </c>
      <c r="AX571" s="529">
        <f t="shared" si="334"/>
        <v>0</v>
      </c>
      <c r="AY571" s="38" t="e">
        <f t="shared" si="335"/>
        <v>#REF!</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39">
        <f t="shared" si="356"/>
        <v>0</v>
      </c>
    </row>
    <row r="572" spans="1:72">
      <c r="A572" s="6"/>
      <c r="B572" s="31"/>
      <c r="C572" s="31"/>
      <c r="D572" s="1509" t="s">
        <v>3569</v>
      </c>
      <c r="E572" s="32" t="e">
        <f t="shared" si="328"/>
        <v>#REF!</v>
      </c>
      <c r="F572" s="33"/>
      <c r="G572" s="34">
        <f t="shared" si="329"/>
        <v>0</v>
      </c>
      <c r="H572" s="35">
        <f t="shared" si="330"/>
        <v>0</v>
      </c>
      <c r="I572" s="1510">
        <f>铂郡面积表!E520</f>
        <v>0</v>
      </c>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3"/>
      <c r="AU572" s="1512"/>
      <c r="AV572" s="529">
        <f t="shared" si="332"/>
        <v>0</v>
      </c>
      <c r="AW572" s="529">
        <f t="shared" si="333"/>
        <v>0</v>
      </c>
      <c r="AX572" s="529">
        <f t="shared" si="334"/>
        <v>0</v>
      </c>
      <c r="AY572" s="38" t="e">
        <f t="shared" si="335"/>
        <v>#REF!</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39">
        <f t="shared" si="356"/>
        <v>0</v>
      </c>
    </row>
    <row r="573" spans="1:72">
      <c r="A573" s="6"/>
      <c r="B573" s="31"/>
      <c r="C573" s="31"/>
      <c r="D573" s="1509" t="s">
        <v>3569</v>
      </c>
      <c r="E573" s="32" t="e">
        <f t="shared" si="328"/>
        <v>#REF!</v>
      </c>
      <c r="F573" s="33"/>
      <c r="G573" s="34">
        <f t="shared" si="329"/>
        <v>0</v>
      </c>
      <c r="H573" s="35">
        <f t="shared" si="330"/>
        <v>0</v>
      </c>
      <c r="I573" s="1510">
        <f>铂郡面积表!E521</f>
        <v>0</v>
      </c>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3"/>
      <c r="AU573" s="1512"/>
      <c r="AV573" s="529">
        <f t="shared" si="332"/>
        <v>0</v>
      </c>
      <c r="AW573" s="529">
        <f t="shared" si="333"/>
        <v>0</v>
      </c>
      <c r="AX573" s="529">
        <f t="shared" si="334"/>
        <v>0</v>
      </c>
      <c r="AY573" s="38" t="e">
        <f t="shared" si="335"/>
        <v>#REF!</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39">
        <f t="shared" si="356"/>
        <v>0</v>
      </c>
    </row>
    <row r="574" spans="1:72">
      <c r="A574" s="6"/>
      <c r="B574" s="31"/>
      <c r="C574" s="31"/>
      <c r="D574" s="1509" t="s">
        <v>3569</v>
      </c>
      <c r="E574" s="32" t="e">
        <f t="shared" si="328"/>
        <v>#REF!</v>
      </c>
      <c r="F574" s="33"/>
      <c r="G574" s="34">
        <f t="shared" si="329"/>
        <v>0</v>
      </c>
      <c r="H574" s="35">
        <f t="shared" si="330"/>
        <v>0</v>
      </c>
      <c r="I574" s="1510">
        <f>铂郡面积表!E522</f>
        <v>0</v>
      </c>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3"/>
      <c r="AU574" s="1512"/>
      <c r="AV574" s="529">
        <f t="shared" si="332"/>
        <v>0</v>
      </c>
      <c r="AW574" s="529">
        <f t="shared" si="333"/>
        <v>0</v>
      </c>
      <c r="AX574" s="529">
        <f t="shared" si="334"/>
        <v>0</v>
      </c>
      <c r="AY574" s="38" t="e">
        <f t="shared" si="335"/>
        <v>#REF!</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39">
        <f t="shared" si="356"/>
        <v>0</v>
      </c>
    </row>
    <row r="575" spans="1:72">
      <c r="A575" s="6"/>
      <c r="B575" s="31"/>
      <c r="C575" s="31"/>
      <c r="D575" s="1509" t="s">
        <v>3569</v>
      </c>
      <c r="E575" s="32" t="e">
        <f t="shared" si="328"/>
        <v>#REF!</v>
      </c>
      <c r="F575" s="33"/>
      <c r="G575" s="34">
        <f t="shared" si="329"/>
        <v>0</v>
      </c>
      <c r="H575" s="35">
        <f t="shared" si="330"/>
        <v>0</v>
      </c>
      <c r="I575" s="1510">
        <f>铂郡面积表!E523</f>
        <v>0</v>
      </c>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3"/>
      <c r="AU575" s="1512"/>
      <c r="AV575" s="529">
        <f t="shared" si="332"/>
        <v>0</v>
      </c>
      <c r="AW575" s="529">
        <f t="shared" si="333"/>
        <v>0</v>
      </c>
      <c r="AX575" s="529">
        <f t="shared" si="334"/>
        <v>0</v>
      </c>
      <c r="AY575" s="38" t="e">
        <f t="shared" si="335"/>
        <v>#REF!</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39">
        <f t="shared" si="356"/>
        <v>0</v>
      </c>
    </row>
    <row r="576" spans="1:72">
      <c r="A576" s="6"/>
      <c r="B576" s="31"/>
      <c r="C576" s="31"/>
      <c r="D576" s="1509" t="s">
        <v>3569</v>
      </c>
      <c r="E576" s="32" t="e">
        <f t="shared" si="328"/>
        <v>#REF!</v>
      </c>
      <c r="F576" s="33"/>
      <c r="G576" s="34">
        <f t="shared" si="329"/>
        <v>0</v>
      </c>
      <c r="H576" s="35">
        <f t="shared" si="330"/>
        <v>0</v>
      </c>
      <c r="I576" s="1510">
        <f>铂郡面积表!E524</f>
        <v>0</v>
      </c>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3"/>
      <c r="AU576" s="1512"/>
      <c r="AV576" s="529">
        <f t="shared" si="332"/>
        <v>0</v>
      </c>
      <c r="AW576" s="529">
        <f t="shared" si="333"/>
        <v>0</v>
      </c>
      <c r="AX576" s="529">
        <f t="shared" si="334"/>
        <v>0</v>
      </c>
      <c r="AY576" s="38" t="e">
        <f t="shared" si="335"/>
        <v>#REF!</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39">
        <f t="shared" si="356"/>
        <v>0</v>
      </c>
    </row>
    <row r="577" spans="1:72">
      <c r="A577" s="6"/>
      <c r="B577" s="31"/>
      <c r="C577" s="31"/>
      <c r="D577" s="1509" t="s">
        <v>3569</v>
      </c>
      <c r="E577" s="32" t="e">
        <f t="shared" si="328"/>
        <v>#REF!</v>
      </c>
      <c r="F577" s="33"/>
      <c r="G577" s="34">
        <f t="shared" si="329"/>
        <v>0</v>
      </c>
      <c r="H577" s="35">
        <f t="shared" si="330"/>
        <v>0</v>
      </c>
      <c r="I577" s="1510">
        <f>铂郡面积表!E525</f>
        <v>0</v>
      </c>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3"/>
      <c r="AU577" s="1512"/>
      <c r="AV577" s="529">
        <f t="shared" si="332"/>
        <v>0</v>
      </c>
      <c r="AW577" s="529">
        <f t="shared" si="333"/>
        <v>0</v>
      </c>
      <c r="AX577" s="529">
        <f t="shared" si="334"/>
        <v>0</v>
      </c>
      <c r="AY577" s="38" t="e">
        <f t="shared" si="335"/>
        <v>#REF!</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39">
        <f t="shared" si="356"/>
        <v>0</v>
      </c>
    </row>
    <row r="578" spans="1:72">
      <c r="A578" s="6"/>
      <c r="B578" s="31"/>
      <c r="C578" s="31"/>
      <c r="D578" s="1509" t="s">
        <v>3569</v>
      </c>
      <c r="E578" s="32" t="e">
        <f t="shared" si="328"/>
        <v>#REF!</v>
      </c>
      <c r="F578" s="33"/>
      <c r="G578" s="34">
        <f t="shared" si="329"/>
        <v>0</v>
      </c>
      <c r="H578" s="35">
        <f t="shared" si="330"/>
        <v>0</v>
      </c>
      <c r="I578" s="1510">
        <f>铂郡面积表!E526</f>
        <v>0</v>
      </c>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3"/>
      <c r="AU578" s="1512"/>
      <c r="AV578" s="529">
        <f t="shared" si="332"/>
        <v>0</v>
      </c>
      <c r="AW578" s="529">
        <f t="shared" si="333"/>
        <v>0</v>
      </c>
      <c r="AX578" s="529">
        <f t="shared" si="334"/>
        <v>0</v>
      </c>
      <c r="AY578" s="38" t="e">
        <f t="shared" si="335"/>
        <v>#REF!</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39">
        <f t="shared" si="356"/>
        <v>0</v>
      </c>
    </row>
    <row r="579" spans="1:72">
      <c r="A579" s="6"/>
      <c r="B579" s="31"/>
      <c r="C579" s="31"/>
      <c r="D579" s="1509" t="s">
        <v>3569</v>
      </c>
      <c r="E579" s="32" t="e">
        <f t="shared" si="328"/>
        <v>#REF!</v>
      </c>
      <c r="F579" s="33"/>
      <c r="G579" s="34">
        <f t="shared" si="329"/>
        <v>0</v>
      </c>
      <c r="H579" s="35">
        <f t="shared" si="330"/>
        <v>0</v>
      </c>
      <c r="I579" s="1510">
        <f>铂郡面积表!E527</f>
        <v>0</v>
      </c>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3"/>
      <c r="AU579" s="1512"/>
      <c r="AV579" s="529">
        <f t="shared" si="332"/>
        <v>0</v>
      </c>
      <c r="AW579" s="529">
        <f t="shared" si="333"/>
        <v>0</v>
      </c>
      <c r="AX579" s="529">
        <f t="shared" si="334"/>
        <v>0</v>
      </c>
      <c r="AY579" s="38" t="e">
        <f t="shared" si="335"/>
        <v>#REF!</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39">
        <f t="shared" si="356"/>
        <v>0</v>
      </c>
    </row>
    <row r="580" spans="1:72">
      <c r="A580" s="6"/>
      <c r="B580" s="31"/>
      <c r="C580" s="31"/>
      <c r="D580" s="1509" t="s">
        <v>3569</v>
      </c>
      <c r="E580" s="32" t="e">
        <f t="shared" si="328"/>
        <v>#REF!</v>
      </c>
      <c r="F580" s="33"/>
      <c r="G580" s="34">
        <f t="shared" si="329"/>
        <v>0</v>
      </c>
      <c r="H580" s="35">
        <f t="shared" si="330"/>
        <v>0</v>
      </c>
      <c r="I580" s="1510">
        <f>铂郡面积表!E528</f>
        <v>0</v>
      </c>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3"/>
      <c r="AU580" s="1512"/>
      <c r="AV580" s="529">
        <f t="shared" si="332"/>
        <v>0</v>
      </c>
      <c r="AW580" s="529">
        <f t="shared" si="333"/>
        <v>0</v>
      </c>
      <c r="AX580" s="529">
        <f t="shared" si="334"/>
        <v>0</v>
      </c>
      <c r="AY580" s="38" t="e">
        <f t="shared" si="335"/>
        <v>#REF!</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39">
        <f t="shared" si="356"/>
        <v>0</v>
      </c>
    </row>
    <row r="581" spans="1:72">
      <c r="A581" s="6"/>
      <c r="B581" s="31"/>
      <c r="C581" s="31"/>
      <c r="D581" s="1509" t="s">
        <v>3569</v>
      </c>
      <c r="E581" s="32" t="e">
        <f t="shared" si="328"/>
        <v>#REF!</v>
      </c>
      <c r="F581" s="33"/>
      <c r="G581" s="34">
        <f t="shared" si="329"/>
        <v>0</v>
      </c>
      <c r="H581" s="35">
        <f t="shared" si="330"/>
        <v>0</v>
      </c>
      <c r="I581" s="1510">
        <f>铂郡面积表!E529</f>
        <v>0</v>
      </c>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3"/>
      <c r="AU581" s="1512"/>
      <c r="AV581" s="529">
        <f t="shared" si="332"/>
        <v>0</v>
      </c>
      <c r="AW581" s="529">
        <f t="shared" si="333"/>
        <v>0</v>
      </c>
      <c r="AX581" s="529">
        <f t="shared" si="334"/>
        <v>0</v>
      </c>
      <c r="AY581" s="38" t="e">
        <f t="shared" si="335"/>
        <v>#REF!</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39">
        <f t="shared" si="356"/>
        <v>0</v>
      </c>
    </row>
    <row r="582" spans="1:72">
      <c r="A582" s="6"/>
      <c r="B582" s="31"/>
      <c r="C582" s="31"/>
      <c r="D582" s="1509" t="s">
        <v>3569</v>
      </c>
      <c r="E582" s="32" t="e">
        <f t="shared" si="328"/>
        <v>#REF!</v>
      </c>
      <c r="F582" s="33"/>
      <c r="G582" s="34">
        <f t="shared" si="329"/>
        <v>0</v>
      </c>
      <c r="H582" s="35">
        <f t="shared" si="330"/>
        <v>0</v>
      </c>
      <c r="I582" s="1510">
        <f>铂郡面积表!E530</f>
        <v>0</v>
      </c>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3"/>
      <c r="AU582" s="1512"/>
      <c r="AV582" s="529">
        <f t="shared" si="332"/>
        <v>0</v>
      </c>
      <c r="AW582" s="529">
        <f t="shared" si="333"/>
        <v>0</v>
      </c>
      <c r="AX582" s="529">
        <f t="shared" si="334"/>
        <v>0</v>
      </c>
      <c r="AY582" s="38" t="e">
        <f t="shared" si="335"/>
        <v>#REF!</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39">
        <f t="shared" si="356"/>
        <v>0</v>
      </c>
    </row>
    <row r="583" spans="1:72">
      <c r="A583" s="6"/>
      <c r="B583" s="31"/>
      <c r="C583" s="31"/>
      <c r="D583" s="1509" t="s">
        <v>3569</v>
      </c>
      <c r="E583" s="32" t="e">
        <f t="shared" si="328"/>
        <v>#REF!</v>
      </c>
      <c r="F583" s="33"/>
      <c r="G583" s="34">
        <f t="shared" si="329"/>
        <v>0</v>
      </c>
      <c r="H583" s="35">
        <f t="shared" si="330"/>
        <v>0</v>
      </c>
      <c r="I583" s="1510">
        <f>铂郡面积表!E531</f>
        <v>0</v>
      </c>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3"/>
      <c r="AU583" s="1512"/>
      <c r="AV583" s="529">
        <f t="shared" si="332"/>
        <v>0</v>
      </c>
      <c r="AW583" s="529">
        <f t="shared" si="333"/>
        <v>0</v>
      </c>
      <c r="AX583" s="529">
        <f t="shared" si="334"/>
        <v>0</v>
      </c>
      <c r="AY583" s="38" t="e">
        <f t="shared" si="335"/>
        <v>#REF!</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39">
        <f t="shared" si="356"/>
        <v>0</v>
      </c>
    </row>
    <row r="584" spans="1:72">
      <c r="A584" s="6"/>
      <c r="B584" s="31"/>
      <c r="C584" s="31"/>
      <c r="D584" s="1509" t="s">
        <v>3569</v>
      </c>
      <c r="E584" s="32" t="e">
        <f t="shared" si="328"/>
        <v>#REF!</v>
      </c>
      <c r="F584" s="33"/>
      <c r="G584" s="34">
        <f t="shared" si="329"/>
        <v>0</v>
      </c>
      <c r="H584" s="35">
        <f t="shared" si="330"/>
        <v>0</v>
      </c>
      <c r="I584" s="1510">
        <f>铂郡面积表!E532</f>
        <v>0</v>
      </c>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3"/>
      <c r="AU584" s="1512"/>
      <c r="AV584" s="529">
        <f t="shared" si="332"/>
        <v>0</v>
      </c>
      <c r="AW584" s="529">
        <f t="shared" si="333"/>
        <v>0</v>
      </c>
      <c r="AX584" s="529">
        <f t="shared" si="334"/>
        <v>0</v>
      </c>
      <c r="AY584" s="38" t="e">
        <f t="shared" si="335"/>
        <v>#REF!</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39">
        <f t="shared" si="356"/>
        <v>0</v>
      </c>
    </row>
    <row r="585" spans="1:72">
      <c r="A585" s="6"/>
      <c r="B585" s="6"/>
      <c r="C585" s="6"/>
      <c r="D585" s="1509" t="s">
        <v>3569</v>
      </c>
      <c r="E585" s="32" t="e">
        <f t="shared" si="328"/>
        <v>#REF!</v>
      </c>
      <c r="F585" s="37"/>
      <c r="G585" s="34">
        <f>H585+AC585+AT585</f>
        <v>0</v>
      </c>
      <c r="H585" s="35">
        <f>SUMIF(I$12:AB$12,"总值",I585:AB585)</f>
        <v>0</v>
      </c>
      <c r="I585" s="1510">
        <f>铂郡面积表!E533</f>
        <v>0</v>
      </c>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9">
        <f t="shared" si="332"/>
        <v>0</v>
      </c>
      <c r="AW585" s="529">
        <f t="shared" si="333"/>
        <v>0</v>
      </c>
      <c r="AX585" s="529">
        <f t="shared" si="334"/>
        <v>0</v>
      </c>
      <c r="AY585" s="38" t="e">
        <f>ROUND($AY$6*AZ585/$AZ$5,2)</f>
        <v>#REF!</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t="s">
        <v>3569</v>
      </c>
      <c r="E586" s="32" t="e">
        <f t="shared" si="328"/>
        <v>#REF!</v>
      </c>
      <c r="F586" s="37"/>
      <c r="G586" s="34">
        <f>H586+AC586+AT586</f>
        <v>0</v>
      </c>
      <c r="H586" s="35">
        <f>SUMIF(I$12:AB$12,"总值",I586:AB586)</f>
        <v>0</v>
      </c>
      <c r="I586" s="1510">
        <f>铂郡面积表!E534</f>
        <v>0</v>
      </c>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9">
        <f t="shared" si="332"/>
        <v>0</v>
      </c>
      <c r="AW586" s="529">
        <f t="shared" si="333"/>
        <v>0</v>
      </c>
      <c r="AX586" s="529">
        <f t="shared" si="334"/>
        <v>0</v>
      </c>
      <c r="AY586" s="38" t="e">
        <f>ROUND($AY$6*AZ586/$AZ$5,2)</f>
        <v>#REF!</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t="s">
        <v>3569</v>
      </c>
      <c r="E587" s="32" t="e">
        <f t="shared" si="328"/>
        <v>#REF!</v>
      </c>
      <c r="F587" s="37"/>
      <c r="G587" s="34">
        <f>H587+AC587+AT587</f>
        <v>0</v>
      </c>
      <c r="H587" s="35">
        <f>SUMIF(I$12:AB$12,"总值",I587:AB587)</f>
        <v>0</v>
      </c>
      <c r="I587" s="1510">
        <f>铂郡面积表!E535</f>
        <v>0</v>
      </c>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9">
        <f t="shared" si="332"/>
        <v>0</v>
      </c>
      <c r="AW587" s="529">
        <f t="shared" si="333"/>
        <v>0</v>
      </c>
      <c r="AX587" s="529">
        <f t="shared" si="334"/>
        <v>0</v>
      </c>
      <c r="AY587" s="38" t="e">
        <f>ROUND($AY$6*AZ587/$AZ$5,2)</f>
        <v>#REF!</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conditionalFormatting sqref="C23:C64">
    <cfRule type="expression" dxfId="161" priority="4">
      <formula>MOD(ROW(),2)</formula>
    </cfRule>
  </conditionalFormatting>
  <conditionalFormatting sqref="C13:C22">
    <cfRule type="expression" dxfId="160" priority="3">
      <formula>MOD(ROW(),2)</formula>
    </cfRule>
  </conditionalFormatting>
  <conditionalFormatting sqref="I13:I19">
    <cfRule type="expression" dxfId="159" priority="2">
      <formula>MOD(ROW(),2)</formula>
    </cfRule>
  </conditionalFormatting>
  <conditionalFormatting sqref="I20:I22">
    <cfRule type="expression" dxfId="158"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7"/>
      <c r="C1" s="1067"/>
      <c r="D1" s="1067"/>
      <c r="E1" s="1067"/>
      <c r="F1" s="1067"/>
      <c r="G1" s="1067"/>
      <c r="H1" s="1067"/>
      <c r="I1" s="1067"/>
      <c r="J1" s="1067"/>
      <c r="K1" s="1067"/>
      <c r="L1" s="1067"/>
      <c r="M1" s="1067"/>
      <c r="N1" s="1067"/>
      <c r="O1" s="1067"/>
      <c r="P1" s="1067"/>
    </row>
    <row r="2" spans="1:16" ht="15">
      <c r="A2" s="3329" t="s">
        <v>1131</v>
      </c>
      <c r="B2" s="3329"/>
      <c r="C2" s="3329"/>
      <c r="D2" s="744" t="s">
        <v>1107</v>
      </c>
      <c r="E2" s="1518" t="s">
        <v>1108</v>
      </c>
      <c r="F2" s="2433"/>
      <c r="G2" s="2426"/>
      <c r="H2" s="2427"/>
      <c r="I2" s="2141" t="s">
        <v>1132</v>
      </c>
      <c r="J2" s="2433"/>
      <c r="K2" s="2433"/>
      <c r="L2" s="2433"/>
      <c r="M2" s="2433"/>
      <c r="N2" s="2434"/>
      <c r="O2" s="2433"/>
      <c r="P2" s="2433"/>
    </row>
    <row r="3" spans="1:16" ht="15.75" thickBot="1">
      <c r="A3" s="3330" t="s">
        <v>1105</v>
      </c>
      <c r="B3" s="3330"/>
      <c r="C3" s="3330"/>
      <c r="D3" s="41" t="e">
        <f>'数据-基础表'!AY6</f>
        <v>#REF!</v>
      </c>
      <c r="E3" s="41">
        <f>'数据-基础表'!AZ5</f>
        <v>1279.97</v>
      </c>
      <c r="F3" s="2433"/>
      <c r="G3" s="42"/>
      <c r="H3" s="43" t="s">
        <v>1106</v>
      </c>
      <c r="I3" s="798" t="e">
        <f>ROUND('数据-基础表'!B3/'数据-基础表'!A3,2)</f>
        <v>#REF!</v>
      </c>
      <c r="J3" s="2433"/>
      <c r="K3" s="2433"/>
      <c r="L3" s="2433"/>
      <c r="M3" s="2433"/>
      <c r="N3" s="2434"/>
      <c r="O3" s="2433"/>
      <c r="P3" s="2433"/>
    </row>
    <row r="4" spans="1:16" ht="15">
      <c r="A4" s="3331"/>
      <c r="B4" s="3332"/>
      <c r="C4" s="3333"/>
      <c r="D4" s="1519" t="s">
        <v>1107</v>
      </c>
      <c r="E4" s="1520" t="s">
        <v>1108</v>
      </c>
      <c r="F4" s="2433"/>
      <c r="G4" s="2428" t="s">
        <v>1133</v>
      </c>
      <c r="H4" s="43" t="s">
        <v>1113</v>
      </c>
      <c r="I4" s="798" t="e">
        <f>ROUND(SUMIF('数据-基础表'!I9:AS9,"地上",'数据-基础表'!I5:AS5)/'数据-基础表'!A3,2)</f>
        <v>#REF!</v>
      </c>
      <c r="J4" s="2433"/>
      <c r="K4" s="2433"/>
      <c r="L4" s="2433"/>
      <c r="M4" s="2433"/>
      <c r="N4" s="2434"/>
      <c r="O4" s="2433"/>
      <c r="P4" s="2433"/>
    </row>
    <row r="5" spans="1:16">
      <c r="A5" s="42" t="s">
        <v>1109</v>
      </c>
      <c r="B5" s="3334" t="s">
        <v>1110</v>
      </c>
      <c r="C5" s="3334"/>
      <c r="D5" s="43" t="e">
        <f>ROUND($D$3*E5/$E$3,2)</f>
        <v>#REF!</v>
      </c>
      <c r="E5" s="44">
        <f>SUMIF('数据-基础表'!$11:$11,"住宅",'数据-基础表'!$5:$5)</f>
        <v>0</v>
      </c>
      <c r="F5" s="2433"/>
      <c r="G5" s="42"/>
      <c r="H5" s="43" t="s">
        <v>1106</v>
      </c>
      <c r="I5" s="798" t="e">
        <f>ROUND(E31/D31,2)</f>
        <v>#VALUE!</v>
      </c>
      <c r="J5" s="2433"/>
      <c r="K5" s="2433"/>
      <c r="L5" s="2433"/>
      <c r="M5" s="2433"/>
      <c r="N5" s="2433"/>
      <c r="O5" s="2433"/>
      <c r="P5" s="2433"/>
    </row>
    <row r="6" spans="1:16" ht="15" thickBot="1">
      <c r="A6" s="1522"/>
      <c r="B6" s="3334" t="s">
        <v>1111</v>
      </c>
      <c r="C6" s="3334"/>
      <c r="D6" s="43" t="e">
        <f>ROUND($D$3*E6/$E$3,2)</f>
        <v>#REF!</v>
      </c>
      <c r="E6" s="44">
        <f>E3-E5</f>
        <v>1279.97</v>
      </c>
      <c r="F6" s="2433"/>
      <c r="G6" s="1524" t="s">
        <v>1112</v>
      </c>
      <c r="H6" s="45" t="s">
        <v>1113</v>
      </c>
      <c r="I6" s="2429" t="e">
        <f>ROUND(F31/D31,2)</f>
        <v>#VALUE!</v>
      </c>
      <c r="J6" s="2433"/>
      <c r="K6" s="2433"/>
      <c r="L6" s="2433"/>
      <c r="M6" s="2433"/>
      <c r="N6" s="2433"/>
      <c r="O6" s="2433"/>
      <c r="P6" s="2433"/>
    </row>
    <row r="7" spans="1:16" ht="15.75" thickBot="1">
      <c r="A7" s="3326"/>
      <c r="B7" s="3327"/>
      <c r="C7" s="3328"/>
      <c r="D7" s="1519" t="s">
        <v>1107</v>
      </c>
      <c r="E7" s="1523" t="s">
        <v>1114</v>
      </c>
      <c r="F7" s="2433"/>
      <c r="G7" s="2430" t="s">
        <v>1115</v>
      </c>
      <c r="H7" s="94"/>
      <c r="I7" s="2431"/>
      <c r="J7" s="2433"/>
      <c r="K7" s="2433"/>
      <c r="L7" s="2433"/>
      <c r="M7" s="2433"/>
      <c r="N7" s="2433"/>
      <c r="O7" s="2433"/>
      <c r="P7" s="2433"/>
    </row>
    <row r="8" spans="1:16">
      <c r="A8" s="42" t="s">
        <v>1116</v>
      </c>
      <c r="B8" s="45" t="s">
        <v>1117</v>
      </c>
      <c r="C8" s="43" t="s">
        <v>1118</v>
      </c>
      <c r="D8" s="43" t="e">
        <f t="shared" ref="D8:D15" si="0">ROUND($D$3*E8/$E$3,2)</f>
        <v>#REF!</v>
      </c>
      <c r="E8" s="46">
        <f>SUMIF('数据-基础表'!BB10:BK10,"地上",'数据-基础表'!BB5:BK5)</f>
        <v>1279.97</v>
      </c>
      <c r="F8" s="2433"/>
      <c r="G8" s="2433"/>
      <c r="H8" s="2433"/>
      <c r="I8" s="2433"/>
      <c r="J8" s="2433"/>
      <c r="K8" s="2433"/>
      <c r="L8" s="2433"/>
      <c r="M8" s="2433"/>
      <c r="N8" s="2433"/>
      <c r="O8" s="2433"/>
      <c r="P8" s="2433"/>
    </row>
    <row r="9" spans="1:16">
      <c r="A9" s="1524"/>
      <c r="B9" s="1525"/>
      <c r="C9" s="43" t="s">
        <v>1119</v>
      </c>
      <c r="D9" s="43" t="e">
        <f t="shared" si="0"/>
        <v>#REF!</v>
      </c>
      <c r="E9" s="47">
        <v>0</v>
      </c>
      <c r="F9" s="2433"/>
      <c r="G9" s="2433"/>
      <c r="H9" s="2433"/>
      <c r="I9" s="2433"/>
      <c r="J9" s="2433"/>
      <c r="K9" s="2433"/>
      <c r="L9" s="2433"/>
      <c r="M9" s="2433"/>
      <c r="N9" s="2433"/>
      <c r="O9" s="2433"/>
      <c r="P9" s="2433"/>
    </row>
    <row r="10" spans="1:16">
      <c r="A10" s="1524"/>
      <c r="B10" s="1525"/>
      <c r="C10" s="43" t="s">
        <v>1128</v>
      </c>
      <c r="D10" s="43" t="e">
        <f t="shared" si="0"/>
        <v>#REF!</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4"/>
      <c r="B11" s="1525"/>
      <c r="C11" s="43" t="s">
        <v>1120</v>
      </c>
      <c r="D11" s="43" t="e">
        <f t="shared" si="0"/>
        <v>#REF!</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4"/>
      <c r="B12" s="1525"/>
      <c r="C12" s="43" t="s">
        <v>1121</v>
      </c>
      <c r="D12" s="43" t="e">
        <f t="shared" si="0"/>
        <v>#REF!</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4"/>
      <c r="B13" s="1525"/>
      <c r="C13" s="43" t="s">
        <v>1122</v>
      </c>
      <c r="D13" s="43" t="e">
        <f t="shared" si="0"/>
        <v>#REF!</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4"/>
      <c r="B14" s="1525"/>
      <c r="C14" s="43" t="s">
        <v>1134</v>
      </c>
      <c r="D14" s="43" t="e">
        <f t="shared" si="0"/>
        <v>#REF!</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4"/>
      <c r="B15" s="1525"/>
      <c r="C15" s="43" t="s">
        <v>1129</v>
      </c>
      <c r="D15" s="43" t="e">
        <f t="shared" si="0"/>
        <v>#REF!</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2"/>
      <c r="B16" s="1525"/>
      <c r="C16" s="45" t="s">
        <v>1123</v>
      </c>
      <c r="D16" s="45" t="e">
        <f>SUM(D8:D15)</f>
        <v>#REF!</v>
      </c>
      <c r="E16" s="48">
        <f>SUM(E8:E15)</f>
        <v>1279.97</v>
      </c>
      <c r="F16" s="2433"/>
      <c r="G16" s="2433"/>
      <c r="H16" s="1526" t="s">
        <v>1135</v>
      </c>
      <c r="I16" s="1527"/>
      <c r="J16" s="1067"/>
      <c r="K16" s="3323" t="s">
        <v>1135</v>
      </c>
      <c r="L16" s="3324"/>
      <c r="M16" s="3324"/>
      <c r="N16" s="3324"/>
      <c r="O16" s="3324"/>
      <c r="P16" s="3325"/>
    </row>
    <row r="17" spans="1:19" ht="15">
      <c r="A17" s="1528" t="s">
        <v>1136</v>
      </c>
      <c r="B17" s="1529" t="s">
        <v>1137</v>
      </c>
      <c r="C17" s="1530" t="s">
        <v>1138</v>
      </c>
      <c r="D17" s="1531" t="s">
        <v>1126</v>
      </c>
      <c r="E17" s="1532" t="s">
        <v>1127</v>
      </c>
      <c r="F17" s="1533"/>
      <c r="G17" s="1534"/>
      <c r="H17" s="1535" t="s">
        <v>1139</v>
      </c>
      <c r="I17" s="1536" t="s">
        <v>1124</v>
      </c>
      <c r="J17" s="1067"/>
      <c r="K17" s="3320" t="s">
        <v>1140</v>
      </c>
      <c r="L17" s="3321"/>
      <c r="M17" s="3322"/>
      <c r="N17" s="3320" t="s">
        <v>1141</v>
      </c>
      <c r="O17" s="3321"/>
      <c r="P17" s="3322"/>
      <c r="R17" s="765" t="s">
        <v>1142</v>
      </c>
      <c r="S17" s="53"/>
    </row>
    <row r="18" spans="1:19" ht="15">
      <c r="A18" s="1524"/>
      <c r="B18" s="1521"/>
      <c r="C18" s="1537"/>
      <c r="D18" s="1538"/>
      <c r="E18" s="1539" t="s">
        <v>1143</v>
      </c>
      <c r="F18" s="1540" t="s">
        <v>1144</v>
      </c>
      <c r="G18" s="1541" t="s">
        <v>1145</v>
      </c>
      <c r="H18" s="975" t="s">
        <v>1146</v>
      </c>
      <c r="I18" s="1542" t="s">
        <v>1147</v>
      </c>
      <c r="J18" s="1067"/>
      <c r="K18" s="975" t="s">
        <v>1148</v>
      </c>
      <c r="L18" s="1543" t="s">
        <v>1149</v>
      </c>
      <c r="M18" s="798" t="s">
        <v>1150</v>
      </c>
      <c r="N18" s="975" t="s">
        <v>1148</v>
      </c>
      <c r="O18" s="1543" t="s">
        <v>1149</v>
      </c>
      <c r="P18" s="798" t="s">
        <v>1150</v>
      </c>
      <c r="R18" s="43" t="s">
        <v>1151</v>
      </c>
      <c r="S18" s="43" t="s">
        <v>1152</v>
      </c>
    </row>
    <row r="19" spans="1:19">
      <c r="A19" s="1544"/>
      <c r="B19" s="45" t="s">
        <v>1125</v>
      </c>
      <c r="C19" s="3110" t="s">
        <v>3568</v>
      </c>
      <c r="D19" s="43" t="e">
        <f>ROUND($D$3*E19/$E$3,2)</f>
        <v>#REF!</v>
      </c>
      <c r="E19" s="51">
        <f t="shared" ref="E19:E26" si="1">SUM(F19:G19)</f>
        <v>94.89</v>
      </c>
      <c r="F19" s="2552">
        <f>'数据-基础表'!I13</f>
        <v>94.89</v>
      </c>
      <c r="G19" s="1239"/>
      <c r="H19" s="633" t="e">
        <f>ROUND($D$3*I19/$E$3,2)</f>
        <v>#REF!</v>
      </c>
      <c r="I19" s="46" t="e">
        <f t="shared" ref="I19:I26" si="2">IF($I$17="自定义",P19,M19)</f>
        <v>#VALUE!</v>
      </c>
      <c r="J19" s="1067"/>
      <c r="K19" s="633" t="e">
        <f t="shared" ref="K19:K26" si="3">ROUND(E$28*E19/E$27,2)</f>
        <v>#VALUE!</v>
      </c>
      <c r="L19" s="43">
        <f t="shared" ref="L19:L26" si="4">ROUND(IF(COUNTIF(C19,"*住宅*")&gt;0,E$29*E19/E$32,0),2)</f>
        <v>0</v>
      </c>
      <c r="M19" s="46" t="e">
        <f>K19+L19</f>
        <v>#VALUE!</v>
      </c>
      <c r="N19" s="1545"/>
      <c r="O19" s="1546"/>
      <c r="P19" s="46">
        <f>N19+O19</f>
        <v>0</v>
      </c>
      <c r="R19" s="43" t="e">
        <f t="shared" ref="R19:S26" si="5">D19+H19</f>
        <v>#REF!</v>
      </c>
      <c r="S19" s="51" t="e">
        <f t="shared" si="5"/>
        <v>#VALUE!</v>
      </c>
    </row>
    <row r="20" spans="1:19">
      <c r="A20" s="1544"/>
      <c r="B20" s="45" t="s">
        <v>1153</v>
      </c>
      <c r="C20" s="3110"/>
      <c r="D20" s="43" t="e">
        <f t="shared" ref="D20:D26" si="6">ROUND($D$3*E20/$E$3,2)</f>
        <v>#REF!</v>
      </c>
      <c r="E20" s="51">
        <f t="shared" si="1"/>
        <v>0</v>
      </c>
      <c r="F20" s="2552"/>
      <c r="G20" s="1239"/>
      <c r="H20" s="633" t="e">
        <f t="shared" ref="H20:H26" si="7">ROUND($D$3*I20/$E$3,2)</f>
        <v>#REF!</v>
      </c>
      <c r="I20" s="46" t="e">
        <f t="shared" si="2"/>
        <v>#VALUE!</v>
      </c>
      <c r="J20" s="1067"/>
      <c r="K20" s="633" t="e">
        <f t="shared" si="3"/>
        <v>#VALUE!</v>
      </c>
      <c r="L20" s="43">
        <f t="shared" si="4"/>
        <v>0</v>
      </c>
      <c r="M20" s="46" t="e">
        <f t="shared" ref="M20:M26" si="8">K20+L20</f>
        <v>#VALUE!</v>
      </c>
      <c r="N20" s="1545"/>
      <c r="O20" s="1546"/>
      <c r="P20" s="46">
        <f t="shared" ref="P20:P26" si="9">N20+O20</f>
        <v>0</v>
      </c>
      <c r="R20" s="43" t="e">
        <f t="shared" si="5"/>
        <v>#REF!</v>
      </c>
      <c r="S20" s="51" t="e">
        <f t="shared" si="5"/>
        <v>#VALUE!</v>
      </c>
    </row>
    <row r="21" spans="1:19">
      <c r="A21" s="1544"/>
      <c r="B21" s="45" t="s">
        <v>1153</v>
      </c>
      <c r="C21" s="3110"/>
      <c r="D21" s="43" t="e">
        <f t="shared" si="6"/>
        <v>#REF!</v>
      </c>
      <c r="E21" s="51">
        <f t="shared" si="1"/>
        <v>0</v>
      </c>
      <c r="F21" s="2552"/>
      <c r="G21" s="1239"/>
      <c r="H21" s="633" t="e">
        <f t="shared" si="7"/>
        <v>#REF!</v>
      </c>
      <c r="I21" s="46" t="e">
        <f t="shared" si="2"/>
        <v>#VALUE!</v>
      </c>
      <c r="J21" s="1067"/>
      <c r="K21" s="633" t="e">
        <f t="shared" si="3"/>
        <v>#VALUE!</v>
      </c>
      <c r="L21" s="43">
        <f t="shared" si="4"/>
        <v>0</v>
      </c>
      <c r="M21" s="46" t="e">
        <f t="shared" si="8"/>
        <v>#VALUE!</v>
      </c>
      <c r="N21" s="1545"/>
      <c r="O21" s="1546"/>
      <c r="P21" s="46">
        <f t="shared" si="9"/>
        <v>0</v>
      </c>
      <c r="R21" s="43" t="e">
        <f t="shared" si="5"/>
        <v>#REF!</v>
      </c>
      <c r="S21" s="51" t="e">
        <f t="shared" si="5"/>
        <v>#VALUE!</v>
      </c>
    </row>
    <row r="22" spans="1:19">
      <c r="A22" s="1544"/>
      <c r="B22" s="45" t="s">
        <v>1153</v>
      </c>
      <c r="C22" s="3111"/>
      <c r="D22" s="43" t="e">
        <f t="shared" si="6"/>
        <v>#REF!</v>
      </c>
      <c r="E22" s="51">
        <f t="shared" si="1"/>
        <v>0</v>
      </c>
      <c r="F22" s="2553"/>
      <c r="G22" s="2554"/>
      <c r="H22" s="633" t="e">
        <f t="shared" si="7"/>
        <v>#REF!</v>
      </c>
      <c r="I22" s="46" t="e">
        <f t="shared" si="2"/>
        <v>#VALUE!</v>
      </c>
      <c r="J22" s="1067"/>
      <c r="K22" s="633" t="e">
        <f t="shared" si="3"/>
        <v>#VALUE!</v>
      </c>
      <c r="L22" s="43">
        <f t="shared" si="4"/>
        <v>0</v>
      </c>
      <c r="M22" s="46" t="e">
        <f t="shared" si="8"/>
        <v>#VALUE!</v>
      </c>
      <c r="N22" s="1545"/>
      <c r="O22" s="1546"/>
      <c r="P22" s="46">
        <f t="shared" si="9"/>
        <v>0</v>
      </c>
      <c r="R22" s="43" t="e">
        <f t="shared" si="5"/>
        <v>#REF!</v>
      </c>
      <c r="S22" s="51" t="e">
        <f t="shared" si="5"/>
        <v>#VALUE!</v>
      </c>
    </row>
    <row r="23" spans="1:19">
      <c r="A23" s="1544"/>
      <c r="B23" s="45" t="s">
        <v>1153</v>
      </c>
      <c r="C23" s="3111"/>
      <c r="D23" s="43" t="e">
        <f>ROUND($D$3*E23/$E$3,2)</f>
        <v>#REF!</v>
      </c>
      <c r="E23" s="51">
        <f>SUM(F23:G23)</f>
        <v>0</v>
      </c>
      <c r="F23" s="2553"/>
      <c r="G23" s="2554"/>
      <c r="H23" s="633" t="e">
        <f>ROUND($D$3*I23/$E$3,2)</f>
        <v>#REF!</v>
      </c>
      <c r="I23" s="46" t="e">
        <f t="shared" si="2"/>
        <v>#VALUE!</v>
      </c>
      <c r="J23" s="1067"/>
      <c r="K23" s="633" t="e">
        <f t="shared" si="3"/>
        <v>#VALUE!</v>
      </c>
      <c r="L23" s="43">
        <f t="shared" si="4"/>
        <v>0</v>
      </c>
      <c r="M23" s="46" t="e">
        <f t="shared" si="8"/>
        <v>#VALUE!</v>
      </c>
      <c r="N23" s="1545"/>
      <c r="O23" s="1546"/>
      <c r="P23" s="46">
        <f t="shared" si="9"/>
        <v>0</v>
      </c>
      <c r="R23" s="43" t="e">
        <f t="shared" si="5"/>
        <v>#REF!</v>
      </c>
      <c r="S23" s="51" t="e">
        <f t="shared" si="5"/>
        <v>#VALUE!</v>
      </c>
    </row>
    <row r="24" spans="1:19">
      <c r="A24" s="1544"/>
      <c r="B24" s="45" t="s">
        <v>1153</v>
      </c>
      <c r="C24" s="3111"/>
      <c r="D24" s="43" t="e">
        <f>ROUND($D$3*E24/$E$3,2)</f>
        <v>#REF!</v>
      </c>
      <c r="E24" s="51">
        <f>SUM(F24:G24)</f>
        <v>0</v>
      </c>
      <c r="F24" s="2553"/>
      <c r="G24" s="2554"/>
      <c r="H24" s="633" t="e">
        <f>ROUND($D$3*I24/$E$3,2)</f>
        <v>#REF!</v>
      </c>
      <c r="I24" s="46" t="e">
        <f t="shared" si="2"/>
        <v>#VALUE!</v>
      </c>
      <c r="J24" s="1067"/>
      <c r="K24" s="633" t="e">
        <f t="shared" si="3"/>
        <v>#VALUE!</v>
      </c>
      <c r="L24" s="43">
        <f t="shared" si="4"/>
        <v>0</v>
      </c>
      <c r="M24" s="46" t="e">
        <f t="shared" si="8"/>
        <v>#VALUE!</v>
      </c>
      <c r="N24" s="1545"/>
      <c r="O24" s="1546"/>
      <c r="P24" s="46">
        <f t="shared" si="9"/>
        <v>0</v>
      </c>
      <c r="R24" s="43" t="e">
        <f t="shared" si="5"/>
        <v>#REF!</v>
      </c>
      <c r="S24" s="51" t="e">
        <f t="shared" si="5"/>
        <v>#VALUE!</v>
      </c>
    </row>
    <row r="25" spans="1:19">
      <c r="A25" s="1544"/>
      <c r="B25" s="45" t="s">
        <v>1153</v>
      </c>
      <c r="C25" s="3111"/>
      <c r="D25" s="43" t="e">
        <f t="shared" si="6"/>
        <v>#REF!</v>
      </c>
      <c r="E25" s="51">
        <f t="shared" si="1"/>
        <v>0</v>
      </c>
      <c r="F25" s="2553"/>
      <c r="G25" s="2554"/>
      <c r="H25" s="42" t="e">
        <f t="shared" si="7"/>
        <v>#REF!</v>
      </c>
      <c r="I25" s="46" t="e">
        <f t="shared" si="2"/>
        <v>#VALUE!</v>
      </c>
      <c r="J25" s="1067"/>
      <c r="K25" s="633" t="e">
        <f t="shared" si="3"/>
        <v>#VALUE!</v>
      </c>
      <c r="L25" s="43">
        <f t="shared" si="4"/>
        <v>0</v>
      </c>
      <c r="M25" s="46" t="e">
        <f t="shared" si="8"/>
        <v>#VALUE!</v>
      </c>
      <c r="N25" s="1545"/>
      <c r="O25" s="1546"/>
      <c r="P25" s="46">
        <f t="shared" si="9"/>
        <v>0</v>
      </c>
      <c r="R25" s="43" t="e">
        <f t="shared" si="5"/>
        <v>#REF!</v>
      </c>
      <c r="S25" s="51" t="e">
        <f t="shared" si="5"/>
        <v>#VALUE!</v>
      </c>
    </row>
    <row r="26" spans="1:19">
      <c r="A26" s="1544"/>
      <c r="B26" s="45" t="s">
        <v>1153</v>
      </c>
      <c r="C26" s="52"/>
      <c r="D26" s="43" t="e">
        <f t="shared" si="6"/>
        <v>#REF!</v>
      </c>
      <c r="E26" s="51">
        <f t="shared" si="1"/>
        <v>0</v>
      </c>
      <c r="F26" s="2553"/>
      <c r="G26" s="2554"/>
      <c r="H26" s="42" t="e">
        <f t="shared" si="7"/>
        <v>#REF!</v>
      </c>
      <c r="I26" s="46" t="e">
        <f t="shared" si="2"/>
        <v>#VALUE!</v>
      </c>
      <c r="J26" s="1067"/>
      <c r="K26" s="42" t="e">
        <f t="shared" si="3"/>
        <v>#VALUE!</v>
      </c>
      <c r="L26" s="45">
        <f t="shared" si="4"/>
        <v>0</v>
      </c>
      <c r="M26" s="48" t="e">
        <f t="shared" si="8"/>
        <v>#VALUE!</v>
      </c>
      <c r="N26" s="1547"/>
      <c r="O26" s="1548"/>
      <c r="P26" s="48">
        <f t="shared" si="9"/>
        <v>0</v>
      </c>
      <c r="R26" s="43" t="e">
        <f t="shared" si="5"/>
        <v>#REF!</v>
      </c>
      <c r="S26" s="51" t="e">
        <f t="shared" si="5"/>
        <v>#VALUE!</v>
      </c>
    </row>
    <row r="27" spans="1:19" ht="15.75" thickBot="1">
      <c r="A27" s="1544"/>
      <c r="B27" s="43"/>
      <c r="C27" s="1549" t="s">
        <v>1154</v>
      </c>
      <c r="D27" s="1068" t="e">
        <f>SUM(D19:D26)</f>
        <v>#REF!</v>
      </c>
      <c r="E27" s="1069" t="str">
        <f>IF(SUM(E19:E26)='数据-基础表'!BA5,SUM(E19:E26),IF(F27="地上面积有误","面积有误","地下面积有误"))</f>
        <v>面积有误</v>
      </c>
      <c r="F27" s="1068" t="str">
        <f>IF(SUM(F19:F26)=E8,SUM(F19:F26),"地上面积有误")</f>
        <v>地上面积有误</v>
      </c>
      <c r="G27" s="1070">
        <f>SUM(G19:G26)</f>
        <v>0</v>
      </c>
      <c r="H27" s="1071" t="e">
        <f>SUM(H19:H26)</f>
        <v>#REF!</v>
      </c>
      <c r="I27" s="1072" t="e">
        <f>SUM(I19:I26)</f>
        <v>#VALUE!</v>
      </c>
      <c r="J27" s="1067"/>
      <c r="K27" s="1073" t="e">
        <f>SUM(K19:K26)</f>
        <v>#VALUE!</v>
      </c>
      <c r="L27" s="781">
        <f>SUM(L19:L26)</f>
        <v>0</v>
      </c>
      <c r="M27" s="1074" t="e">
        <f>SUM(M19:M26)</f>
        <v>#VALUE!</v>
      </c>
      <c r="N27" s="1073">
        <f t="shared" ref="N27:O27" si="10">SUM(N19:N26)</f>
        <v>0</v>
      </c>
      <c r="O27" s="781">
        <f t="shared" si="10"/>
        <v>0</v>
      </c>
      <c r="P27" s="93">
        <f>SUM(P19:P26)</f>
        <v>0</v>
      </c>
      <c r="R27" s="963" t="e">
        <f>IF(SUM(R19:R26)=$D$3,SUM(R19:R26),SUM(R19:R26)&amp;"误差"&amp;ROUND(SUM(R19:R26)-$D$3,2))</f>
        <v>#REF!</v>
      </c>
      <c r="S27" s="43" t="e">
        <f>IF(SUM(S19:S26)=$E$3,SUM(S19:S26),SUM(S19:S26)&amp;"误差"&amp;ROUND(SUM(S19:S26)-E3,2))</f>
        <v>#VALUE!</v>
      </c>
    </row>
    <row r="28" spans="1:19">
      <c r="A28" s="1544"/>
      <c r="B28" s="45" t="s">
        <v>1155</v>
      </c>
      <c r="C28" s="53" t="s">
        <v>1156</v>
      </c>
      <c r="D28" s="43" t="e">
        <f>ROUND($D$3*E28/$E$3,2)</f>
        <v>#REF!</v>
      </c>
      <c r="E28" s="51">
        <f>SUM(F28:G28)</f>
        <v>0</v>
      </c>
      <c r="F28" s="53">
        <f>'数据-基础表'!BQ5+'数据-基础表'!BS5</f>
        <v>0</v>
      </c>
      <c r="G28" s="54">
        <f>'数据-基础表'!BR5+'数据-基础表'!BT5</f>
        <v>0</v>
      </c>
      <c r="H28" s="2433"/>
      <c r="I28" s="2433"/>
      <c r="J28" s="2433"/>
      <c r="K28" s="2433"/>
      <c r="L28" s="2433"/>
      <c r="M28" s="2433"/>
      <c r="N28" s="2433"/>
      <c r="O28" s="2433"/>
      <c r="P28" s="2433"/>
    </row>
    <row r="29" spans="1:19">
      <c r="A29" s="1544"/>
      <c r="B29" s="45" t="s">
        <v>1155</v>
      </c>
      <c r="C29" s="1550" t="s">
        <v>1157</v>
      </c>
      <c r="D29" s="43" t="e">
        <f>ROUND($D$3*E29/$E$3,2)</f>
        <v>#REF!</v>
      </c>
      <c r="E29" s="51">
        <f>SUM(F29:G29)</f>
        <v>0</v>
      </c>
      <c r="F29" s="55">
        <f>'数据-基础表'!BM5+'数据-基础表'!BO5</f>
        <v>0</v>
      </c>
      <c r="G29" s="48">
        <f>'数据-基础表'!BN5+'数据-基础表'!BP5</f>
        <v>0</v>
      </c>
      <c r="H29" s="2433"/>
      <c r="I29" s="2433"/>
      <c r="J29" s="2433"/>
      <c r="K29" s="2433"/>
      <c r="L29" s="2433"/>
      <c r="M29" s="2433"/>
      <c r="N29" s="2433"/>
      <c r="O29" s="2433"/>
      <c r="P29" s="2433"/>
    </row>
    <row r="30" spans="1:19" ht="15">
      <c r="A30" s="1544"/>
      <c r="B30" s="45"/>
      <c r="C30" s="1551" t="s">
        <v>1154</v>
      </c>
      <c r="D30" s="1068" t="e">
        <f>SUM(D28:D29)</f>
        <v>#REF!</v>
      </c>
      <c r="E30" s="1068">
        <f>SUM(E28:E29)</f>
        <v>0</v>
      </c>
      <c r="F30" s="1068">
        <f>SUM(F28:F29)</f>
        <v>0</v>
      </c>
      <c r="G30" s="1070">
        <f>SUM(G28:G29)</f>
        <v>0</v>
      </c>
      <c r="H30" s="2433"/>
      <c r="I30" s="2433"/>
      <c r="J30" s="2433"/>
      <c r="K30" s="2433"/>
      <c r="L30" s="2433"/>
      <c r="M30" s="2433"/>
      <c r="N30" s="2433"/>
      <c r="O30" s="2433"/>
      <c r="P30" s="2433"/>
    </row>
    <row r="31" spans="1:19" ht="15.75" thickBot="1">
      <c r="A31" s="1552"/>
      <c r="B31" s="95"/>
      <c r="C31" s="781" t="s">
        <v>1158</v>
      </c>
      <c r="D31" s="639" t="e">
        <f>D27+D30</f>
        <v>#REF!</v>
      </c>
      <c r="E31" s="639" t="e">
        <f>E27+E30</f>
        <v>#VALUE!</v>
      </c>
      <c r="F31" s="640" t="e">
        <f>F27+F30</f>
        <v>#VALUE!</v>
      </c>
      <c r="G31" s="641">
        <f>G27+G30</f>
        <v>0</v>
      </c>
      <c r="H31" s="2433"/>
      <c r="I31" s="2433"/>
      <c r="J31" s="2433"/>
      <c r="K31" s="2433"/>
      <c r="L31" s="2433"/>
      <c r="M31" s="2433"/>
      <c r="N31" s="2433"/>
      <c r="O31" s="2433"/>
      <c r="P31" s="2433"/>
    </row>
    <row r="32" spans="1:19">
      <c r="A32" s="1521"/>
      <c r="B32" s="1521" t="s">
        <v>1159</v>
      </c>
      <c r="C32" s="1521"/>
      <c r="D32" s="1521"/>
      <c r="E32" s="986">
        <f>SUMIF(C19:C26,"*住宅*",E19:E26)</f>
        <v>0</v>
      </c>
      <c r="F32" s="1521"/>
      <c r="G32" s="1521"/>
      <c r="H32" s="2433"/>
      <c r="I32" s="2433"/>
      <c r="J32" s="2433"/>
      <c r="K32" s="2433"/>
      <c r="L32" s="2433"/>
      <c r="M32" s="2433"/>
      <c r="N32" s="2433"/>
      <c r="O32" s="2433"/>
      <c r="P32" s="2433"/>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5"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1160</v>
      </c>
      <c r="B1" s="642"/>
      <c r="C1" s="120"/>
      <c r="D1" s="1555"/>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7" customFormat="1" ht="15.75" thickBot="1">
      <c r="A2" s="1557" t="s">
        <v>1161</v>
      </c>
      <c r="B2" s="979">
        <f>项目基本情况!D3</f>
        <v>45467</v>
      </c>
      <c r="C2" s="1067"/>
      <c r="D2" s="1558"/>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3"/>
      <c r="AO2" s="2433"/>
      <c r="AP2" s="2433"/>
      <c r="AQ2" s="2433"/>
      <c r="AR2" s="2433"/>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7" customFormat="1" ht="15" thickBot="1">
      <c r="A3" s="1445"/>
      <c r="B3" s="1537"/>
      <c r="C3" s="1067"/>
      <c r="D3" s="1558"/>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3"/>
      <c r="AO3" s="2433"/>
      <c r="AP3" s="2433"/>
      <c r="AQ3" s="2433"/>
      <c r="AR3" s="2433"/>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7"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2"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3"/>
      <c r="AO4" s="2433"/>
      <c r="AP4" s="2433"/>
      <c r="AQ4" s="2433"/>
      <c r="AR4" s="2433"/>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8" customFormat="1" ht="42">
      <c r="A5" s="1566" t="s">
        <v>1168</v>
      </c>
      <c r="B5" s="1567" t="s">
        <v>1169</v>
      </c>
      <c r="C5" s="1568" t="s">
        <v>1170</v>
      </c>
      <c r="D5" s="1569" t="s">
        <v>1171</v>
      </c>
      <c r="E5" s="503" t="s">
        <v>1172</v>
      </c>
      <c r="F5" s="1570" t="s">
        <v>1173</v>
      </c>
      <c r="G5" s="503" t="s">
        <v>1174</v>
      </c>
      <c r="H5" s="503" t="s">
        <v>1175</v>
      </c>
      <c r="I5" s="503" t="s">
        <v>1176</v>
      </c>
      <c r="J5" s="1243" t="s">
        <v>1177</v>
      </c>
      <c r="K5" s="1571" t="s">
        <v>1178</v>
      </c>
      <c r="L5" s="1572" t="s">
        <v>1179</v>
      </c>
      <c r="M5" s="1573" t="s">
        <v>1180</v>
      </c>
      <c r="N5" s="1574" t="s">
        <v>3571</v>
      </c>
      <c r="O5" s="1572" t="s">
        <v>1181</v>
      </c>
      <c r="P5" s="1575" t="s">
        <v>1182</v>
      </c>
      <c r="Q5" s="57" t="s">
        <v>1183</v>
      </c>
      <c r="R5" s="1576" t="s">
        <v>1184</v>
      </c>
      <c r="S5" s="1577" t="s">
        <v>1185</v>
      </c>
      <c r="T5" s="1578" t="s">
        <v>1186</v>
      </c>
      <c r="U5" s="980" t="s">
        <v>1187</v>
      </c>
      <c r="V5" s="503" t="s">
        <v>1188</v>
      </c>
      <c r="W5" s="503" t="s">
        <v>1189</v>
      </c>
      <c r="X5" s="59"/>
      <c r="Y5" s="58" t="s">
        <v>1190</v>
      </c>
      <c r="Z5" s="1097" t="s">
        <v>1187</v>
      </c>
      <c r="AA5" s="503" t="s">
        <v>1188</v>
      </c>
      <c r="AB5" s="503" t="s">
        <v>1189</v>
      </c>
      <c r="AC5" s="59"/>
      <c r="AD5" s="59" t="s">
        <v>1190</v>
      </c>
      <c r="AE5" s="980" t="s">
        <v>1191</v>
      </c>
      <c r="AF5" s="503" t="s">
        <v>1192</v>
      </c>
      <c r="AG5" s="58" t="s">
        <v>1193</v>
      </c>
      <c r="AH5" s="980" t="s">
        <v>1194</v>
      </c>
      <c r="AI5" s="1097" t="s">
        <v>1195</v>
      </c>
      <c r="AJ5" s="1097" t="s">
        <v>1196</v>
      </c>
      <c r="AK5" s="503" t="s">
        <v>1197</v>
      </c>
      <c r="AL5" s="503" t="s">
        <v>1198</v>
      </c>
      <c r="AM5" s="58" t="s">
        <v>1199</v>
      </c>
      <c r="AN5" s="1579" t="s">
        <v>1200</v>
      </c>
      <c r="AO5" s="1450" t="s">
        <v>1201</v>
      </c>
      <c r="AP5" s="963" t="s">
        <v>1202</v>
      </c>
      <c r="AQ5" s="1580" t="s">
        <v>1203</v>
      </c>
      <c r="AR5" s="1580"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1" t="str">
        <f>'数据-汇总表'!C19</f>
        <v>1层商业</v>
      </c>
      <c r="B6" s="1582" t="str">
        <f>IF(A6=0,"","经营性")</f>
        <v>经营性</v>
      </c>
      <c r="C6" s="1583" t="s">
        <v>673</v>
      </c>
      <c r="D6" s="801">
        <f>SUMIF(项目基本情况!C$12:I$12,C6,项目基本情况!C$14:I$14)</f>
        <v>40</v>
      </c>
      <c r="E6" s="800">
        <f>IF(B6="","",SUMIF(项目基本情况!C$12:I$12,C6,项目基本情况!C$13:I$13))</f>
        <v>52240</v>
      </c>
      <c r="F6" s="60">
        <f>SUMIF(项目基本情况!C$12:I$12,C6,项目基本情况!C$15:I$15)</f>
        <v>18.55</v>
      </c>
      <c r="G6" s="61">
        <f>IF(ISERROR(ROUND(POWER(1+H6,D6-F6)*(POWER(1+H6,F6)-1)/(POWER(1+H6,D6)-1),3)),0,ROUND(POWER(1+H6,D6-F6)*(POWER(1+H6,F6)-1)/(POWER(1+H6,D6)-1),3))</f>
        <v>0.65300000000000002</v>
      </c>
      <c r="H6" s="687">
        <v>0.04</v>
      </c>
      <c r="I6" s="687">
        <v>4.4999999999999998E-2</v>
      </c>
      <c r="J6" s="62">
        <v>5.5E-2</v>
      </c>
      <c r="K6" s="965">
        <f>SUMIF('数据-汇总表'!C$19:C$33,A6,'数据-汇总表'!E$19:E$33)</f>
        <v>94.89</v>
      </c>
      <c r="L6" s="688">
        <v>3500</v>
      </c>
      <c r="M6" s="63">
        <f t="shared" ref="M6:M14" si="0">ROUND(K6*L6/10000,0)</f>
        <v>33</v>
      </c>
      <c r="N6" s="686">
        <f>N20</f>
        <v>0.78</v>
      </c>
      <c r="O6" s="63" t="str">
        <f>IF($N$5="成新度","——",ROUND(M6*N6,0))</f>
        <v>——</v>
      </c>
      <c r="P6" s="64" t="str">
        <f>IF($N$5="成新度","——",M6-O6)</f>
        <v>——</v>
      </c>
      <c r="Q6" s="689">
        <v>0.2</v>
      </c>
      <c r="R6" s="65" t="e">
        <f ca="1">SUMIF('数据-汇总表'!C$19:C$33,A6,'数据-汇总表'!R$19:R$27)</f>
        <v>#REF!</v>
      </c>
      <c r="S6" s="49" t="e">
        <f>IF('数据-汇总表'!$I$17="按面积比例",SUMIF('数据-汇总表'!C$19:C$33,A6,'数据-汇总表'!K$19:K$33),SUMIF('数据-汇总表'!C$19:C$33,A6,'数据-汇总表'!N$19:N$33))</f>
        <v>#VALUE!</v>
      </c>
      <c r="T6" s="1088" t="e">
        <f>ROUND($L$14*S6/10000,0)</f>
        <v>#VALUE!</v>
      </c>
      <c r="U6" s="3121"/>
      <c r="V6" s="66"/>
      <c r="W6" s="66"/>
      <c r="X6" s="974"/>
      <c r="Y6" s="67"/>
      <c r="Z6" s="68"/>
      <c r="AA6" s="62"/>
      <c r="AB6" s="62"/>
      <c r="AC6" s="974"/>
      <c r="AD6" s="69"/>
      <c r="AE6" s="975">
        <f ca="1">IF(AN6="",0,SUMIF(INDIRECT("'"&amp;AN6&amp;"'"&amp;"!E:E"),$AE$5,INDIRECT("'"&amp;AN6&amp;"'"&amp;"!F:F")))</f>
        <v>0</v>
      </c>
      <c r="AF6" s="73"/>
      <c r="AG6" s="129">
        <f>IF(AF6="",0,AE6-AF6)</f>
        <v>0</v>
      </c>
      <c r="AH6" s="70"/>
      <c r="AI6" s="72">
        <v>365</v>
      </c>
      <c r="AJ6" s="73"/>
      <c r="AK6" s="74"/>
      <c r="AL6" s="75"/>
      <c r="AM6" s="76"/>
      <c r="AN6" s="1584"/>
      <c r="AO6" s="50" t="e">
        <f ca="1">SUMIF(INDIRECT("'"&amp;AN6&amp;"'"&amp;"!A:A"),"总价",INDIRECT("'"&amp;AN6&amp;"'"&amp;"!B:B"))</f>
        <v>#REF!</v>
      </c>
      <c r="AP6" s="1585">
        <f>IF(C6="住宅",K6*L6,0)</f>
        <v>0</v>
      </c>
      <c r="AQ6" s="50" t="e">
        <f>ROUND($L$14*$N$14*S6/10000,0)</f>
        <v>#VALUE!</v>
      </c>
      <c r="AR6" s="50" t="e">
        <f>ROUND($L$14*(1-$N$14)*S6/10000,0)</f>
        <v>#VALUE!</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7" customFormat="1" ht="14.25">
      <c r="A7" s="1581">
        <f>'数据-汇总表'!C20</f>
        <v>0</v>
      </c>
      <c r="B7" s="1582" t="str">
        <f t="shared" ref="B7:B13" si="1">IF(A7=0,"","经营性")</f>
        <v/>
      </c>
      <c r="C7" s="1583"/>
      <c r="D7" s="801">
        <f>SUMIF(项目基本情况!C$12:I$12,C7,项目基本情况!C$14:I$14)</f>
        <v>0</v>
      </c>
      <c r="E7" s="800"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7"/>
      <c r="I7" s="687"/>
      <c r="J7" s="62"/>
      <c r="K7" s="965">
        <f>SUMIF('数据-汇总表'!C$19:C$33,A7,'数据-汇总表'!E$19:E$33)</f>
        <v>0</v>
      </c>
      <c r="L7" s="688"/>
      <c r="M7" s="63">
        <f t="shared" si="0"/>
        <v>0</v>
      </c>
      <c r="N7" s="686"/>
      <c r="O7" s="63" t="str">
        <f t="shared" ref="O7:O14" si="3">IF($N$5="成新度","——",ROUND(M7*N7,0))</f>
        <v>——</v>
      </c>
      <c r="P7" s="64" t="str">
        <f t="shared" ref="P7:P14" si="4">IF($N$5="成新度","——",M7-O7)</f>
        <v>——</v>
      </c>
      <c r="Q7" s="689"/>
      <c r="R7" s="65">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1"/>
      <c r="V7" s="66"/>
      <c r="W7" s="66"/>
      <c r="X7" s="974"/>
      <c r="Y7" s="67"/>
      <c r="Z7" s="68"/>
      <c r="AA7" s="62"/>
      <c r="AB7" s="62"/>
      <c r="AC7" s="974"/>
      <c r="AD7" s="69"/>
      <c r="AE7" s="975">
        <f t="shared" ref="AE7:AE13" ca="1" si="6">IF(AN7="",0,SUMIF(INDIRECT("'"&amp;AN7&amp;"'"&amp;"!E:E"),$AE$5,INDIRECT("'"&amp;AN7&amp;"'"&amp;"!F:F")))</f>
        <v>0</v>
      </c>
      <c r="AF7" s="73"/>
      <c r="AG7" s="129">
        <f t="shared" ref="AG7:AG13" si="7">IF(AF7="",0,AE7-AF7)</f>
        <v>0</v>
      </c>
      <c r="AH7" s="70"/>
      <c r="AI7" s="72"/>
      <c r="AJ7" s="73"/>
      <c r="AK7" s="74"/>
      <c r="AL7" s="75"/>
      <c r="AM7" s="76"/>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7" customFormat="1" ht="14.25">
      <c r="A8" s="1581">
        <f>'数据-汇总表'!C21</f>
        <v>0</v>
      </c>
      <c r="B8" s="1582" t="str">
        <f t="shared" si="1"/>
        <v/>
      </c>
      <c r="C8" s="1583"/>
      <c r="D8" s="801">
        <f>SUMIF(项目基本情况!C$12:I$12,C8,项目基本情况!C$14:I$14)</f>
        <v>0</v>
      </c>
      <c r="E8" s="800" t="str">
        <f>IF(B8="","",SUMIF(项目基本情况!C$12:I$12,C8,项目基本情况!C$13:I$13))</f>
        <v/>
      </c>
      <c r="F8" s="60">
        <f>SUMIF(项目基本情况!C$12:I$12,C8,项目基本情况!C$15:I$15)</f>
        <v>0</v>
      </c>
      <c r="G8" s="61">
        <f t="shared" si="2"/>
        <v>0</v>
      </c>
      <c r="H8" s="687"/>
      <c r="I8" s="687"/>
      <c r="J8" s="62"/>
      <c r="K8" s="965">
        <f>SUMIF('数据-汇总表'!C$19:C$33,A8,'数据-汇总表'!E$19:E$33)</f>
        <v>0</v>
      </c>
      <c r="L8" s="688"/>
      <c r="M8" s="63">
        <f>ROUND(K8*L8/10000,0)</f>
        <v>0</v>
      </c>
      <c r="N8" s="686"/>
      <c r="O8" s="63" t="str">
        <f t="shared" si="3"/>
        <v>——</v>
      </c>
      <c r="P8" s="64" t="str">
        <f t="shared" si="4"/>
        <v>——</v>
      </c>
      <c r="Q8" s="689"/>
      <c r="R8" s="65">
        <f ca="1">SUMIF('数据-汇总表'!C$19:C$33,A8,'数据-汇总表'!R$19:R$27)</f>
        <v>0</v>
      </c>
      <c r="S8" s="49">
        <f>IF('数据-汇总表'!$I$17="按面积比例",SUMIF('数据-汇总表'!C$19:C$33,A8,'数据-汇总表'!K$19:K$33),SUMIF('数据-汇总表'!C$19:C$33,A8,'数据-汇总表'!N$19:N$33))</f>
        <v>0</v>
      </c>
      <c r="T8" s="1088">
        <f t="shared" si="5"/>
        <v>0</v>
      </c>
      <c r="U8" s="3122"/>
      <c r="V8" s="690"/>
      <c r="W8" s="690"/>
      <c r="X8" s="974"/>
      <c r="Y8" s="67"/>
      <c r="Z8" s="68"/>
      <c r="AA8" s="62"/>
      <c r="AB8" s="62"/>
      <c r="AC8" s="974"/>
      <c r="AD8" s="69"/>
      <c r="AE8" s="975">
        <f t="shared" ca="1" si="6"/>
        <v>0</v>
      </c>
      <c r="AF8" s="73"/>
      <c r="AG8" s="129">
        <f t="shared" si="7"/>
        <v>0</v>
      </c>
      <c r="AH8" s="691"/>
      <c r="AI8" s="72"/>
      <c r="AJ8" s="73"/>
      <c r="AK8" s="692"/>
      <c r="AL8" s="693"/>
      <c r="AM8" s="105"/>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7" customFormat="1" ht="14.25">
      <c r="A9" s="1581">
        <f>'数据-汇总表'!C22</f>
        <v>0</v>
      </c>
      <c r="B9" s="1582" t="str">
        <f t="shared" si="1"/>
        <v/>
      </c>
      <c r="C9" s="1583"/>
      <c r="D9" s="801">
        <f>SUMIF(项目基本情况!C$12:I$12,C9,项目基本情况!C$14:I$14)</f>
        <v>0</v>
      </c>
      <c r="E9" s="800" t="str">
        <f>IF(B9="","",SUMIF(项目基本情况!C$12:I$12,C9,项目基本情况!C$13:I$13))</f>
        <v/>
      </c>
      <c r="F9" s="60">
        <f>SUMIF(项目基本情况!C$12:I$12,C9,项目基本情况!C$15:I$15)</f>
        <v>0</v>
      </c>
      <c r="G9" s="61">
        <f t="shared" si="2"/>
        <v>0</v>
      </c>
      <c r="H9" s="62"/>
      <c r="I9" s="62"/>
      <c r="J9" s="62"/>
      <c r="K9" s="965">
        <f>SUMIF('数据-汇总表'!C$19:C$33,A9,'数据-汇总表'!E$19:E$33)</f>
        <v>0</v>
      </c>
      <c r="L9" s="688"/>
      <c r="M9" s="63">
        <f t="shared" si="0"/>
        <v>0</v>
      </c>
      <c r="N9" s="686"/>
      <c r="O9" s="63" t="str">
        <f t="shared" si="3"/>
        <v>——</v>
      </c>
      <c r="P9" s="64" t="str">
        <f t="shared" si="4"/>
        <v>——</v>
      </c>
      <c r="Q9" s="77"/>
      <c r="R9" s="65">
        <f ca="1">SUMIF('数据-汇总表'!C$19:C$33,A9,'数据-汇总表'!R$19:R$27)</f>
        <v>0</v>
      </c>
      <c r="S9" s="49">
        <f>IF('数据-汇总表'!$I$17="按面积比例",SUMIF('数据-汇总表'!C$19:C$33,A9,'数据-汇总表'!K$19:K$33),SUMIF('数据-汇总表'!C$19:C$33,A9,'数据-汇总表'!N$19:N$33))</f>
        <v>0</v>
      </c>
      <c r="T9" s="1088">
        <f t="shared" si="5"/>
        <v>0</v>
      </c>
      <c r="U9" s="3121"/>
      <c r="V9" s="66"/>
      <c r="W9" s="66"/>
      <c r="X9" s="974"/>
      <c r="Y9" s="67"/>
      <c r="Z9" s="68"/>
      <c r="AA9" s="62"/>
      <c r="AB9" s="62"/>
      <c r="AC9" s="974"/>
      <c r="AD9" s="69"/>
      <c r="AE9" s="975">
        <f t="shared" ca="1" si="6"/>
        <v>0</v>
      </c>
      <c r="AF9" s="73"/>
      <c r="AG9" s="129">
        <f t="shared" si="7"/>
        <v>0</v>
      </c>
      <c r="AH9" s="70"/>
      <c r="AI9" s="72"/>
      <c r="AJ9" s="73"/>
      <c r="AK9" s="74"/>
      <c r="AL9" s="75"/>
      <c r="AM9" s="76"/>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7" customFormat="1" ht="14.25">
      <c r="A10" s="1581">
        <f>'数据-汇总表'!C23</f>
        <v>0</v>
      </c>
      <c r="B10" s="1582" t="str">
        <f t="shared" si="1"/>
        <v/>
      </c>
      <c r="C10" s="1583"/>
      <c r="D10" s="801">
        <f>SUMIF(项目基本情况!C$12:I$12,C10,项目基本情况!C$14:I$14)</f>
        <v>0</v>
      </c>
      <c r="E10" s="800" t="str">
        <f>IF(B10="","",SUMIF(项目基本情况!C$12:I$12,C10,项目基本情况!C$13:I$13))</f>
        <v/>
      </c>
      <c r="F10" s="60">
        <f>SUMIF(项目基本情况!C$12:I$12,C10,项目基本情况!C$15:I$15)</f>
        <v>0</v>
      </c>
      <c r="G10" s="61">
        <f t="shared" si="2"/>
        <v>0</v>
      </c>
      <c r="H10" s="62"/>
      <c r="I10" s="62"/>
      <c r="J10" s="62"/>
      <c r="K10" s="965">
        <f>SUMIF('数据-汇总表'!C$19:C$33,A10,'数据-汇总表'!E$19:E$33)</f>
        <v>0</v>
      </c>
      <c r="L10" s="688"/>
      <c r="M10" s="63">
        <f t="shared" si="0"/>
        <v>0</v>
      </c>
      <c r="N10" s="686"/>
      <c r="O10" s="63" t="str">
        <f t="shared" si="3"/>
        <v>——</v>
      </c>
      <c r="P10" s="64" t="str">
        <f t="shared" si="4"/>
        <v>——</v>
      </c>
      <c r="Q10" s="77"/>
      <c r="R10" s="65">
        <f ca="1">SUMIF('数据-汇总表'!C$19:C$33,A10,'数据-汇总表'!R$19:R$27)</f>
        <v>0</v>
      </c>
      <c r="S10" s="49">
        <f>IF('数据-汇总表'!$I$17="按面积比例",SUMIF('数据-汇总表'!C$19:C$33,A10,'数据-汇总表'!K$19:K$33),SUMIF('数据-汇总表'!C$19:C$33,A10,'数据-汇总表'!N$19:N$33))</f>
        <v>0</v>
      </c>
      <c r="T10" s="1088">
        <f t="shared" si="5"/>
        <v>0</v>
      </c>
      <c r="U10" s="3121"/>
      <c r="V10" s="66"/>
      <c r="W10" s="66"/>
      <c r="X10" s="974"/>
      <c r="Y10" s="67"/>
      <c r="Z10" s="68"/>
      <c r="AA10" s="62"/>
      <c r="AB10" s="62"/>
      <c r="AC10" s="974"/>
      <c r="AD10" s="69"/>
      <c r="AE10" s="975">
        <f t="shared" ca="1" si="6"/>
        <v>0</v>
      </c>
      <c r="AF10" s="73"/>
      <c r="AG10" s="129">
        <f t="shared" si="7"/>
        <v>0</v>
      </c>
      <c r="AH10" s="70"/>
      <c r="AI10" s="72"/>
      <c r="AJ10" s="73"/>
      <c r="AK10" s="74"/>
      <c r="AL10" s="75"/>
      <c r="AM10" s="76"/>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7" customFormat="1" ht="14.25">
      <c r="A11" s="1581">
        <f>'数据-汇总表'!C24</f>
        <v>0</v>
      </c>
      <c r="B11" s="1582" t="str">
        <f t="shared" si="1"/>
        <v/>
      </c>
      <c r="C11" s="1583"/>
      <c r="D11" s="801">
        <f>SUMIF(项目基本情况!C$12:I$12,C11,项目基本情况!C$14:I$14)</f>
        <v>0</v>
      </c>
      <c r="E11" s="800" t="str">
        <f>IF(B11="","",SUMIF(项目基本情况!C$12:I$12,C11,项目基本情况!C$13:I$13))</f>
        <v/>
      </c>
      <c r="F11" s="60">
        <f>SUMIF(项目基本情况!C$12:I$12,C11,项目基本情况!C$15:I$15)</f>
        <v>0</v>
      </c>
      <c r="G11" s="61">
        <f t="shared" si="2"/>
        <v>0</v>
      </c>
      <c r="H11" s="62"/>
      <c r="I11" s="62"/>
      <c r="J11" s="62"/>
      <c r="K11" s="965">
        <f>SUMIF('数据-汇总表'!C$19:C$33,A11,'数据-汇总表'!E$19:E$33)</f>
        <v>0</v>
      </c>
      <c r="L11" s="78"/>
      <c r="M11" s="63">
        <f t="shared" si="0"/>
        <v>0</v>
      </c>
      <c r="N11" s="686"/>
      <c r="O11" s="63" t="str">
        <f t="shared" si="3"/>
        <v>——</v>
      </c>
      <c r="P11" s="64" t="str">
        <f t="shared" si="4"/>
        <v>——</v>
      </c>
      <c r="Q11" s="77"/>
      <c r="R11" s="65">
        <f ca="1">SUMIF('数据-汇总表'!C$19:C$33,A11,'数据-汇总表'!R$19:R$27)</f>
        <v>0</v>
      </c>
      <c r="S11" s="49">
        <f>IF('数据-汇总表'!$I$17="按面积比例",SUMIF('数据-汇总表'!C$19:C$33,A11,'数据-汇总表'!K$19:K$33),SUMIF('数据-汇总表'!C$19:C$33,A11,'数据-汇总表'!N$19:N$33))</f>
        <v>0</v>
      </c>
      <c r="T11" s="1088">
        <f t="shared" si="5"/>
        <v>0</v>
      </c>
      <c r="U11" s="3121"/>
      <c r="V11" s="62"/>
      <c r="W11" s="62"/>
      <c r="X11" s="974"/>
      <c r="Y11" s="67"/>
      <c r="Z11" s="80"/>
      <c r="AA11" s="62"/>
      <c r="AB11" s="62"/>
      <c r="AC11" s="974"/>
      <c r="AD11" s="69"/>
      <c r="AE11" s="975">
        <f t="shared" ca="1" si="6"/>
        <v>0</v>
      </c>
      <c r="AF11" s="73"/>
      <c r="AG11" s="129">
        <f t="shared" si="7"/>
        <v>0</v>
      </c>
      <c r="AH11" s="70"/>
      <c r="AI11" s="72"/>
      <c r="AJ11" s="73"/>
      <c r="AK11" s="74"/>
      <c r="AL11" s="75"/>
      <c r="AM11" s="76"/>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7" customFormat="1" ht="14.25">
      <c r="A12" s="1581">
        <f>'数据-汇总表'!C25</f>
        <v>0</v>
      </c>
      <c r="B12" s="1582" t="str">
        <f t="shared" si="1"/>
        <v/>
      </c>
      <c r="C12" s="1583"/>
      <c r="D12" s="801">
        <f>SUMIF(项目基本情况!C$12:I$12,C12,项目基本情况!C$14:I$14)</f>
        <v>0</v>
      </c>
      <c r="E12" s="800"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6"/>
      <c r="O12" s="63" t="str">
        <f t="shared" si="3"/>
        <v>——</v>
      </c>
      <c r="P12" s="64" t="str">
        <f t="shared" si="4"/>
        <v>——</v>
      </c>
      <c r="Q12" s="77"/>
      <c r="R12" s="65">
        <f ca="1">SUMIF('数据-汇总表'!C$19:C$33,A12,'数据-汇总表'!R$19:R$27)</f>
        <v>0</v>
      </c>
      <c r="S12" s="49">
        <f>IF('数据-汇总表'!$I$17="按面积比例",SUMIF('数据-汇总表'!C$19:C$33,A12,'数据-汇总表'!K$19:K$33),SUMIF('数据-汇总表'!C$19:C$33,A12,'数据-汇总表'!N$19:N$33))</f>
        <v>0</v>
      </c>
      <c r="T12" s="1088">
        <f t="shared" si="5"/>
        <v>0</v>
      </c>
      <c r="U12" s="3121"/>
      <c r="V12" s="62"/>
      <c r="W12" s="62"/>
      <c r="X12" s="974"/>
      <c r="Y12" s="67"/>
      <c r="Z12" s="80"/>
      <c r="AA12" s="62"/>
      <c r="AB12" s="62"/>
      <c r="AC12" s="974"/>
      <c r="AD12" s="69"/>
      <c r="AE12" s="975">
        <f t="shared" ca="1" si="6"/>
        <v>0</v>
      </c>
      <c r="AF12" s="73"/>
      <c r="AG12" s="129">
        <f t="shared" si="7"/>
        <v>0</v>
      </c>
      <c r="AH12" s="70"/>
      <c r="AI12" s="72"/>
      <c r="AJ12" s="73"/>
      <c r="AK12" s="74"/>
      <c r="AL12" s="75"/>
      <c r="AM12" s="76"/>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7"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9">
        <f>IF('数据-汇总表'!$I$17="按面积比例",SUMIF('数据-汇总表'!C$19:C$33,A13,'数据-汇总表'!K$19:K$33),SUMIF('数据-汇总表'!C$19:C$33,A13,'数据-汇总表'!N$19:N$33))</f>
        <v>0</v>
      </c>
      <c r="T13" s="1088">
        <f t="shared" si="5"/>
        <v>0</v>
      </c>
      <c r="U13" s="3123"/>
      <c r="V13" s="66"/>
      <c r="W13" s="66"/>
      <c r="X13" s="974"/>
      <c r="Y13" s="67"/>
      <c r="Z13" s="68"/>
      <c r="AA13" s="62"/>
      <c r="AB13" s="62"/>
      <c r="AC13" s="974"/>
      <c r="AD13" s="69"/>
      <c r="AE13" s="975">
        <f t="shared" ca="1" si="6"/>
        <v>0</v>
      </c>
      <c r="AF13" s="73"/>
      <c r="AG13" s="129">
        <f t="shared" si="7"/>
        <v>0</v>
      </c>
      <c r="AH13" s="70"/>
      <c r="AI13" s="72"/>
      <c r="AJ13" s="73"/>
      <c r="AK13" s="74"/>
      <c r="AL13" s="75"/>
      <c r="AM13" s="76"/>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7" customFormat="1" ht="14.25">
      <c r="A14" s="1586" t="s">
        <v>1205</v>
      </c>
      <c r="B14" s="1582" t="s">
        <v>1206</v>
      </c>
      <c r="C14" s="1587" t="s">
        <v>1205</v>
      </c>
      <c r="D14" s="801"/>
      <c r="E14" s="800"/>
      <c r="F14" s="60"/>
      <c r="G14" s="61"/>
      <c r="H14" s="964"/>
      <c r="I14" s="964"/>
      <c r="J14" s="964"/>
      <c r="K14" s="965">
        <f>SUMIF('数据-汇总表'!C$19:C$33,A14,'数据-汇总表'!E$19:E$33)</f>
        <v>0</v>
      </c>
      <c r="L14" s="78"/>
      <c r="M14" s="63">
        <f t="shared" si="0"/>
        <v>0</v>
      </c>
      <c r="N14" s="79"/>
      <c r="O14" s="63" t="str">
        <f t="shared" si="3"/>
        <v>——</v>
      </c>
      <c r="P14" s="64" t="str">
        <f t="shared" si="4"/>
        <v>——</v>
      </c>
      <c r="Q14" s="968"/>
      <c r="R14" s="65"/>
      <c r="S14" s="49"/>
      <c r="T14" s="1088"/>
      <c r="U14" s="633"/>
      <c r="V14" s="970"/>
      <c r="W14" s="970"/>
      <c r="X14" s="971"/>
      <c r="Y14" s="972"/>
      <c r="Z14" s="53"/>
      <c r="AA14" s="973"/>
      <c r="AB14" s="973"/>
      <c r="AC14" s="974"/>
      <c r="AD14" s="971"/>
      <c r="AE14" s="975"/>
      <c r="AF14" s="50"/>
      <c r="AG14" s="129"/>
      <c r="AH14" s="975"/>
      <c r="AI14" s="1262"/>
      <c r="AJ14" s="50"/>
      <c r="AK14" s="976"/>
      <c r="AL14" s="977"/>
      <c r="AM14" s="978"/>
      <c r="AN14" s="2443"/>
      <c r="AO14" s="2433"/>
      <c r="AP14" s="2433"/>
      <c r="AQ14" s="2433"/>
      <c r="AR14" s="2433"/>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7" customFormat="1" ht="27">
      <c r="A15" s="1586" t="s">
        <v>1207</v>
      </c>
      <c r="B15" s="1582" t="s">
        <v>1206</v>
      </c>
      <c r="C15" s="1587" t="s">
        <v>1208</v>
      </c>
      <c r="D15" s="801"/>
      <c r="E15" s="800"/>
      <c r="F15" s="60"/>
      <c r="G15" s="61"/>
      <c r="H15" s="964"/>
      <c r="I15" s="964"/>
      <c r="J15" s="964"/>
      <c r="K15" s="965">
        <f>SUMIF('数据-汇总表'!C$19:C$33,A15,'数据-汇总表'!E$19:E$33)</f>
        <v>0</v>
      </c>
      <c r="L15" s="966"/>
      <c r="M15" s="63"/>
      <c r="N15" s="967"/>
      <c r="O15" s="63"/>
      <c r="P15" s="64"/>
      <c r="Q15" s="968"/>
      <c r="R15" s="65"/>
      <c r="S15" s="49"/>
      <c r="T15" s="1088"/>
      <c r="U15" s="633"/>
      <c r="V15" s="970"/>
      <c r="W15" s="970"/>
      <c r="X15" s="971"/>
      <c r="Y15" s="972"/>
      <c r="Z15" s="53"/>
      <c r="AA15" s="973"/>
      <c r="AB15" s="973"/>
      <c r="AC15" s="974"/>
      <c r="AD15" s="971"/>
      <c r="AE15" s="975"/>
      <c r="AF15" s="50"/>
      <c r="AG15" s="129"/>
      <c r="AH15" s="975"/>
      <c r="AI15" s="1262"/>
      <c r="AJ15" s="50"/>
      <c r="AK15" s="976"/>
      <c r="AL15" s="977"/>
      <c r="AM15" s="978"/>
      <c r="AN15" s="2443"/>
      <c r="AO15" s="2433"/>
      <c r="AP15" s="2433"/>
      <c r="AQ15" s="2433"/>
      <c r="AR15" s="2433"/>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7" customFormat="1" ht="15.75" thickBot="1">
      <c r="A16" s="1588" t="s">
        <v>1209</v>
      </c>
      <c r="B16" s="81"/>
      <c r="C16" s="779"/>
      <c r="D16" s="1589"/>
      <c r="E16" s="81"/>
      <c r="F16" s="81"/>
      <c r="G16" s="82">
        <f>ROUND(SUMPRODUCT(G6:G13,K6:K13)/SUMPRODUCT((G6:G13&gt;0)*(K6:K13)),3)</f>
        <v>0.65300000000000002</v>
      </c>
      <c r="H16" s="83">
        <f>ROUND(SUMPRODUCT(H6:H13,K6:K13)/SUMPRODUCT((H6:H13&gt;0)*(K6:K13)),3)</f>
        <v>0.04</v>
      </c>
      <c r="I16" s="84"/>
      <c r="J16" s="84"/>
      <c r="K16" s="85">
        <f>SUM(K6:K15)</f>
        <v>94.89</v>
      </c>
      <c r="L16" s="86">
        <f>ROUND(M16*10000/SUM(K6:K14),0)</f>
        <v>3478</v>
      </c>
      <c r="M16" s="86">
        <f>SUM(M6:M14)</f>
        <v>33</v>
      </c>
      <c r="N16" s="87">
        <f>ROUND(SUMPRODUCT(M6:M14,N6:N14)/M16,3)</f>
        <v>0.78</v>
      </c>
      <c r="O16" s="86">
        <f>SUM(O6:O14)</f>
        <v>0</v>
      </c>
      <c r="P16" s="86">
        <f>SUM(P6:P14)</f>
        <v>0</v>
      </c>
      <c r="Q16" s="88">
        <f>ROUND(SUMPRODUCT(Q6:Q13,K6:K13)/SUMPRODUCT((Q6:Q13&gt;0)*(K6:K13)),2)</f>
        <v>0.2</v>
      </c>
      <c r="R16" s="969" t="e">
        <f ca="1">SUM(R6:R13)</f>
        <v>#REF!</v>
      </c>
      <c r="S16" s="89" t="e">
        <f>SUM(S6:S13)</f>
        <v>#VALUE!</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3"/>
      <c r="AP16" s="2433"/>
      <c r="AQ16" s="2433"/>
      <c r="AR16" s="2433"/>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6" t="s">
        <v>1210</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1" t="s">
        <v>1211</v>
      </c>
      <c r="B19" s="96">
        <v>0</v>
      </c>
      <c r="C19" s="2555" t="s">
        <v>2299</v>
      </c>
      <c r="D19" s="2446"/>
      <c r="E19" s="2433"/>
      <c r="F19" s="2433"/>
      <c r="G19" s="2433"/>
      <c r="H19" s="2433"/>
      <c r="I19" s="2433"/>
      <c r="J19" s="2433"/>
      <c r="K19" s="2444"/>
      <c r="L19" s="2444"/>
      <c r="M19" s="2443"/>
      <c r="N19" s="2443">
        <v>2011</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2" t="s">
        <v>1212</v>
      </c>
      <c r="B20" s="97">
        <v>2</v>
      </c>
      <c r="C20" s="2556" t="s">
        <v>2297</v>
      </c>
      <c r="D20" s="2446"/>
      <c r="E20" s="2433"/>
      <c r="F20" s="2433"/>
      <c r="G20" s="2433"/>
      <c r="H20" s="2433"/>
      <c r="I20" s="2433"/>
      <c r="J20" s="2433"/>
      <c r="K20" s="2444"/>
      <c r="L20" s="2444"/>
      <c r="M20" s="2443"/>
      <c r="N20" s="2443">
        <f>ROUND(1-(2024-N19)/60,2)</f>
        <v>0.78</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3" t="s">
        <v>1213</v>
      </c>
      <c r="B21" s="97">
        <v>2</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2" t="s">
        <v>1214</v>
      </c>
      <c r="B22" s="98">
        <f>B19+B20</f>
        <v>2</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3"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4"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5"/>
      <c r="B25" s="1537"/>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7" t="s">
        <v>1217</v>
      </c>
      <c r="B26" s="1595"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6" t="s">
        <v>1220</v>
      </c>
      <c r="B27" s="100">
        <v>160</v>
      </c>
      <c r="C27" s="2557" t="s">
        <v>2301</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7"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8" t="s">
        <v>1222</v>
      </c>
      <c r="B29" s="104">
        <f ca="1">'成本法 (元)'!C10</f>
        <v>255994</v>
      </c>
      <c r="C29" s="2558" t="s">
        <v>2288</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599" t="s">
        <v>1223</v>
      </c>
      <c r="B30" s="634">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7"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0" t="s">
        <v>1225</v>
      </c>
      <c r="B32" s="635">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6" t="s">
        <v>1226</v>
      </c>
      <c r="B33" s="636">
        <v>0.03</v>
      </c>
      <c r="C33" s="2559" t="s">
        <v>2289</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7" t="s">
        <v>1227</v>
      </c>
      <c r="B34" s="105"/>
      <c r="C34" s="2559" t="s">
        <v>2290</v>
      </c>
      <c r="D34" s="2454" t="s">
        <v>2298</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7" t="s">
        <v>1228</v>
      </c>
      <c r="B35" s="102">
        <v>200</v>
      </c>
      <c r="C35" s="2559" t="s">
        <v>2291</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8" t="s">
        <v>1229</v>
      </c>
      <c r="B36" s="106">
        <v>1.4999999999999999E-2</v>
      </c>
      <c r="C36" s="2559" t="s">
        <v>2292</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599" t="s">
        <v>1230</v>
      </c>
      <c r="B37" s="107">
        <v>0.02</v>
      </c>
      <c r="C37" s="2559" t="s">
        <v>2293</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7" t="s">
        <v>1231</v>
      </c>
      <c r="B38" s="105">
        <v>0.02</v>
      </c>
      <c r="C38" s="2559" t="s">
        <v>2293</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0"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3572</v>
      </c>
      <c r="B40" s="1011">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6"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1"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1"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2" t="s">
        <v>1236</v>
      </c>
      <c r="B44" s="111">
        <v>7.0000000000000007E-2</v>
      </c>
      <c r="C44" s="2559" t="s">
        <v>2302</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2" t="s">
        <v>1237</v>
      </c>
      <c r="B45" s="109">
        <v>0.03</v>
      </c>
      <c r="C45" s="2558" t="s">
        <v>2294</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2" t="s">
        <v>1238</v>
      </c>
      <c r="B46" s="109">
        <v>0.02</v>
      </c>
      <c r="C46" s="2558" t="s">
        <v>2295</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3" t="s">
        <v>1239</v>
      </c>
      <c r="B47" s="112"/>
      <c r="C47" s="2561" t="s">
        <v>2303</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4" t="s">
        <v>1240</v>
      </c>
      <c r="B48" s="113">
        <v>0.03</v>
      </c>
      <c r="C48" s="2558" t="s">
        <v>2294</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0" t="s">
        <v>1241</v>
      </c>
      <c r="B49" s="109">
        <v>5.0000000000000001E-4</v>
      </c>
      <c r="C49" s="2558" t="s">
        <v>2296</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5"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8"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5" t="s">
        <v>1244</v>
      </c>
      <c r="B52" s="116">
        <f>SUMIF(A54:A63,B53,B54:B63)</f>
        <v>24</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7" t="s">
        <v>1245</v>
      </c>
      <c r="B53" s="1606" t="s">
        <v>184</v>
      </c>
      <c r="C53" s="2434" t="s">
        <v>1246</v>
      </c>
      <c r="D53" s="2560" t="s">
        <v>2300</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7" t="s">
        <v>1247</v>
      </c>
      <c r="B54" s="71">
        <f>C54</f>
        <v>30</v>
      </c>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7" t="s">
        <v>1248</v>
      </c>
      <c r="B55" s="71">
        <f t="shared" ref="B55:B59" si="12">C55</f>
        <v>24</v>
      </c>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7" t="s">
        <v>1249</v>
      </c>
      <c r="B56" s="71">
        <f t="shared" si="12"/>
        <v>18</v>
      </c>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7" t="s">
        <v>1250</v>
      </c>
      <c r="B57" s="71">
        <f t="shared" si="12"/>
        <v>12</v>
      </c>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7" t="s">
        <v>1251</v>
      </c>
      <c r="B58" s="71">
        <f t="shared" si="12"/>
        <v>3</v>
      </c>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7" t="s">
        <v>1252</v>
      </c>
      <c r="B59" s="71">
        <f t="shared" si="1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7" t="s">
        <v>1253</v>
      </c>
      <c r="B60" s="71"/>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7" t="s">
        <v>1254</v>
      </c>
      <c r="B61" s="71"/>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7" t="s">
        <v>1255</v>
      </c>
      <c r="B62" s="71"/>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8"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0"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0"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0"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0"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0"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17" customWidth="1"/>
    <col min="2" max="2" width="24.5" style="507" customWidth="1"/>
    <col min="3" max="3" width="31.87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7" customWidth="1"/>
    <col min="19" max="29" width="9" style="747"/>
    <col min="30" max="16384" width="9" style="1517"/>
  </cols>
  <sheetData>
    <row r="1" spans="1:29" s="2254" customFormat="1" ht="18.75" thickBot="1">
      <c r="A1" s="3335" t="s">
        <v>2280</v>
      </c>
      <c r="B1" s="3336"/>
      <c r="C1" s="3336"/>
      <c r="D1" s="3336"/>
      <c r="E1" s="3336"/>
      <c r="F1" s="3336"/>
      <c r="G1" s="333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0"/>
      <c r="E2" s="2255"/>
      <c r="F2" s="2258"/>
      <c r="G2" s="2257" t="s">
        <v>2276</v>
      </c>
      <c r="H2" s="747"/>
      <c r="I2" s="747"/>
      <c r="J2" s="747"/>
      <c r="K2" s="747"/>
      <c r="L2" s="747"/>
      <c r="M2" s="747"/>
      <c r="N2" s="747"/>
      <c r="O2" s="747"/>
      <c r="P2" s="747"/>
      <c r="Q2" s="747"/>
    </row>
    <row r="3" spans="1:29" ht="36.75" thickBot="1">
      <c r="A3" s="2242" t="s">
        <v>2277</v>
      </c>
      <c r="B3" s="2259" t="s">
        <v>2249</v>
      </c>
      <c r="C3" s="2260" t="s">
        <v>2278</v>
      </c>
      <c r="D3" s="2261"/>
      <c r="E3" s="2243" t="s">
        <v>2277</v>
      </c>
      <c r="F3" s="2262" t="s">
        <v>2250</v>
      </c>
      <c r="G3" s="2263" t="s">
        <v>2279</v>
      </c>
      <c r="H3" s="747"/>
      <c r="I3" s="747"/>
      <c r="J3" s="747"/>
      <c r="K3" s="747"/>
      <c r="L3" s="747"/>
      <c r="M3" s="747"/>
      <c r="N3" s="747"/>
      <c r="O3" s="747"/>
      <c r="P3" s="747"/>
      <c r="Q3" s="747"/>
    </row>
    <row r="4" spans="1:29" ht="43.5" thickBot="1">
      <c r="A4" s="2243"/>
      <c r="B4" s="314" t="s">
        <v>2251</v>
      </c>
      <c r="C4" s="3223" t="s">
        <v>3579</v>
      </c>
      <c r="D4" s="2261"/>
      <c r="E4" s="2264"/>
      <c r="F4" s="1277" t="s">
        <v>2252</v>
      </c>
      <c r="G4" s="2265" t="s">
        <v>2253</v>
      </c>
      <c r="H4" s="747"/>
      <c r="I4" s="747"/>
      <c r="J4" s="747"/>
      <c r="K4" s="747"/>
      <c r="L4" s="747"/>
      <c r="M4" s="747"/>
      <c r="N4" s="747"/>
      <c r="O4" s="747"/>
      <c r="P4" s="747"/>
      <c r="Q4" s="747"/>
    </row>
    <row r="5" spans="1:29" ht="24.75">
      <c r="A5" s="2243"/>
      <c r="B5" s="314" t="s">
        <v>2254</v>
      </c>
      <c r="C5" s="3222" t="s">
        <v>3580</v>
      </c>
      <c r="D5" s="2261"/>
      <c r="E5" s="2264"/>
      <c r="F5" s="314" t="s">
        <v>2255</v>
      </c>
      <c r="G5" s="2265" t="s">
        <v>2256</v>
      </c>
      <c r="H5" s="747"/>
      <c r="I5" s="747"/>
      <c r="J5" s="747"/>
      <c r="K5" s="747"/>
      <c r="L5" s="747"/>
      <c r="M5" s="747"/>
      <c r="N5" s="747"/>
      <c r="O5" s="747"/>
      <c r="P5" s="747"/>
      <c r="Q5" s="747"/>
    </row>
    <row r="6" spans="1:29" ht="85.5">
      <c r="A6" s="2243"/>
      <c r="B6" s="314" t="s">
        <v>2257</v>
      </c>
      <c r="C6" s="3224" t="s">
        <v>3581</v>
      </c>
      <c r="D6" s="2261"/>
      <c r="E6" s="2264"/>
      <c r="F6" s="314" t="s">
        <v>2258</v>
      </c>
      <c r="G6" s="2265" t="s">
        <v>2259</v>
      </c>
      <c r="H6" s="747"/>
      <c r="I6" s="747"/>
      <c r="J6" s="747"/>
      <c r="K6" s="747"/>
      <c r="L6" s="747"/>
      <c r="M6" s="747"/>
      <c r="N6" s="747"/>
      <c r="O6" s="747"/>
      <c r="P6" s="747"/>
      <c r="Q6" s="747"/>
    </row>
    <row r="7" spans="1:29" ht="157.5" thickBot="1">
      <c r="A7" s="2243"/>
      <c r="B7" s="314" t="s">
        <v>2255</v>
      </c>
      <c r="C7" s="3225" t="s">
        <v>3583</v>
      </c>
      <c r="D7" s="2240"/>
      <c r="E7" s="2266"/>
      <c r="F7" s="2267" t="s">
        <v>2260</v>
      </c>
      <c r="G7" s="2268" t="s">
        <v>2261</v>
      </c>
      <c r="H7" s="747"/>
      <c r="I7" s="747"/>
      <c r="J7" s="747"/>
      <c r="K7" s="747"/>
      <c r="L7" s="747"/>
      <c r="M7" s="747"/>
      <c r="N7" s="747"/>
      <c r="O7" s="747"/>
      <c r="P7" s="747"/>
      <c r="Q7" s="747"/>
    </row>
    <row r="8" spans="1:29" ht="28.5">
      <c r="A8" s="2243"/>
      <c r="B8" s="314" t="s">
        <v>2258</v>
      </c>
      <c r="C8" s="3225" t="s">
        <v>3584</v>
      </c>
      <c r="D8" s="2240"/>
      <c r="E8" s="2240"/>
      <c r="F8" s="120"/>
      <c r="G8" s="120"/>
      <c r="H8" s="747"/>
      <c r="I8" s="747"/>
      <c r="J8" s="747"/>
      <c r="K8" s="747"/>
      <c r="L8" s="747"/>
      <c r="M8" s="747"/>
      <c r="N8" s="747"/>
      <c r="O8" s="747"/>
      <c r="P8" s="747"/>
      <c r="Q8" s="747"/>
    </row>
    <row r="9" spans="1:29" ht="57">
      <c r="A9" s="2243"/>
      <c r="B9" s="314" t="s">
        <v>2262</v>
      </c>
      <c r="C9" s="3226" t="s">
        <v>3582</v>
      </c>
      <c r="D9" s="2261"/>
      <c r="E9" s="2240"/>
      <c r="F9" s="120"/>
      <c r="G9" s="120"/>
      <c r="H9" s="747"/>
      <c r="I9" s="747"/>
      <c r="J9" s="747"/>
      <c r="K9" s="747"/>
      <c r="L9" s="747"/>
      <c r="M9" s="747"/>
      <c r="N9" s="747"/>
      <c r="O9" s="747"/>
      <c r="P9" s="747"/>
      <c r="Q9" s="747"/>
    </row>
    <row r="10" spans="1:29" ht="15" thickBot="1">
      <c r="A10" s="2244"/>
      <c r="B10" s="2269" t="s">
        <v>2263</v>
      </c>
      <c r="C10" s="2270"/>
      <c r="D10" s="2261"/>
      <c r="E10" s="2261"/>
      <c r="F10" s="120"/>
      <c r="G10" s="120"/>
      <c r="J10" s="2272"/>
      <c r="M10" s="2272"/>
      <c r="P10" s="2272"/>
      <c r="R10" s="2271"/>
    </row>
    <row r="11" spans="1:29">
      <c r="A11" s="2273"/>
      <c r="B11" s="2240"/>
      <c r="C11" s="2261"/>
      <c r="D11" s="2261"/>
      <c r="E11" s="2261"/>
      <c r="F11" s="2240"/>
      <c r="G11" s="2240"/>
      <c r="J11" s="2272"/>
      <c r="M11" s="2272"/>
      <c r="P11" s="2272"/>
      <c r="R11" s="2271"/>
    </row>
    <row r="12" spans="1:29" s="2254" customFormat="1" ht="18">
      <c r="A12" s="2273"/>
      <c r="B12" s="2240"/>
      <c r="C12" s="2261"/>
      <c r="D12" s="2274"/>
      <c r="E12" s="2261"/>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2281</v>
      </c>
      <c r="B13" s="2274"/>
      <c r="C13" s="2274"/>
      <c r="D13" s="2273"/>
      <c r="E13" s="2274"/>
      <c r="F13" s="2274"/>
      <c r="G13" s="2274"/>
    </row>
    <row r="14" spans="1:29" ht="15" thickBot="1">
      <c r="A14" s="2279"/>
      <c r="B14" s="2279"/>
      <c r="C14" s="2280" t="s">
        <v>2264</v>
      </c>
      <c r="D14" s="2261"/>
      <c r="E14" s="2281"/>
      <c r="F14" s="2281"/>
      <c r="G14" s="2257" t="s">
        <v>2265</v>
      </c>
    </row>
    <row r="15" spans="1:29" ht="38.25">
      <c r="A15" s="2245" t="s">
        <v>2266</v>
      </c>
      <c r="B15" s="2282" t="s">
        <v>2249</v>
      </c>
      <c r="C15" s="2283" t="str">
        <f>C3</f>
        <v>估价对象周边居住用地比例、居住小区规模和社区发展完善程度，综合评价居住社区成熟度一般</v>
      </c>
      <c r="D15" s="2261"/>
      <c r="E15" s="2246" t="s">
        <v>2267</v>
      </c>
      <c r="F15" s="2282" t="s">
        <v>2268</v>
      </c>
      <c r="G15" s="2284" t="str">
        <f>G3</f>
        <v>估价对象位于XX开发区，园区建设成熟度XX，产业集聚程度XX</v>
      </c>
    </row>
    <row r="16" spans="1:29" ht="38.25">
      <c r="A16" s="2247"/>
      <c r="B16" s="2285" t="s">
        <v>2251</v>
      </c>
      <c r="C16" s="2286" t="str">
        <f>C4</f>
        <v>估价对象周边有世茂广场、太古里、三里屯SOHO以及住宅配套商业，人流量较大，商业繁华度较好。</v>
      </c>
      <c r="D16" s="2261"/>
      <c r="E16" s="2248"/>
      <c r="F16" s="2287" t="s">
        <v>2252</v>
      </c>
      <c r="G16" s="2288" t="str">
        <f>G4</f>
        <v>估价对象周边道路状况、公共交通通达情况、停车便捷程度，综合评价交通便捷度较好</v>
      </c>
    </row>
    <row r="17" spans="1:17" ht="25.5">
      <c r="A17" s="2247"/>
      <c r="B17" s="2285" t="s">
        <v>2254</v>
      </c>
      <c r="C17" s="2286" t="str">
        <f>C5</f>
        <v>估价对象位于XX商圈，周边办公楼项目较多，入驻率高，办公集聚程度较好</v>
      </c>
      <c r="D17" s="2240"/>
      <c r="E17" s="2248"/>
      <c r="F17" s="2287" t="s">
        <v>2269</v>
      </c>
      <c r="G17" s="2289"/>
    </row>
    <row r="18" spans="1:17" ht="63.75">
      <c r="A18" s="2247"/>
      <c r="B18" s="2287" t="s">
        <v>2257</v>
      </c>
      <c r="C18" s="2288" t="str">
        <f>C6</f>
        <v>估价对象周边有3路、24路、110路、117路、120路、135路、403路等多条公交线路，距离地铁10号线农业展览馆站约1000米，周边道路网线较密集，通达度较好。综合评价交通便捷度较好。</v>
      </c>
      <c r="D18" s="2240"/>
      <c r="E18" s="2248"/>
      <c r="F18" s="2287" t="s">
        <v>2260</v>
      </c>
      <c r="G18" s="2288" t="str">
        <f>G7</f>
        <v>该园区内是否有污染型企业，绿化情况，卫生条件，整体环境状况判断</v>
      </c>
    </row>
    <row r="19" spans="1:17" ht="25.5">
      <c r="A19" s="2247"/>
      <c r="B19" s="2287" t="s">
        <v>2270</v>
      </c>
      <c r="C19" s="2289"/>
      <c r="D19" s="2261"/>
      <c r="E19" s="2248"/>
      <c r="F19" s="314" t="s">
        <v>2255</v>
      </c>
      <c r="G19" s="2288" t="str">
        <f>G5</f>
        <v>估价对象所在区域公共配套设施齐备情况</v>
      </c>
    </row>
    <row r="20" spans="1:17" ht="51">
      <c r="A20" s="2247"/>
      <c r="B20" s="2287" t="s">
        <v>2271</v>
      </c>
      <c r="C20" s="2286" t="str">
        <f>C9</f>
        <v>估价对象周边有帽子公园、新中街城市森林公园等绿化景观，北京工人体育场、农业展览馆等人文场所，综合评价环境状况较好。</v>
      </c>
      <c r="D20" s="2240"/>
      <c r="E20" s="2248"/>
      <c r="F20" s="314" t="s">
        <v>2258</v>
      </c>
      <c r="G20" s="2288" t="str">
        <f>G6</f>
        <v>估价对象所在区域基础设施水平</v>
      </c>
    </row>
    <row r="21" spans="1:17" ht="127.5">
      <c r="A21" s="2247"/>
      <c r="B21" s="314" t="s">
        <v>2255</v>
      </c>
      <c r="C21" s="2288"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261"/>
      <c r="E21" s="2248"/>
      <c r="F21" s="2287" t="s">
        <v>2272</v>
      </c>
      <c r="G21" s="2290"/>
    </row>
    <row r="22" spans="1:17" ht="13.5" customHeight="1">
      <c r="A22" s="2247"/>
      <c r="B22" s="314" t="s">
        <v>2258</v>
      </c>
      <c r="C22" s="2288" t="str">
        <f>C8</f>
        <v>估价对象所在区域基础设施水平-七通</v>
      </c>
      <c r="D22" s="2261"/>
      <c r="E22" s="2248"/>
      <c r="F22" s="2287" t="s">
        <v>2263</v>
      </c>
      <c r="G22" s="2289"/>
    </row>
    <row r="23" spans="1:17" s="747" customFormat="1" ht="15" thickBot="1">
      <c r="A23" s="2247"/>
      <c r="B23" s="2287" t="s">
        <v>2272</v>
      </c>
      <c r="C23" s="2290"/>
      <c r="D23" s="1609"/>
      <c r="E23" s="2249"/>
      <c r="F23" s="2291" t="s">
        <v>2273</v>
      </c>
      <c r="G23" s="2292"/>
      <c r="H23" s="2271"/>
      <c r="I23" s="2271"/>
      <c r="J23" s="2271"/>
      <c r="K23" s="2271"/>
      <c r="L23" s="2271"/>
      <c r="M23" s="2271"/>
      <c r="N23" s="2271"/>
      <c r="O23" s="2271"/>
      <c r="P23" s="2271"/>
      <c r="Q23" s="2271"/>
    </row>
    <row r="24" spans="1:17" s="747" customFormat="1" ht="15" thickBot="1">
      <c r="A24" s="2250"/>
      <c r="B24" s="2291" t="s">
        <v>2274</v>
      </c>
      <c r="C24" s="2293">
        <f>C10</f>
        <v>0</v>
      </c>
      <c r="D24" s="1609"/>
      <c r="E24" s="2240"/>
      <c r="F24" s="2240"/>
      <c r="G24" s="2240"/>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1666.26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45467</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SUM(D14:D23)</f>
        <v>7703.6198999999997</v>
      </c>
      <c r="C5" s="2294">
        <f ca="1">IF(B5=D14,结果表!H102,ROUND(B5*10000/$B$1,0))</f>
        <v>0</v>
      </c>
      <c r="D5" s="2294" t="e">
        <f>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0"/>
      <c r="C9" s="2456"/>
      <c r="D9" s="2456"/>
      <c r="E9" s="2456"/>
      <c r="F9" s="2457"/>
      <c r="G9" s="2457"/>
      <c r="H9" s="2457"/>
      <c r="I9" s="2457"/>
      <c r="J9" s="2457"/>
      <c r="K9" s="2457"/>
    </row>
    <row r="10" spans="1:11" ht="16.5">
      <c r="A10" s="2294" t="s">
        <v>654</v>
      </c>
      <c r="B10" s="2294">
        <f>IF(E10="",0,ROUND(B1*(E10*365/G10)/10000,0))</f>
        <v>7704</v>
      </c>
      <c r="C10" s="2294" t="s">
        <v>3354</v>
      </c>
      <c r="D10" s="2294" t="s">
        <v>3355</v>
      </c>
      <c r="E10" s="3131">
        <f>铂郡面积表!M15</f>
        <v>5.7</v>
      </c>
      <c r="F10" s="3135" t="s">
        <v>3356</v>
      </c>
      <c r="G10" s="3132">
        <v>4.4999999999999998E-2</v>
      </c>
      <c r="H10" s="2457"/>
      <c r="I10" s="2457"/>
      <c r="J10" s="2457"/>
      <c r="K10" s="2457"/>
    </row>
    <row r="11" spans="1:11" ht="16.5">
      <c r="A11" s="2294" t="s">
        <v>670</v>
      </c>
      <c r="B11" s="1240"/>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铂郡面积表!E15</f>
        <v>1666.26</v>
      </c>
      <c r="C14" s="2300"/>
      <c r="D14" s="2300">
        <f>ROUND(E14*B14/10000,4)</f>
        <v>7703.6198999999997</v>
      </c>
      <c r="E14" s="2300">
        <f>ROUND(E10*365/G10,0)</f>
        <v>46233</v>
      </c>
      <c r="F14" s="2300" t="e">
        <f>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0"/>
      <c r="H15" s="1240"/>
      <c r="I15" s="2301"/>
      <c r="J15" s="2457"/>
      <c r="K15" s="2457"/>
    </row>
    <row r="16" spans="1:11" ht="16.5">
      <c r="A16" s="2299" t="s">
        <v>648</v>
      </c>
      <c r="B16" s="2301"/>
      <c r="C16" s="2301"/>
      <c r="D16" s="2301"/>
      <c r="E16" s="2300" t="e">
        <f t="shared" si="0"/>
        <v>#DIV/0!</v>
      </c>
      <c r="F16" s="2300" t="e">
        <f t="shared" si="1"/>
        <v>#DIV/0!</v>
      </c>
      <c r="G16" s="1240"/>
      <c r="H16" s="1240"/>
      <c r="I16" s="2301"/>
      <c r="J16" s="2457"/>
      <c r="K16" s="2457"/>
    </row>
    <row r="17" spans="1:11" ht="16.5">
      <c r="A17" s="2299" t="s">
        <v>647</v>
      </c>
      <c r="B17" s="2301"/>
      <c r="C17" s="2301"/>
      <c r="D17" s="2301"/>
      <c r="E17" s="2300" t="e">
        <f t="shared" si="0"/>
        <v>#DIV/0!</v>
      </c>
      <c r="F17" s="2300" t="e">
        <f t="shared" si="1"/>
        <v>#DIV/0!</v>
      </c>
      <c r="G17" s="1240"/>
      <c r="H17" s="1240"/>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0" t="e">
        <f t="shared" si="0"/>
        <v>#DIV/0!</v>
      </c>
      <c r="F23" s="1240"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3C53-9AEE-4B84-8F58-505976DD19EC}">
  <dimension ref="A2:U22"/>
  <sheetViews>
    <sheetView tabSelected="1" workbookViewId="0">
      <selection activeCell="H18" sqref="H18"/>
    </sheetView>
  </sheetViews>
  <sheetFormatPr defaultRowHeight="13.5"/>
  <cols>
    <col min="1" max="1" width="4.375" style="3139" customWidth="1"/>
    <col min="2" max="2" width="43.625" style="3139" customWidth="1"/>
    <col min="3" max="4" width="29.25" style="3139" hidden="1" customWidth="1"/>
    <col min="5" max="5" width="11.375" style="3139" customWidth="1"/>
    <col min="6" max="6" width="12.25" style="3139" hidden="1" customWidth="1"/>
    <col min="7" max="7" width="5" style="3139" hidden="1" customWidth="1"/>
    <col min="8" max="9" width="8.5" style="3139" customWidth="1"/>
    <col min="10" max="10" width="12" style="3139" customWidth="1"/>
    <col min="11" max="11" width="8.875" style="3139" customWidth="1"/>
    <col min="12" max="12" width="8.25" style="3139" customWidth="1"/>
    <col min="13" max="14" width="8.5" style="3139" customWidth="1"/>
    <col min="15" max="15" width="10.5" style="3139" hidden="1" customWidth="1"/>
    <col min="16" max="16" width="13.875" style="3139" hidden="1" customWidth="1"/>
    <col min="17" max="17" width="9.5" style="3139" bestFit="1" customWidth="1"/>
    <col min="18" max="18" width="10.625" style="3139" customWidth="1"/>
    <col min="19" max="19" width="10.5" style="3139" customWidth="1"/>
    <col min="20" max="23" width="12.5" style="3139" customWidth="1"/>
    <col min="24" max="16384" width="9" style="3139"/>
  </cols>
  <sheetData>
    <row r="2" spans="1:21" ht="23.25" customHeight="1">
      <c r="B2" s="3337" t="s">
        <v>3371</v>
      </c>
      <c r="C2" s="3337"/>
      <c r="D2" s="3337"/>
      <c r="E2" s="3337"/>
      <c r="F2" s="3337"/>
      <c r="G2" s="3140"/>
      <c r="H2" s="3140"/>
      <c r="I2" s="3140"/>
      <c r="J2" s="3140"/>
      <c r="K2" s="3140"/>
      <c r="L2" s="3140"/>
      <c r="M2" s="3140"/>
      <c r="N2" s="3140"/>
      <c r="O2" s="3140"/>
      <c r="P2" s="3140"/>
      <c r="Q2" s="3140"/>
    </row>
    <row r="3" spans="1:21" ht="24">
      <c r="A3" s="3141" t="s">
        <v>3372</v>
      </c>
      <c r="B3" s="3142" t="s">
        <v>3373</v>
      </c>
      <c r="C3" s="3143" t="s">
        <v>3374</v>
      </c>
      <c r="D3" s="3143" t="s">
        <v>3375</v>
      </c>
      <c r="E3" s="3142" t="s">
        <v>3376</v>
      </c>
      <c r="F3" s="3142" t="s">
        <v>3377</v>
      </c>
      <c r="G3" s="3142" t="s">
        <v>2540</v>
      </c>
      <c r="H3" s="3142" t="s">
        <v>3378</v>
      </c>
      <c r="I3" s="3142" t="s">
        <v>3675</v>
      </c>
      <c r="J3" s="3142" t="s">
        <v>3676</v>
      </c>
      <c r="K3" s="3142" t="s">
        <v>3379</v>
      </c>
      <c r="L3" s="3142" t="s">
        <v>3380</v>
      </c>
      <c r="M3" s="3144" t="s">
        <v>654</v>
      </c>
      <c r="N3" s="3144"/>
      <c r="O3" s="3144" t="s">
        <v>3381</v>
      </c>
      <c r="P3" s="3145" t="s">
        <v>3382</v>
      </c>
      <c r="Q3" s="3145"/>
      <c r="T3" s="3146" t="s">
        <v>3383</v>
      </c>
      <c r="U3" s="3146" t="s">
        <v>3384</v>
      </c>
    </row>
    <row r="4" spans="1:21">
      <c r="A4" s="3147">
        <v>1</v>
      </c>
      <c r="B4" s="3152" t="s">
        <v>3626</v>
      </c>
      <c r="C4" s="3338" t="s">
        <v>3637</v>
      </c>
      <c r="D4" s="3338" t="s">
        <v>3400</v>
      </c>
      <c r="E4" s="3238">
        <v>94.89</v>
      </c>
      <c r="F4" s="3153">
        <v>87.09</v>
      </c>
      <c r="G4" s="3153" t="s">
        <v>3401</v>
      </c>
      <c r="H4" s="3148">
        <v>1</v>
      </c>
      <c r="I4" s="3148" t="s">
        <v>3616</v>
      </c>
      <c r="J4" s="3148">
        <v>1</v>
      </c>
      <c r="K4" s="3148" t="s">
        <v>3387</v>
      </c>
      <c r="L4" s="3148">
        <v>1</v>
      </c>
      <c r="M4" s="3148">
        <f>'结果一览表-铂郡'!D37</f>
        <v>6.3</v>
      </c>
      <c r="N4" s="3148">
        <f>ROUND(M4*E4,2)</f>
        <v>597.80999999999995</v>
      </c>
      <c r="O4" s="3149"/>
      <c r="P4" s="3148">
        <f t="shared" ref="P4:P13" si="0">ROUND(M4*0.75,1)</f>
        <v>4.7</v>
      </c>
      <c r="Q4" s="3150"/>
    </row>
    <row r="5" spans="1:21">
      <c r="A5" s="3147">
        <v>2</v>
      </c>
      <c r="B5" s="3152" t="s">
        <v>3627</v>
      </c>
      <c r="C5" s="3339"/>
      <c r="D5" s="3339"/>
      <c r="E5" s="3238">
        <v>247.88</v>
      </c>
      <c r="F5" s="3153">
        <v>227.51</v>
      </c>
      <c r="G5" s="3153" t="s">
        <v>3401</v>
      </c>
      <c r="H5" s="3148">
        <v>0.98</v>
      </c>
      <c r="I5" s="3148" t="s">
        <v>3616</v>
      </c>
      <c r="J5" s="3148">
        <v>1</v>
      </c>
      <c r="K5" s="3148" t="s">
        <v>3387</v>
      </c>
      <c r="L5" s="3148">
        <v>1</v>
      </c>
      <c r="M5" s="3148">
        <f>ROUND($M$4*H5*J5*L5,1)</f>
        <v>6.2</v>
      </c>
      <c r="N5" s="3148">
        <f t="shared" ref="N4:N13" si="1">ROUND(M5*E5,2)</f>
        <v>1536.86</v>
      </c>
      <c r="O5" s="3149"/>
      <c r="P5" s="3148">
        <f t="shared" si="0"/>
        <v>4.7</v>
      </c>
      <c r="Q5" s="3150"/>
    </row>
    <row r="6" spans="1:21">
      <c r="A6" s="3147">
        <v>3</v>
      </c>
      <c r="B6" s="3152" t="s">
        <v>3628</v>
      </c>
      <c r="C6" s="3339"/>
      <c r="D6" s="3339"/>
      <c r="E6" s="3238">
        <v>195.28</v>
      </c>
      <c r="F6" s="3153">
        <v>179.23</v>
      </c>
      <c r="G6" s="3153" t="s">
        <v>3401</v>
      </c>
      <c r="H6" s="3148">
        <v>0.99</v>
      </c>
      <c r="I6" s="3148" t="s">
        <v>3616</v>
      </c>
      <c r="J6" s="3148">
        <v>1</v>
      </c>
      <c r="K6" s="3148" t="s">
        <v>3387</v>
      </c>
      <c r="L6" s="3148">
        <v>1</v>
      </c>
      <c r="M6" s="3148">
        <f t="shared" ref="M6:M13" si="2">ROUND($M$4*H6*J6*L6,1)</f>
        <v>6.2</v>
      </c>
      <c r="N6" s="3148">
        <f t="shared" si="1"/>
        <v>1210.74</v>
      </c>
      <c r="O6" s="3149"/>
      <c r="P6" s="3148">
        <f t="shared" si="0"/>
        <v>4.7</v>
      </c>
      <c r="Q6" s="3150"/>
    </row>
    <row r="7" spans="1:21">
      <c r="A7" s="3147">
        <v>4</v>
      </c>
      <c r="B7" s="3152" t="s">
        <v>3629</v>
      </c>
      <c r="C7" s="3339"/>
      <c r="D7" s="3339"/>
      <c r="E7" s="3238">
        <v>245.01</v>
      </c>
      <c r="F7" s="3153">
        <v>221.83</v>
      </c>
      <c r="G7" s="3153" t="s">
        <v>3401</v>
      </c>
      <c r="H7" s="3148">
        <v>0.98</v>
      </c>
      <c r="I7" s="3148" t="s">
        <v>3616</v>
      </c>
      <c r="J7" s="3148">
        <v>1</v>
      </c>
      <c r="K7" s="3148" t="s">
        <v>3387</v>
      </c>
      <c r="L7" s="3148">
        <v>1</v>
      </c>
      <c r="M7" s="3148">
        <f t="shared" si="2"/>
        <v>6.2</v>
      </c>
      <c r="N7" s="3148">
        <f t="shared" si="1"/>
        <v>1519.06</v>
      </c>
      <c r="O7" s="3149"/>
      <c r="P7" s="3148">
        <f t="shared" si="0"/>
        <v>4.7</v>
      </c>
      <c r="Q7" s="3150"/>
    </row>
    <row r="8" spans="1:21">
      <c r="A8" s="3147">
        <v>5</v>
      </c>
      <c r="B8" s="3152" t="s">
        <v>3630</v>
      </c>
      <c r="C8" s="3339"/>
      <c r="D8" s="3339"/>
      <c r="E8" s="3238">
        <v>98.08</v>
      </c>
      <c r="F8" s="3153">
        <v>90.02</v>
      </c>
      <c r="G8" s="3153" t="s">
        <v>3401</v>
      </c>
      <c r="H8" s="3148">
        <v>1</v>
      </c>
      <c r="I8" s="3148" t="s">
        <v>3616</v>
      </c>
      <c r="J8" s="3148">
        <v>1</v>
      </c>
      <c r="K8" s="3148" t="s">
        <v>3387</v>
      </c>
      <c r="L8" s="3148">
        <v>1</v>
      </c>
      <c r="M8" s="3148">
        <f t="shared" si="2"/>
        <v>6.3</v>
      </c>
      <c r="N8" s="3148">
        <f t="shared" si="1"/>
        <v>617.9</v>
      </c>
      <c r="O8" s="3149"/>
      <c r="P8" s="3148">
        <f t="shared" si="0"/>
        <v>4.7</v>
      </c>
      <c r="Q8" s="3150"/>
    </row>
    <row r="9" spans="1:21">
      <c r="A9" s="3147">
        <v>6</v>
      </c>
      <c r="B9" s="3152" t="s">
        <v>3631</v>
      </c>
      <c r="C9" s="3339"/>
      <c r="D9" s="3339"/>
      <c r="E9" s="3238">
        <v>80.900000000000006</v>
      </c>
      <c r="F9" s="3153">
        <v>74.25</v>
      </c>
      <c r="G9" s="3153" t="s">
        <v>3401</v>
      </c>
      <c r="H9" s="3148">
        <v>1</v>
      </c>
      <c r="I9" s="3148" t="s">
        <v>3616</v>
      </c>
      <c r="J9" s="3148">
        <v>1</v>
      </c>
      <c r="K9" s="3148" t="s">
        <v>3387</v>
      </c>
      <c r="L9" s="3148">
        <v>1</v>
      </c>
      <c r="M9" s="3148">
        <f t="shared" si="2"/>
        <v>6.3</v>
      </c>
      <c r="N9" s="3148">
        <f t="shared" si="1"/>
        <v>509.67</v>
      </c>
      <c r="O9" s="3149"/>
      <c r="P9" s="3148">
        <f t="shared" si="0"/>
        <v>4.7</v>
      </c>
      <c r="Q9" s="3150"/>
    </row>
    <row r="10" spans="1:21">
      <c r="A10" s="3147">
        <v>7</v>
      </c>
      <c r="B10" s="3152" t="s">
        <v>3632</v>
      </c>
      <c r="C10" s="3340"/>
      <c r="D10" s="3340"/>
      <c r="E10" s="3238">
        <v>317.93</v>
      </c>
      <c r="F10" s="3153">
        <v>291.8</v>
      </c>
      <c r="G10" s="3153" t="s">
        <v>3401</v>
      </c>
      <c r="H10" s="3148">
        <v>0.97</v>
      </c>
      <c r="I10" s="3148" t="s">
        <v>3616</v>
      </c>
      <c r="J10" s="3148">
        <v>1</v>
      </c>
      <c r="K10" s="3148" t="s">
        <v>3387</v>
      </c>
      <c r="L10" s="3148">
        <v>1</v>
      </c>
      <c r="M10" s="3148">
        <f t="shared" si="2"/>
        <v>6.1</v>
      </c>
      <c r="N10" s="3148">
        <f t="shared" si="1"/>
        <v>1939.37</v>
      </c>
      <c r="O10" s="3149"/>
      <c r="P10" s="3148">
        <f t="shared" si="0"/>
        <v>4.5999999999999996</v>
      </c>
      <c r="Q10" s="3150"/>
    </row>
    <row r="11" spans="1:21">
      <c r="A11" s="3147">
        <v>8</v>
      </c>
      <c r="B11" s="3154" t="s">
        <v>3657</v>
      </c>
      <c r="C11" s="3148" t="s">
        <v>3634</v>
      </c>
      <c r="D11" s="3148" t="s">
        <v>3633</v>
      </c>
      <c r="E11" s="3154">
        <v>193.29</v>
      </c>
      <c r="F11" s="3154">
        <v>279.35000000000002</v>
      </c>
      <c r="G11" s="3154" t="s">
        <v>3385</v>
      </c>
      <c r="H11" s="3148">
        <v>0.99</v>
      </c>
      <c r="I11" s="3148" t="s">
        <v>3653</v>
      </c>
      <c r="J11" s="3148">
        <v>0.95</v>
      </c>
      <c r="K11" s="3155" t="s">
        <v>3409</v>
      </c>
      <c r="L11" s="3148">
        <v>0.7</v>
      </c>
      <c r="M11" s="3148">
        <f t="shared" si="2"/>
        <v>4.0999999999999996</v>
      </c>
      <c r="N11" s="3148">
        <f t="shared" si="1"/>
        <v>792.49</v>
      </c>
      <c r="O11" s="3149"/>
      <c r="P11" s="3154">
        <f t="shared" si="0"/>
        <v>3.1</v>
      </c>
      <c r="Q11" s="3150"/>
      <c r="R11" s="3139" t="s">
        <v>3410</v>
      </c>
    </row>
    <row r="12" spans="1:21">
      <c r="A12" s="3147">
        <v>9</v>
      </c>
      <c r="B12" s="3154" t="s">
        <v>3655</v>
      </c>
      <c r="C12" s="3148" t="s">
        <v>3635</v>
      </c>
      <c r="D12" s="3148" t="s">
        <v>3633</v>
      </c>
      <c r="E12" s="3154">
        <v>136.5</v>
      </c>
      <c r="F12" s="3154">
        <v>155.81</v>
      </c>
      <c r="G12" s="3154" t="s">
        <v>3385</v>
      </c>
      <c r="H12" s="3148">
        <v>0.99</v>
      </c>
      <c r="I12" s="3148" t="s">
        <v>3653</v>
      </c>
      <c r="J12" s="3148">
        <v>0.95</v>
      </c>
      <c r="K12" s="3155" t="s">
        <v>3409</v>
      </c>
      <c r="L12" s="3148">
        <v>0.7</v>
      </c>
      <c r="M12" s="3148">
        <f t="shared" si="2"/>
        <v>4.0999999999999996</v>
      </c>
      <c r="N12" s="3148">
        <f t="shared" si="1"/>
        <v>559.65</v>
      </c>
      <c r="O12" s="3149"/>
      <c r="P12" s="3154">
        <f t="shared" si="0"/>
        <v>3.1</v>
      </c>
      <c r="Q12" s="3150"/>
    </row>
    <row r="13" spans="1:21">
      <c r="A13" s="3147">
        <v>10</v>
      </c>
      <c r="B13" s="3154" t="s">
        <v>3656</v>
      </c>
      <c r="C13" s="3148" t="s">
        <v>3636</v>
      </c>
      <c r="D13" s="3148" t="s">
        <v>3633</v>
      </c>
      <c r="E13" s="3154">
        <v>56.5</v>
      </c>
      <c r="F13" s="3154">
        <v>177.44</v>
      </c>
      <c r="G13" s="3154" t="s">
        <v>3385</v>
      </c>
      <c r="H13" s="3148">
        <v>1</v>
      </c>
      <c r="I13" s="3148" t="s">
        <v>3653</v>
      </c>
      <c r="J13" s="3148">
        <v>0.95</v>
      </c>
      <c r="K13" s="3155" t="s">
        <v>3409</v>
      </c>
      <c r="L13" s="3148">
        <v>0.7</v>
      </c>
      <c r="M13" s="3148">
        <f t="shared" si="2"/>
        <v>4.2</v>
      </c>
      <c r="N13" s="3148">
        <f t="shared" si="1"/>
        <v>237.3</v>
      </c>
      <c r="O13" s="3149"/>
      <c r="P13" s="3154">
        <f t="shared" si="0"/>
        <v>3.2</v>
      </c>
      <c r="Q13" s="3150"/>
    </row>
    <row r="14" spans="1:21">
      <c r="A14" s="3147"/>
      <c r="B14" s="3147"/>
      <c r="C14" s="3147"/>
      <c r="D14" s="3147"/>
      <c r="E14" s="3147"/>
      <c r="F14" s="3147"/>
      <c r="G14" s="3147"/>
      <c r="H14" s="3147"/>
      <c r="I14" s="3147"/>
      <c r="J14" s="3147"/>
      <c r="K14" s="3147"/>
      <c r="L14" s="3147"/>
      <c r="M14" s="3147"/>
      <c r="N14" s="3147"/>
      <c r="O14" s="3147"/>
      <c r="P14" s="3147"/>
    </row>
    <row r="15" spans="1:21">
      <c r="A15" s="3341" t="s">
        <v>2589</v>
      </c>
      <c r="B15" s="3342"/>
      <c r="C15" s="3147"/>
      <c r="D15" s="3147"/>
      <c r="E15" s="3156">
        <f>SUM(E4:E13)</f>
        <v>1666.26</v>
      </c>
      <c r="F15" s="3156">
        <f>SUM(F4:F13)</f>
        <v>1784.33</v>
      </c>
      <c r="G15" s="3147"/>
      <c r="H15" s="3147"/>
      <c r="I15" s="3147"/>
      <c r="J15" s="3147"/>
      <c r="K15" s="3147"/>
      <c r="L15" s="3147"/>
      <c r="M15" s="3156">
        <f>ROUND(N15/E15,1)</f>
        <v>5.7</v>
      </c>
      <c r="N15" s="3156">
        <f>SUM(N4:N13)</f>
        <v>9520.8499999999985</v>
      </c>
      <c r="O15" s="3156" t="s">
        <v>3434</v>
      </c>
      <c r="P15" s="3156">
        <f>ROUND(SUMPRODUCT(E4:E13,P4:P13)/E15,1)</f>
        <v>4.3</v>
      </c>
      <c r="Q15" s="3157"/>
    </row>
    <row r="17" spans="5:16">
      <c r="M17" s="3158"/>
      <c r="P17" s="3139">
        <f>ROUND(P15/E15,1)</f>
        <v>0</v>
      </c>
    </row>
    <row r="18" spans="5:16">
      <c r="J18" s="3139">
        <v>5.8</v>
      </c>
    </row>
    <row r="20" spans="5:16">
      <c r="E20" s="3146" t="s">
        <v>3671</v>
      </c>
      <c r="F20" s="3146"/>
      <c r="G20" s="3146"/>
      <c r="H20" s="3146" t="s">
        <v>3672</v>
      </c>
      <c r="I20" s="3146" t="s">
        <v>3658</v>
      </c>
      <c r="J20" s="3146" t="s">
        <v>3673</v>
      </c>
      <c r="K20" s="3146" t="s">
        <v>3674</v>
      </c>
    </row>
    <row r="21" spans="5:16">
      <c r="E21" s="3146">
        <v>100</v>
      </c>
      <c r="F21" s="3146"/>
      <c r="G21" s="3146"/>
      <c r="H21" s="3146">
        <v>99</v>
      </c>
      <c r="I21" s="3146">
        <v>98</v>
      </c>
      <c r="J21" s="3146">
        <v>97</v>
      </c>
      <c r="K21" s="3146">
        <v>96</v>
      </c>
    </row>
    <row r="22" spans="5:16" ht="37.5" customHeight="1"/>
  </sheetData>
  <autoFilter ref="E3:L13" xr:uid="{6C81AA0E-7246-4258-99EA-6389CB3226D1}"/>
  <mergeCells count="4">
    <mergeCell ref="B2:F2"/>
    <mergeCell ref="C4:C10"/>
    <mergeCell ref="D4:D10"/>
    <mergeCell ref="A15:B15"/>
  </mergeCells>
  <phoneticPr fontId="247" type="noConversion"/>
  <conditionalFormatting sqref="B5:B10 E5:H10 B4:N4 B11:D13 F11:H13 I5:N13">
    <cfRule type="expression" dxfId="154" priority="2">
      <formula>MOD(ROW(),2)</formula>
    </cfRule>
  </conditionalFormatting>
  <conditionalFormatting sqref="E11:E13">
    <cfRule type="expression" dxfId="153" priority="1">
      <formula>MOD(ROW(),2)</formula>
    </cfRule>
  </conditionalFormatting>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opLeftCell="A19" workbookViewId="0">
      <selection activeCell="J15" sqref="J15"/>
    </sheetView>
  </sheetViews>
  <sheetFormatPr defaultRowHeight="13.5"/>
  <cols>
    <col min="1" max="1" width="6.375" style="3162" customWidth="1"/>
    <col min="2" max="2" width="19.375" style="3206" customWidth="1"/>
    <col min="3" max="3" width="7" style="3162" customWidth="1"/>
    <col min="4" max="4" width="3.25" style="3162" customWidth="1"/>
    <col min="5" max="5" width="7.375" style="3162" customWidth="1"/>
    <col min="6" max="6" width="3.5" style="3162" customWidth="1"/>
    <col min="7" max="7" width="19.375" style="3207" customWidth="1"/>
    <col min="8" max="8" width="19.5" style="3162" customWidth="1"/>
    <col min="9" max="9" width="8.625" style="3162" customWidth="1"/>
    <col min="10" max="10" width="10.5" style="3139" customWidth="1"/>
    <col min="11" max="11" width="4.875" style="3139" customWidth="1"/>
    <col min="12" max="12" width="16.375" style="3139" customWidth="1"/>
    <col min="13" max="16" width="8.125" style="3162" customWidth="1"/>
    <col min="17" max="256" width="9" style="3162"/>
    <col min="257" max="257" width="6.375" style="3162" customWidth="1"/>
    <col min="258" max="258" width="19.375" style="3162" customWidth="1"/>
    <col min="259" max="259" width="7" style="3162" customWidth="1"/>
    <col min="260" max="260" width="3.25" style="3162" customWidth="1"/>
    <col min="261" max="261" width="7.375" style="3162" customWidth="1"/>
    <col min="262" max="262" width="3.5" style="3162" customWidth="1"/>
    <col min="263" max="263" width="19.375" style="3162" customWidth="1"/>
    <col min="264" max="264" width="19.5" style="3162" customWidth="1"/>
    <col min="265" max="265" width="8.625" style="3162" customWidth="1"/>
    <col min="266" max="266" width="10.5" style="3162" customWidth="1"/>
    <col min="267" max="267" width="4.875" style="3162" customWidth="1"/>
    <col min="268" max="268" width="16.375" style="3162" customWidth="1"/>
    <col min="269" max="272" width="8.125" style="3162" customWidth="1"/>
    <col min="273" max="512" width="9" style="3162"/>
    <col min="513" max="513" width="6.375" style="3162" customWidth="1"/>
    <col min="514" max="514" width="19.375" style="3162" customWidth="1"/>
    <col min="515" max="515" width="7" style="3162" customWidth="1"/>
    <col min="516" max="516" width="3.25" style="3162" customWidth="1"/>
    <col min="517" max="517" width="7.375" style="3162" customWidth="1"/>
    <col min="518" max="518" width="3.5" style="3162" customWidth="1"/>
    <col min="519" max="519" width="19.375" style="3162" customWidth="1"/>
    <col min="520" max="520" width="19.5" style="3162" customWidth="1"/>
    <col min="521" max="521" width="8.625" style="3162" customWidth="1"/>
    <col min="522" max="522" width="10.5" style="3162" customWidth="1"/>
    <col min="523" max="523" width="4.875" style="3162" customWidth="1"/>
    <col min="524" max="524" width="16.375" style="3162" customWidth="1"/>
    <col min="525" max="528" width="8.125" style="3162" customWidth="1"/>
    <col min="529" max="768" width="9" style="3162"/>
    <col min="769" max="769" width="6.375" style="3162" customWidth="1"/>
    <col min="770" max="770" width="19.375" style="3162" customWidth="1"/>
    <col min="771" max="771" width="7" style="3162" customWidth="1"/>
    <col min="772" max="772" width="3.25" style="3162" customWidth="1"/>
    <col min="773" max="773" width="7.375" style="3162" customWidth="1"/>
    <col min="774" max="774" width="3.5" style="3162" customWidth="1"/>
    <col min="775" max="775" width="19.375" style="3162" customWidth="1"/>
    <col min="776" max="776" width="19.5" style="3162" customWidth="1"/>
    <col min="777" max="777" width="8.625" style="3162" customWidth="1"/>
    <col min="778" max="778" width="10.5" style="3162" customWidth="1"/>
    <col min="779" max="779" width="4.875" style="3162" customWidth="1"/>
    <col min="780" max="780" width="16.375" style="3162" customWidth="1"/>
    <col min="781" max="784" width="8.125" style="3162" customWidth="1"/>
    <col min="785" max="1024" width="9" style="3162"/>
    <col min="1025" max="1025" width="6.375" style="3162" customWidth="1"/>
    <col min="1026" max="1026" width="19.375" style="3162" customWidth="1"/>
    <col min="1027" max="1027" width="7" style="3162" customWidth="1"/>
    <col min="1028" max="1028" width="3.25" style="3162" customWidth="1"/>
    <col min="1029" max="1029" width="7.375" style="3162" customWidth="1"/>
    <col min="1030" max="1030" width="3.5" style="3162" customWidth="1"/>
    <col min="1031" max="1031" width="19.375" style="3162" customWidth="1"/>
    <col min="1032" max="1032" width="19.5" style="3162" customWidth="1"/>
    <col min="1033" max="1033" width="8.625" style="3162" customWidth="1"/>
    <col min="1034" max="1034" width="10.5" style="3162" customWidth="1"/>
    <col min="1035" max="1035" width="4.875" style="3162" customWidth="1"/>
    <col min="1036" max="1036" width="16.375" style="3162" customWidth="1"/>
    <col min="1037" max="1040" width="8.125" style="3162" customWidth="1"/>
    <col min="1041" max="1280" width="9" style="3162"/>
    <col min="1281" max="1281" width="6.375" style="3162" customWidth="1"/>
    <col min="1282" max="1282" width="19.375" style="3162" customWidth="1"/>
    <col min="1283" max="1283" width="7" style="3162" customWidth="1"/>
    <col min="1284" max="1284" width="3.25" style="3162" customWidth="1"/>
    <col min="1285" max="1285" width="7.375" style="3162" customWidth="1"/>
    <col min="1286" max="1286" width="3.5" style="3162" customWidth="1"/>
    <col min="1287" max="1287" width="19.375" style="3162" customWidth="1"/>
    <col min="1288" max="1288" width="19.5" style="3162" customWidth="1"/>
    <col min="1289" max="1289" width="8.625" style="3162" customWidth="1"/>
    <col min="1290" max="1290" width="10.5" style="3162" customWidth="1"/>
    <col min="1291" max="1291" width="4.875" style="3162" customWidth="1"/>
    <col min="1292" max="1292" width="16.375" style="3162" customWidth="1"/>
    <col min="1293" max="1296" width="8.125" style="3162" customWidth="1"/>
    <col min="1297" max="1536" width="9" style="3162"/>
    <col min="1537" max="1537" width="6.375" style="3162" customWidth="1"/>
    <col min="1538" max="1538" width="19.375" style="3162" customWidth="1"/>
    <col min="1539" max="1539" width="7" style="3162" customWidth="1"/>
    <col min="1540" max="1540" width="3.25" style="3162" customWidth="1"/>
    <col min="1541" max="1541" width="7.375" style="3162" customWidth="1"/>
    <col min="1542" max="1542" width="3.5" style="3162" customWidth="1"/>
    <col min="1543" max="1543" width="19.375" style="3162" customWidth="1"/>
    <col min="1544" max="1544" width="19.5" style="3162" customWidth="1"/>
    <col min="1545" max="1545" width="8.625" style="3162" customWidth="1"/>
    <col min="1546" max="1546" width="10.5" style="3162" customWidth="1"/>
    <col min="1547" max="1547" width="4.875" style="3162" customWidth="1"/>
    <col min="1548" max="1548" width="16.375" style="3162" customWidth="1"/>
    <col min="1549" max="1552" width="8.125" style="3162" customWidth="1"/>
    <col min="1553" max="1792" width="9" style="3162"/>
    <col min="1793" max="1793" width="6.375" style="3162" customWidth="1"/>
    <col min="1794" max="1794" width="19.375" style="3162" customWidth="1"/>
    <col min="1795" max="1795" width="7" style="3162" customWidth="1"/>
    <col min="1796" max="1796" width="3.25" style="3162" customWidth="1"/>
    <col min="1797" max="1797" width="7.375" style="3162" customWidth="1"/>
    <col min="1798" max="1798" width="3.5" style="3162" customWidth="1"/>
    <col min="1799" max="1799" width="19.375" style="3162" customWidth="1"/>
    <col min="1800" max="1800" width="19.5" style="3162" customWidth="1"/>
    <col min="1801" max="1801" width="8.625" style="3162" customWidth="1"/>
    <col min="1802" max="1802" width="10.5" style="3162" customWidth="1"/>
    <col min="1803" max="1803" width="4.875" style="3162" customWidth="1"/>
    <col min="1804" max="1804" width="16.375" style="3162" customWidth="1"/>
    <col min="1805" max="1808" width="8.125" style="3162" customWidth="1"/>
    <col min="1809" max="2048" width="9" style="3162"/>
    <col min="2049" max="2049" width="6.375" style="3162" customWidth="1"/>
    <col min="2050" max="2050" width="19.375" style="3162" customWidth="1"/>
    <col min="2051" max="2051" width="7" style="3162" customWidth="1"/>
    <col min="2052" max="2052" width="3.25" style="3162" customWidth="1"/>
    <col min="2053" max="2053" width="7.375" style="3162" customWidth="1"/>
    <col min="2054" max="2054" width="3.5" style="3162" customWidth="1"/>
    <col min="2055" max="2055" width="19.375" style="3162" customWidth="1"/>
    <col min="2056" max="2056" width="19.5" style="3162" customWidth="1"/>
    <col min="2057" max="2057" width="8.625" style="3162" customWidth="1"/>
    <col min="2058" max="2058" width="10.5" style="3162" customWidth="1"/>
    <col min="2059" max="2059" width="4.875" style="3162" customWidth="1"/>
    <col min="2060" max="2060" width="16.375" style="3162" customWidth="1"/>
    <col min="2061" max="2064" width="8.125" style="3162" customWidth="1"/>
    <col min="2065" max="2304" width="9" style="3162"/>
    <col min="2305" max="2305" width="6.375" style="3162" customWidth="1"/>
    <col min="2306" max="2306" width="19.375" style="3162" customWidth="1"/>
    <col min="2307" max="2307" width="7" style="3162" customWidth="1"/>
    <col min="2308" max="2308" width="3.25" style="3162" customWidth="1"/>
    <col min="2309" max="2309" width="7.375" style="3162" customWidth="1"/>
    <col min="2310" max="2310" width="3.5" style="3162" customWidth="1"/>
    <col min="2311" max="2311" width="19.375" style="3162" customWidth="1"/>
    <col min="2312" max="2312" width="19.5" style="3162" customWidth="1"/>
    <col min="2313" max="2313" width="8.625" style="3162" customWidth="1"/>
    <col min="2314" max="2314" width="10.5" style="3162" customWidth="1"/>
    <col min="2315" max="2315" width="4.875" style="3162" customWidth="1"/>
    <col min="2316" max="2316" width="16.375" style="3162" customWidth="1"/>
    <col min="2317" max="2320" width="8.125" style="3162" customWidth="1"/>
    <col min="2321" max="2560" width="9" style="3162"/>
    <col min="2561" max="2561" width="6.375" style="3162" customWidth="1"/>
    <col min="2562" max="2562" width="19.375" style="3162" customWidth="1"/>
    <col min="2563" max="2563" width="7" style="3162" customWidth="1"/>
    <col min="2564" max="2564" width="3.25" style="3162" customWidth="1"/>
    <col min="2565" max="2565" width="7.375" style="3162" customWidth="1"/>
    <col min="2566" max="2566" width="3.5" style="3162" customWidth="1"/>
    <col min="2567" max="2567" width="19.375" style="3162" customWidth="1"/>
    <col min="2568" max="2568" width="19.5" style="3162" customWidth="1"/>
    <col min="2569" max="2569" width="8.625" style="3162" customWidth="1"/>
    <col min="2570" max="2570" width="10.5" style="3162" customWidth="1"/>
    <col min="2571" max="2571" width="4.875" style="3162" customWidth="1"/>
    <col min="2572" max="2572" width="16.375" style="3162" customWidth="1"/>
    <col min="2573" max="2576" width="8.125" style="3162" customWidth="1"/>
    <col min="2577" max="2816" width="9" style="3162"/>
    <col min="2817" max="2817" width="6.375" style="3162" customWidth="1"/>
    <col min="2818" max="2818" width="19.375" style="3162" customWidth="1"/>
    <col min="2819" max="2819" width="7" style="3162" customWidth="1"/>
    <col min="2820" max="2820" width="3.25" style="3162" customWidth="1"/>
    <col min="2821" max="2821" width="7.375" style="3162" customWidth="1"/>
    <col min="2822" max="2822" width="3.5" style="3162" customWidth="1"/>
    <col min="2823" max="2823" width="19.375" style="3162" customWidth="1"/>
    <col min="2824" max="2824" width="19.5" style="3162" customWidth="1"/>
    <col min="2825" max="2825" width="8.625" style="3162" customWidth="1"/>
    <col min="2826" max="2826" width="10.5" style="3162" customWidth="1"/>
    <col min="2827" max="2827" width="4.875" style="3162" customWidth="1"/>
    <col min="2828" max="2828" width="16.375" style="3162" customWidth="1"/>
    <col min="2829" max="2832" width="8.125" style="3162" customWidth="1"/>
    <col min="2833" max="3072" width="9" style="3162"/>
    <col min="3073" max="3073" width="6.375" style="3162" customWidth="1"/>
    <col min="3074" max="3074" width="19.375" style="3162" customWidth="1"/>
    <col min="3075" max="3075" width="7" style="3162" customWidth="1"/>
    <col min="3076" max="3076" width="3.25" style="3162" customWidth="1"/>
    <col min="3077" max="3077" width="7.375" style="3162" customWidth="1"/>
    <col min="3078" max="3078" width="3.5" style="3162" customWidth="1"/>
    <col min="3079" max="3079" width="19.375" style="3162" customWidth="1"/>
    <col min="3080" max="3080" width="19.5" style="3162" customWidth="1"/>
    <col min="3081" max="3081" width="8.625" style="3162" customWidth="1"/>
    <col min="3082" max="3082" width="10.5" style="3162" customWidth="1"/>
    <col min="3083" max="3083" width="4.875" style="3162" customWidth="1"/>
    <col min="3084" max="3084" width="16.375" style="3162" customWidth="1"/>
    <col min="3085" max="3088" width="8.125" style="3162" customWidth="1"/>
    <col min="3089" max="3328" width="9" style="3162"/>
    <col min="3329" max="3329" width="6.375" style="3162" customWidth="1"/>
    <col min="3330" max="3330" width="19.375" style="3162" customWidth="1"/>
    <col min="3331" max="3331" width="7" style="3162" customWidth="1"/>
    <col min="3332" max="3332" width="3.25" style="3162" customWidth="1"/>
    <col min="3333" max="3333" width="7.375" style="3162" customWidth="1"/>
    <col min="3334" max="3334" width="3.5" style="3162" customWidth="1"/>
    <col min="3335" max="3335" width="19.375" style="3162" customWidth="1"/>
    <col min="3336" max="3336" width="19.5" style="3162" customWidth="1"/>
    <col min="3337" max="3337" width="8.625" style="3162" customWidth="1"/>
    <col min="3338" max="3338" width="10.5" style="3162" customWidth="1"/>
    <col min="3339" max="3339" width="4.875" style="3162" customWidth="1"/>
    <col min="3340" max="3340" width="16.375" style="3162" customWidth="1"/>
    <col min="3341" max="3344" width="8.125" style="3162" customWidth="1"/>
    <col min="3345" max="3584" width="9" style="3162"/>
    <col min="3585" max="3585" width="6.375" style="3162" customWidth="1"/>
    <col min="3586" max="3586" width="19.375" style="3162" customWidth="1"/>
    <col min="3587" max="3587" width="7" style="3162" customWidth="1"/>
    <col min="3588" max="3588" width="3.25" style="3162" customWidth="1"/>
    <col min="3589" max="3589" width="7.375" style="3162" customWidth="1"/>
    <col min="3590" max="3590" width="3.5" style="3162" customWidth="1"/>
    <col min="3591" max="3591" width="19.375" style="3162" customWidth="1"/>
    <col min="3592" max="3592" width="19.5" style="3162" customWidth="1"/>
    <col min="3593" max="3593" width="8.625" style="3162" customWidth="1"/>
    <col min="3594" max="3594" width="10.5" style="3162" customWidth="1"/>
    <col min="3595" max="3595" width="4.875" style="3162" customWidth="1"/>
    <col min="3596" max="3596" width="16.375" style="3162" customWidth="1"/>
    <col min="3597" max="3600" width="8.125" style="3162" customWidth="1"/>
    <col min="3601" max="3840" width="9" style="3162"/>
    <col min="3841" max="3841" width="6.375" style="3162" customWidth="1"/>
    <col min="3842" max="3842" width="19.375" style="3162" customWidth="1"/>
    <col min="3843" max="3843" width="7" style="3162" customWidth="1"/>
    <col min="3844" max="3844" width="3.25" style="3162" customWidth="1"/>
    <col min="3845" max="3845" width="7.375" style="3162" customWidth="1"/>
    <col min="3846" max="3846" width="3.5" style="3162" customWidth="1"/>
    <col min="3847" max="3847" width="19.375" style="3162" customWidth="1"/>
    <col min="3848" max="3848" width="19.5" style="3162" customWidth="1"/>
    <col min="3849" max="3849" width="8.625" style="3162" customWidth="1"/>
    <col min="3850" max="3850" width="10.5" style="3162" customWidth="1"/>
    <col min="3851" max="3851" width="4.875" style="3162" customWidth="1"/>
    <col min="3852" max="3852" width="16.375" style="3162" customWidth="1"/>
    <col min="3853" max="3856" width="8.125" style="3162" customWidth="1"/>
    <col min="3857" max="4096" width="9" style="3162"/>
    <col min="4097" max="4097" width="6.375" style="3162" customWidth="1"/>
    <col min="4098" max="4098" width="19.375" style="3162" customWidth="1"/>
    <col min="4099" max="4099" width="7" style="3162" customWidth="1"/>
    <col min="4100" max="4100" width="3.25" style="3162" customWidth="1"/>
    <col min="4101" max="4101" width="7.375" style="3162" customWidth="1"/>
    <col min="4102" max="4102" width="3.5" style="3162" customWidth="1"/>
    <col min="4103" max="4103" width="19.375" style="3162" customWidth="1"/>
    <col min="4104" max="4104" width="19.5" style="3162" customWidth="1"/>
    <col min="4105" max="4105" width="8.625" style="3162" customWidth="1"/>
    <col min="4106" max="4106" width="10.5" style="3162" customWidth="1"/>
    <col min="4107" max="4107" width="4.875" style="3162" customWidth="1"/>
    <col min="4108" max="4108" width="16.375" style="3162" customWidth="1"/>
    <col min="4109" max="4112" width="8.125" style="3162" customWidth="1"/>
    <col min="4113" max="4352" width="9" style="3162"/>
    <col min="4353" max="4353" width="6.375" style="3162" customWidth="1"/>
    <col min="4354" max="4354" width="19.375" style="3162" customWidth="1"/>
    <col min="4355" max="4355" width="7" style="3162" customWidth="1"/>
    <col min="4356" max="4356" width="3.25" style="3162" customWidth="1"/>
    <col min="4357" max="4357" width="7.375" style="3162" customWidth="1"/>
    <col min="4358" max="4358" width="3.5" style="3162" customWidth="1"/>
    <col min="4359" max="4359" width="19.375" style="3162" customWidth="1"/>
    <col min="4360" max="4360" width="19.5" style="3162" customWidth="1"/>
    <col min="4361" max="4361" width="8.625" style="3162" customWidth="1"/>
    <col min="4362" max="4362" width="10.5" style="3162" customWidth="1"/>
    <col min="4363" max="4363" width="4.875" style="3162" customWidth="1"/>
    <col min="4364" max="4364" width="16.375" style="3162" customWidth="1"/>
    <col min="4365" max="4368" width="8.125" style="3162" customWidth="1"/>
    <col min="4369" max="4608" width="9" style="3162"/>
    <col min="4609" max="4609" width="6.375" style="3162" customWidth="1"/>
    <col min="4610" max="4610" width="19.375" style="3162" customWidth="1"/>
    <col min="4611" max="4611" width="7" style="3162" customWidth="1"/>
    <col min="4612" max="4612" width="3.25" style="3162" customWidth="1"/>
    <col min="4613" max="4613" width="7.375" style="3162" customWidth="1"/>
    <col min="4614" max="4614" width="3.5" style="3162" customWidth="1"/>
    <col min="4615" max="4615" width="19.375" style="3162" customWidth="1"/>
    <col min="4616" max="4616" width="19.5" style="3162" customWidth="1"/>
    <col min="4617" max="4617" width="8.625" style="3162" customWidth="1"/>
    <col min="4618" max="4618" width="10.5" style="3162" customWidth="1"/>
    <col min="4619" max="4619" width="4.875" style="3162" customWidth="1"/>
    <col min="4620" max="4620" width="16.375" style="3162" customWidth="1"/>
    <col min="4621" max="4624" width="8.125" style="3162" customWidth="1"/>
    <col min="4625" max="4864" width="9" style="3162"/>
    <col min="4865" max="4865" width="6.375" style="3162" customWidth="1"/>
    <col min="4866" max="4866" width="19.375" style="3162" customWidth="1"/>
    <col min="4867" max="4867" width="7" style="3162" customWidth="1"/>
    <col min="4868" max="4868" width="3.25" style="3162" customWidth="1"/>
    <col min="4869" max="4869" width="7.375" style="3162" customWidth="1"/>
    <col min="4870" max="4870" width="3.5" style="3162" customWidth="1"/>
    <col min="4871" max="4871" width="19.375" style="3162" customWidth="1"/>
    <col min="4872" max="4872" width="19.5" style="3162" customWidth="1"/>
    <col min="4873" max="4873" width="8.625" style="3162" customWidth="1"/>
    <col min="4874" max="4874" width="10.5" style="3162" customWidth="1"/>
    <col min="4875" max="4875" width="4.875" style="3162" customWidth="1"/>
    <col min="4876" max="4876" width="16.375" style="3162" customWidth="1"/>
    <col min="4877" max="4880" width="8.125" style="3162" customWidth="1"/>
    <col min="4881" max="5120" width="9" style="3162"/>
    <col min="5121" max="5121" width="6.375" style="3162" customWidth="1"/>
    <col min="5122" max="5122" width="19.375" style="3162" customWidth="1"/>
    <col min="5123" max="5123" width="7" style="3162" customWidth="1"/>
    <col min="5124" max="5124" width="3.25" style="3162" customWidth="1"/>
    <col min="5125" max="5125" width="7.375" style="3162" customWidth="1"/>
    <col min="5126" max="5126" width="3.5" style="3162" customWidth="1"/>
    <col min="5127" max="5127" width="19.375" style="3162" customWidth="1"/>
    <col min="5128" max="5128" width="19.5" style="3162" customWidth="1"/>
    <col min="5129" max="5129" width="8.625" style="3162" customWidth="1"/>
    <col min="5130" max="5130" width="10.5" style="3162" customWidth="1"/>
    <col min="5131" max="5131" width="4.875" style="3162" customWidth="1"/>
    <col min="5132" max="5132" width="16.375" style="3162" customWidth="1"/>
    <col min="5133" max="5136" width="8.125" style="3162" customWidth="1"/>
    <col min="5137" max="5376" width="9" style="3162"/>
    <col min="5377" max="5377" width="6.375" style="3162" customWidth="1"/>
    <col min="5378" max="5378" width="19.375" style="3162" customWidth="1"/>
    <col min="5379" max="5379" width="7" style="3162" customWidth="1"/>
    <col min="5380" max="5380" width="3.25" style="3162" customWidth="1"/>
    <col min="5381" max="5381" width="7.375" style="3162" customWidth="1"/>
    <col min="5382" max="5382" width="3.5" style="3162" customWidth="1"/>
    <col min="5383" max="5383" width="19.375" style="3162" customWidth="1"/>
    <col min="5384" max="5384" width="19.5" style="3162" customWidth="1"/>
    <col min="5385" max="5385" width="8.625" style="3162" customWidth="1"/>
    <col min="5386" max="5386" width="10.5" style="3162" customWidth="1"/>
    <col min="5387" max="5387" width="4.875" style="3162" customWidth="1"/>
    <col min="5388" max="5388" width="16.375" style="3162" customWidth="1"/>
    <col min="5389" max="5392" width="8.125" style="3162" customWidth="1"/>
    <col min="5393" max="5632" width="9" style="3162"/>
    <col min="5633" max="5633" width="6.375" style="3162" customWidth="1"/>
    <col min="5634" max="5634" width="19.375" style="3162" customWidth="1"/>
    <col min="5635" max="5635" width="7" style="3162" customWidth="1"/>
    <col min="5636" max="5636" width="3.25" style="3162" customWidth="1"/>
    <col min="5637" max="5637" width="7.375" style="3162" customWidth="1"/>
    <col min="5638" max="5638" width="3.5" style="3162" customWidth="1"/>
    <col min="5639" max="5639" width="19.375" style="3162" customWidth="1"/>
    <col min="5640" max="5640" width="19.5" style="3162" customWidth="1"/>
    <col min="5641" max="5641" width="8.625" style="3162" customWidth="1"/>
    <col min="5642" max="5642" width="10.5" style="3162" customWidth="1"/>
    <col min="5643" max="5643" width="4.875" style="3162" customWidth="1"/>
    <col min="5644" max="5644" width="16.375" style="3162" customWidth="1"/>
    <col min="5645" max="5648" width="8.125" style="3162" customWidth="1"/>
    <col min="5649" max="5888" width="9" style="3162"/>
    <col min="5889" max="5889" width="6.375" style="3162" customWidth="1"/>
    <col min="5890" max="5890" width="19.375" style="3162" customWidth="1"/>
    <col min="5891" max="5891" width="7" style="3162" customWidth="1"/>
    <col min="5892" max="5892" width="3.25" style="3162" customWidth="1"/>
    <col min="5893" max="5893" width="7.375" style="3162" customWidth="1"/>
    <col min="5894" max="5894" width="3.5" style="3162" customWidth="1"/>
    <col min="5895" max="5895" width="19.375" style="3162" customWidth="1"/>
    <col min="5896" max="5896" width="19.5" style="3162" customWidth="1"/>
    <col min="5897" max="5897" width="8.625" style="3162" customWidth="1"/>
    <col min="5898" max="5898" width="10.5" style="3162" customWidth="1"/>
    <col min="5899" max="5899" width="4.875" style="3162" customWidth="1"/>
    <col min="5900" max="5900" width="16.375" style="3162" customWidth="1"/>
    <col min="5901" max="5904" width="8.125" style="3162" customWidth="1"/>
    <col min="5905" max="6144" width="9" style="3162"/>
    <col min="6145" max="6145" width="6.375" style="3162" customWidth="1"/>
    <col min="6146" max="6146" width="19.375" style="3162" customWidth="1"/>
    <col min="6147" max="6147" width="7" style="3162" customWidth="1"/>
    <col min="6148" max="6148" width="3.25" style="3162" customWidth="1"/>
    <col min="6149" max="6149" width="7.375" style="3162" customWidth="1"/>
    <col min="6150" max="6150" width="3.5" style="3162" customWidth="1"/>
    <col min="6151" max="6151" width="19.375" style="3162" customWidth="1"/>
    <col min="6152" max="6152" width="19.5" style="3162" customWidth="1"/>
    <col min="6153" max="6153" width="8.625" style="3162" customWidth="1"/>
    <col min="6154" max="6154" width="10.5" style="3162" customWidth="1"/>
    <col min="6155" max="6155" width="4.875" style="3162" customWidth="1"/>
    <col min="6156" max="6156" width="16.375" style="3162" customWidth="1"/>
    <col min="6157" max="6160" width="8.125" style="3162" customWidth="1"/>
    <col min="6161" max="6400" width="9" style="3162"/>
    <col min="6401" max="6401" width="6.375" style="3162" customWidth="1"/>
    <col min="6402" max="6402" width="19.375" style="3162" customWidth="1"/>
    <col min="6403" max="6403" width="7" style="3162" customWidth="1"/>
    <col min="6404" max="6404" width="3.25" style="3162" customWidth="1"/>
    <col min="6405" max="6405" width="7.375" style="3162" customWidth="1"/>
    <col min="6406" max="6406" width="3.5" style="3162" customWidth="1"/>
    <col min="6407" max="6407" width="19.375" style="3162" customWidth="1"/>
    <col min="6408" max="6408" width="19.5" style="3162" customWidth="1"/>
    <col min="6409" max="6409" width="8.625" style="3162" customWidth="1"/>
    <col min="6410" max="6410" width="10.5" style="3162" customWidth="1"/>
    <col min="6411" max="6411" width="4.875" style="3162" customWidth="1"/>
    <col min="6412" max="6412" width="16.375" style="3162" customWidth="1"/>
    <col min="6413" max="6416" width="8.125" style="3162" customWidth="1"/>
    <col min="6417" max="6656" width="9" style="3162"/>
    <col min="6657" max="6657" width="6.375" style="3162" customWidth="1"/>
    <col min="6658" max="6658" width="19.375" style="3162" customWidth="1"/>
    <col min="6659" max="6659" width="7" style="3162" customWidth="1"/>
    <col min="6660" max="6660" width="3.25" style="3162" customWidth="1"/>
    <col min="6661" max="6661" width="7.375" style="3162" customWidth="1"/>
    <col min="6662" max="6662" width="3.5" style="3162" customWidth="1"/>
    <col min="6663" max="6663" width="19.375" style="3162" customWidth="1"/>
    <col min="6664" max="6664" width="19.5" style="3162" customWidth="1"/>
    <col min="6665" max="6665" width="8.625" style="3162" customWidth="1"/>
    <col min="6666" max="6666" width="10.5" style="3162" customWidth="1"/>
    <col min="6667" max="6667" width="4.875" style="3162" customWidth="1"/>
    <col min="6668" max="6668" width="16.375" style="3162" customWidth="1"/>
    <col min="6669" max="6672" width="8.125" style="3162" customWidth="1"/>
    <col min="6673" max="6912" width="9" style="3162"/>
    <col min="6913" max="6913" width="6.375" style="3162" customWidth="1"/>
    <col min="6914" max="6914" width="19.375" style="3162" customWidth="1"/>
    <col min="6915" max="6915" width="7" style="3162" customWidth="1"/>
    <col min="6916" max="6916" width="3.25" style="3162" customWidth="1"/>
    <col min="6917" max="6917" width="7.375" style="3162" customWidth="1"/>
    <col min="6918" max="6918" width="3.5" style="3162" customWidth="1"/>
    <col min="6919" max="6919" width="19.375" style="3162" customWidth="1"/>
    <col min="6920" max="6920" width="19.5" style="3162" customWidth="1"/>
    <col min="6921" max="6921" width="8.625" style="3162" customWidth="1"/>
    <col min="6922" max="6922" width="10.5" style="3162" customWidth="1"/>
    <col min="6923" max="6923" width="4.875" style="3162" customWidth="1"/>
    <col min="6924" max="6924" width="16.375" style="3162" customWidth="1"/>
    <col min="6925" max="6928" width="8.125" style="3162" customWidth="1"/>
    <col min="6929" max="7168" width="9" style="3162"/>
    <col min="7169" max="7169" width="6.375" style="3162" customWidth="1"/>
    <col min="7170" max="7170" width="19.375" style="3162" customWidth="1"/>
    <col min="7171" max="7171" width="7" style="3162" customWidth="1"/>
    <col min="7172" max="7172" width="3.25" style="3162" customWidth="1"/>
    <col min="7173" max="7173" width="7.375" style="3162" customWidth="1"/>
    <col min="7174" max="7174" width="3.5" style="3162" customWidth="1"/>
    <col min="7175" max="7175" width="19.375" style="3162" customWidth="1"/>
    <col min="7176" max="7176" width="19.5" style="3162" customWidth="1"/>
    <col min="7177" max="7177" width="8.625" style="3162" customWidth="1"/>
    <col min="7178" max="7178" width="10.5" style="3162" customWidth="1"/>
    <col min="7179" max="7179" width="4.875" style="3162" customWidth="1"/>
    <col min="7180" max="7180" width="16.375" style="3162" customWidth="1"/>
    <col min="7181" max="7184" width="8.125" style="3162" customWidth="1"/>
    <col min="7185" max="7424" width="9" style="3162"/>
    <col min="7425" max="7425" width="6.375" style="3162" customWidth="1"/>
    <col min="7426" max="7426" width="19.375" style="3162" customWidth="1"/>
    <col min="7427" max="7427" width="7" style="3162" customWidth="1"/>
    <col min="7428" max="7428" width="3.25" style="3162" customWidth="1"/>
    <col min="7429" max="7429" width="7.375" style="3162" customWidth="1"/>
    <col min="7430" max="7430" width="3.5" style="3162" customWidth="1"/>
    <col min="7431" max="7431" width="19.375" style="3162" customWidth="1"/>
    <col min="7432" max="7432" width="19.5" style="3162" customWidth="1"/>
    <col min="7433" max="7433" width="8.625" style="3162" customWidth="1"/>
    <col min="7434" max="7434" width="10.5" style="3162" customWidth="1"/>
    <col min="7435" max="7435" width="4.875" style="3162" customWidth="1"/>
    <col min="7436" max="7436" width="16.375" style="3162" customWidth="1"/>
    <col min="7437" max="7440" width="8.125" style="3162" customWidth="1"/>
    <col min="7441" max="7680" width="9" style="3162"/>
    <col min="7681" max="7681" width="6.375" style="3162" customWidth="1"/>
    <col min="7682" max="7682" width="19.375" style="3162" customWidth="1"/>
    <col min="7683" max="7683" width="7" style="3162" customWidth="1"/>
    <col min="7684" max="7684" width="3.25" style="3162" customWidth="1"/>
    <col min="7685" max="7685" width="7.375" style="3162" customWidth="1"/>
    <col min="7686" max="7686" width="3.5" style="3162" customWidth="1"/>
    <col min="7687" max="7687" width="19.375" style="3162" customWidth="1"/>
    <col min="7688" max="7688" width="19.5" style="3162" customWidth="1"/>
    <col min="7689" max="7689" width="8.625" style="3162" customWidth="1"/>
    <col min="7690" max="7690" width="10.5" style="3162" customWidth="1"/>
    <col min="7691" max="7691" width="4.875" style="3162" customWidth="1"/>
    <col min="7692" max="7692" width="16.375" style="3162" customWidth="1"/>
    <col min="7693" max="7696" width="8.125" style="3162" customWidth="1"/>
    <col min="7697" max="7936" width="9" style="3162"/>
    <col min="7937" max="7937" width="6.375" style="3162" customWidth="1"/>
    <col min="7938" max="7938" width="19.375" style="3162" customWidth="1"/>
    <col min="7939" max="7939" width="7" style="3162" customWidth="1"/>
    <col min="7940" max="7940" width="3.25" style="3162" customWidth="1"/>
    <col min="7941" max="7941" width="7.375" style="3162" customWidth="1"/>
    <col min="7942" max="7942" width="3.5" style="3162" customWidth="1"/>
    <col min="7943" max="7943" width="19.375" style="3162" customWidth="1"/>
    <col min="7944" max="7944" width="19.5" style="3162" customWidth="1"/>
    <col min="7945" max="7945" width="8.625" style="3162" customWidth="1"/>
    <col min="7946" max="7946" width="10.5" style="3162" customWidth="1"/>
    <col min="7947" max="7947" width="4.875" style="3162" customWidth="1"/>
    <col min="7948" max="7948" width="16.375" style="3162" customWidth="1"/>
    <col min="7949" max="7952" width="8.125" style="3162" customWidth="1"/>
    <col min="7953" max="8192" width="9" style="3162"/>
    <col min="8193" max="8193" width="6.375" style="3162" customWidth="1"/>
    <col min="8194" max="8194" width="19.375" style="3162" customWidth="1"/>
    <col min="8195" max="8195" width="7" style="3162" customWidth="1"/>
    <col min="8196" max="8196" width="3.25" style="3162" customWidth="1"/>
    <col min="8197" max="8197" width="7.375" style="3162" customWidth="1"/>
    <col min="8198" max="8198" width="3.5" style="3162" customWidth="1"/>
    <col min="8199" max="8199" width="19.375" style="3162" customWidth="1"/>
    <col min="8200" max="8200" width="19.5" style="3162" customWidth="1"/>
    <col min="8201" max="8201" width="8.625" style="3162" customWidth="1"/>
    <col min="8202" max="8202" width="10.5" style="3162" customWidth="1"/>
    <col min="8203" max="8203" width="4.875" style="3162" customWidth="1"/>
    <col min="8204" max="8204" width="16.375" style="3162" customWidth="1"/>
    <col min="8205" max="8208" width="8.125" style="3162" customWidth="1"/>
    <col min="8209" max="8448" width="9" style="3162"/>
    <col min="8449" max="8449" width="6.375" style="3162" customWidth="1"/>
    <col min="8450" max="8450" width="19.375" style="3162" customWidth="1"/>
    <col min="8451" max="8451" width="7" style="3162" customWidth="1"/>
    <col min="8452" max="8452" width="3.25" style="3162" customWidth="1"/>
    <col min="8453" max="8453" width="7.375" style="3162" customWidth="1"/>
    <col min="8454" max="8454" width="3.5" style="3162" customWidth="1"/>
    <col min="8455" max="8455" width="19.375" style="3162" customWidth="1"/>
    <col min="8456" max="8456" width="19.5" style="3162" customWidth="1"/>
    <col min="8457" max="8457" width="8.625" style="3162" customWidth="1"/>
    <col min="8458" max="8458" width="10.5" style="3162" customWidth="1"/>
    <col min="8459" max="8459" width="4.875" style="3162" customWidth="1"/>
    <col min="8460" max="8460" width="16.375" style="3162" customWidth="1"/>
    <col min="8461" max="8464" width="8.125" style="3162" customWidth="1"/>
    <col min="8465" max="8704" width="9" style="3162"/>
    <col min="8705" max="8705" width="6.375" style="3162" customWidth="1"/>
    <col min="8706" max="8706" width="19.375" style="3162" customWidth="1"/>
    <col min="8707" max="8707" width="7" style="3162" customWidth="1"/>
    <col min="8708" max="8708" width="3.25" style="3162" customWidth="1"/>
    <col min="8709" max="8709" width="7.375" style="3162" customWidth="1"/>
    <col min="8710" max="8710" width="3.5" style="3162" customWidth="1"/>
    <col min="8711" max="8711" width="19.375" style="3162" customWidth="1"/>
    <col min="8712" max="8712" width="19.5" style="3162" customWidth="1"/>
    <col min="8713" max="8713" width="8.625" style="3162" customWidth="1"/>
    <col min="8714" max="8714" width="10.5" style="3162" customWidth="1"/>
    <col min="8715" max="8715" width="4.875" style="3162" customWidth="1"/>
    <col min="8716" max="8716" width="16.375" style="3162" customWidth="1"/>
    <col min="8717" max="8720" width="8.125" style="3162" customWidth="1"/>
    <col min="8721" max="8960" width="9" style="3162"/>
    <col min="8961" max="8961" width="6.375" style="3162" customWidth="1"/>
    <col min="8962" max="8962" width="19.375" style="3162" customWidth="1"/>
    <col min="8963" max="8963" width="7" style="3162" customWidth="1"/>
    <col min="8964" max="8964" width="3.25" style="3162" customWidth="1"/>
    <col min="8965" max="8965" width="7.375" style="3162" customWidth="1"/>
    <col min="8966" max="8966" width="3.5" style="3162" customWidth="1"/>
    <col min="8967" max="8967" width="19.375" style="3162" customWidth="1"/>
    <col min="8968" max="8968" width="19.5" style="3162" customWidth="1"/>
    <col min="8969" max="8969" width="8.625" style="3162" customWidth="1"/>
    <col min="8970" max="8970" width="10.5" style="3162" customWidth="1"/>
    <col min="8971" max="8971" width="4.875" style="3162" customWidth="1"/>
    <col min="8972" max="8972" width="16.375" style="3162" customWidth="1"/>
    <col min="8973" max="8976" width="8.125" style="3162" customWidth="1"/>
    <col min="8977" max="9216" width="9" style="3162"/>
    <col min="9217" max="9217" width="6.375" style="3162" customWidth="1"/>
    <col min="9218" max="9218" width="19.375" style="3162" customWidth="1"/>
    <col min="9219" max="9219" width="7" style="3162" customWidth="1"/>
    <col min="9220" max="9220" width="3.25" style="3162" customWidth="1"/>
    <col min="9221" max="9221" width="7.375" style="3162" customWidth="1"/>
    <col min="9222" max="9222" width="3.5" style="3162" customWidth="1"/>
    <col min="9223" max="9223" width="19.375" style="3162" customWidth="1"/>
    <col min="9224" max="9224" width="19.5" style="3162" customWidth="1"/>
    <col min="9225" max="9225" width="8.625" style="3162" customWidth="1"/>
    <col min="9226" max="9226" width="10.5" style="3162" customWidth="1"/>
    <col min="9227" max="9227" width="4.875" style="3162" customWidth="1"/>
    <col min="9228" max="9228" width="16.375" style="3162" customWidth="1"/>
    <col min="9229" max="9232" width="8.125" style="3162" customWidth="1"/>
    <col min="9233" max="9472" width="9" style="3162"/>
    <col min="9473" max="9473" width="6.375" style="3162" customWidth="1"/>
    <col min="9474" max="9474" width="19.375" style="3162" customWidth="1"/>
    <col min="9475" max="9475" width="7" style="3162" customWidth="1"/>
    <col min="9476" max="9476" width="3.25" style="3162" customWidth="1"/>
    <col min="9477" max="9477" width="7.375" style="3162" customWidth="1"/>
    <col min="9478" max="9478" width="3.5" style="3162" customWidth="1"/>
    <col min="9479" max="9479" width="19.375" style="3162" customWidth="1"/>
    <col min="9480" max="9480" width="19.5" style="3162" customWidth="1"/>
    <col min="9481" max="9481" width="8.625" style="3162" customWidth="1"/>
    <col min="9482" max="9482" width="10.5" style="3162" customWidth="1"/>
    <col min="9483" max="9483" width="4.875" style="3162" customWidth="1"/>
    <col min="9484" max="9484" width="16.375" style="3162" customWidth="1"/>
    <col min="9485" max="9488" width="8.125" style="3162" customWidth="1"/>
    <col min="9489" max="9728" width="9" style="3162"/>
    <col min="9729" max="9729" width="6.375" style="3162" customWidth="1"/>
    <col min="9730" max="9730" width="19.375" style="3162" customWidth="1"/>
    <col min="9731" max="9731" width="7" style="3162" customWidth="1"/>
    <col min="9732" max="9732" width="3.25" style="3162" customWidth="1"/>
    <col min="9733" max="9733" width="7.375" style="3162" customWidth="1"/>
    <col min="9734" max="9734" width="3.5" style="3162" customWidth="1"/>
    <col min="9735" max="9735" width="19.375" style="3162" customWidth="1"/>
    <col min="9736" max="9736" width="19.5" style="3162" customWidth="1"/>
    <col min="9737" max="9737" width="8.625" style="3162" customWidth="1"/>
    <col min="9738" max="9738" width="10.5" style="3162" customWidth="1"/>
    <col min="9739" max="9739" width="4.875" style="3162" customWidth="1"/>
    <col min="9740" max="9740" width="16.375" style="3162" customWidth="1"/>
    <col min="9741" max="9744" width="8.125" style="3162" customWidth="1"/>
    <col min="9745" max="9984" width="9" style="3162"/>
    <col min="9985" max="9985" width="6.375" style="3162" customWidth="1"/>
    <col min="9986" max="9986" width="19.375" style="3162" customWidth="1"/>
    <col min="9987" max="9987" width="7" style="3162" customWidth="1"/>
    <col min="9988" max="9988" width="3.25" style="3162" customWidth="1"/>
    <col min="9989" max="9989" width="7.375" style="3162" customWidth="1"/>
    <col min="9990" max="9990" width="3.5" style="3162" customWidth="1"/>
    <col min="9991" max="9991" width="19.375" style="3162" customWidth="1"/>
    <col min="9992" max="9992" width="19.5" style="3162" customWidth="1"/>
    <col min="9993" max="9993" width="8.625" style="3162" customWidth="1"/>
    <col min="9994" max="9994" width="10.5" style="3162" customWidth="1"/>
    <col min="9995" max="9995" width="4.875" style="3162" customWidth="1"/>
    <col min="9996" max="9996" width="16.375" style="3162" customWidth="1"/>
    <col min="9997" max="10000" width="8.125" style="3162" customWidth="1"/>
    <col min="10001" max="10240" width="9" style="3162"/>
    <col min="10241" max="10241" width="6.375" style="3162" customWidth="1"/>
    <col min="10242" max="10242" width="19.375" style="3162" customWidth="1"/>
    <col min="10243" max="10243" width="7" style="3162" customWidth="1"/>
    <col min="10244" max="10244" width="3.25" style="3162" customWidth="1"/>
    <col min="10245" max="10245" width="7.375" style="3162" customWidth="1"/>
    <col min="10246" max="10246" width="3.5" style="3162" customWidth="1"/>
    <col min="10247" max="10247" width="19.375" style="3162" customWidth="1"/>
    <col min="10248" max="10248" width="19.5" style="3162" customWidth="1"/>
    <col min="10249" max="10249" width="8.625" style="3162" customWidth="1"/>
    <col min="10250" max="10250" width="10.5" style="3162" customWidth="1"/>
    <col min="10251" max="10251" width="4.875" style="3162" customWidth="1"/>
    <col min="10252" max="10252" width="16.375" style="3162" customWidth="1"/>
    <col min="10253" max="10256" width="8.125" style="3162" customWidth="1"/>
    <col min="10257" max="10496" width="9" style="3162"/>
    <col min="10497" max="10497" width="6.375" style="3162" customWidth="1"/>
    <col min="10498" max="10498" width="19.375" style="3162" customWidth="1"/>
    <col min="10499" max="10499" width="7" style="3162" customWidth="1"/>
    <col min="10500" max="10500" width="3.25" style="3162" customWidth="1"/>
    <col min="10501" max="10501" width="7.375" style="3162" customWidth="1"/>
    <col min="10502" max="10502" width="3.5" style="3162" customWidth="1"/>
    <col min="10503" max="10503" width="19.375" style="3162" customWidth="1"/>
    <col min="10504" max="10504" width="19.5" style="3162" customWidth="1"/>
    <col min="10505" max="10505" width="8.625" style="3162" customWidth="1"/>
    <col min="10506" max="10506" width="10.5" style="3162" customWidth="1"/>
    <col min="10507" max="10507" width="4.875" style="3162" customWidth="1"/>
    <col min="10508" max="10508" width="16.375" style="3162" customWidth="1"/>
    <col min="10509" max="10512" width="8.125" style="3162" customWidth="1"/>
    <col min="10513" max="10752" width="9" style="3162"/>
    <col min="10753" max="10753" width="6.375" style="3162" customWidth="1"/>
    <col min="10754" max="10754" width="19.375" style="3162" customWidth="1"/>
    <col min="10755" max="10755" width="7" style="3162" customWidth="1"/>
    <col min="10756" max="10756" width="3.25" style="3162" customWidth="1"/>
    <col min="10757" max="10757" width="7.375" style="3162" customWidth="1"/>
    <col min="10758" max="10758" width="3.5" style="3162" customWidth="1"/>
    <col min="10759" max="10759" width="19.375" style="3162" customWidth="1"/>
    <col min="10760" max="10760" width="19.5" style="3162" customWidth="1"/>
    <col min="10761" max="10761" width="8.625" style="3162" customWidth="1"/>
    <col min="10762" max="10762" width="10.5" style="3162" customWidth="1"/>
    <col min="10763" max="10763" width="4.875" style="3162" customWidth="1"/>
    <col min="10764" max="10764" width="16.375" style="3162" customWidth="1"/>
    <col min="10765" max="10768" width="8.125" style="3162" customWidth="1"/>
    <col min="10769" max="11008" width="9" style="3162"/>
    <col min="11009" max="11009" width="6.375" style="3162" customWidth="1"/>
    <col min="11010" max="11010" width="19.375" style="3162" customWidth="1"/>
    <col min="11011" max="11011" width="7" style="3162" customWidth="1"/>
    <col min="11012" max="11012" width="3.25" style="3162" customWidth="1"/>
    <col min="11013" max="11013" width="7.375" style="3162" customWidth="1"/>
    <col min="11014" max="11014" width="3.5" style="3162" customWidth="1"/>
    <col min="11015" max="11015" width="19.375" style="3162" customWidth="1"/>
    <col min="11016" max="11016" width="19.5" style="3162" customWidth="1"/>
    <col min="11017" max="11017" width="8.625" style="3162" customWidth="1"/>
    <col min="11018" max="11018" width="10.5" style="3162" customWidth="1"/>
    <col min="11019" max="11019" width="4.875" style="3162" customWidth="1"/>
    <col min="11020" max="11020" width="16.375" style="3162" customWidth="1"/>
    <col min="11021" max="11024" width="8.125" style="3162" customWidth="1"/>
    <col min="11025" max="11264" width="9" style="3162"/>
    <col min="11265" max="11265" width="6.375" style="3162" customWidth="1"/>
    <col min="11266" max="11266" width="19.375" style="3162" customWidth="1"/>
    <col min="11267" max="11267" width="7" style="3162" customWidth="1"/>
    <col min="11268" max="11268" width="3.25" style="3162" customWidth="1"/>
    <col min="11269" max="11269" width="7.375" style="3162" customWidth="1"/>
    <col min="11270" max="11270" width="3.5" style="3162" customWidth="1"/>
    <col min="11271" max="11271" width="19.375" style="3162" customWidth="1"/>
    <col min="11272" max="11272" width="19.5" style="3162" customWidth="1"/>
    <col min="11273" max="11273" width="8.625" style="3162" customWidth="1"/>
    <col min="11274" max="11274" width="10.5" style="3162" customWidth="1"/>
    <col min="11275" max="11275" width="4.875" style="3162" customWidth="1"/>
    <col min="11276" max="11276" width="16.375" style="3162" customWidth="1"/>
    <col min="11277" max="11280" width="8.125" style="3162" customWidth="1"/>
    <col min="11281" max="11520" width="9" style="3162"/>
    <col min="11521" max="11521" width="6.375" style="3162" customWidth="1"/>
    <col min="11522" max="11522" width="19.375" style="3162" customWidth="1"/>
    <col min="11523" max="11523" width="7" style="3162" customWidth="1"/>
    <col min="11524" max="11524" width="3.25" style="3162" customWidth="1"/>
    <col min="11525" max="11525" width="7.375" style="3162" customWidth="1"/>
    <col min="11526" max="11526" width="3.5" style="3162" customWidth="1"/>
    <col min="11527" max="11527" width="19.375" style="3162" customWidth="1"/>
    <col min="11528" max="11528" width="19.5" style="3162" customWidth="1"/>
    <col min="11529" max="11529" width="8.625" style="3162" customWidth="1"/>
    <col min="11530" max="11530" width="10.5" style="3162" customWidth="1"/>
    <col min="11531" max="11531" width="4.875" style="3162" customWidth="1"/>
    <col min="11532" max="11532" width="16.375" style="3162" customWidth="1"/>
    <col min="11533" max="11536" width="8.125" style="3162" customWidth="1"/>
    <col min="11537" max="11776" width="9" style="3162"/>
    <col min="11777" max="11777" width="6.375" style="3162" customWidth="1"/>
    <col min="11778" max="11778" width="19.375" style="3162" customWidth="1"/>
    <col min="11779" max="11779" width="7" style="3162" customWidth="1"/>
    <col min="11780" max="11780" width="3.25" style="3162" customWidth="1"/>
    <col min="11781" max="11781" width="7.375" style="3162" customWidth="1"/>
    <col min="11782" max="11782" width="3.5" style="3162" customWidth="1"/>
    <col min="11783" max="11783" width="19.375" style="3162" customWidth="1"/>
    <col min="11784" max="11784" width="19.5" style="3162" customWidth="1"/>
    <col min="11785" max="11785" width="8.625" style="3162" customWidth="1"/>
    <col min="11786" max="11786" width="10.5" style="3162" customWidth="1"/>
    <col min="11787" max="11787" width="4.875" style="3162" customWidth="1"/>
    <col min="11788" max="11788" width="16.375" style="3162" customWidth="1"/>
    <col min="11789" max="11792" width="8.125" style="3162" customWidth="1"/>
    <col min="11793" max="12032" width="9" style="3162"/>
    <col min="12033" max="12033" width="6.375" style="3162" customWidth="1"/>
    <col min="12034" max="12034" width="19.375" style="3162" customWidth="1"/>
    <col min="12035" max="12035" width="7" style="3162" customWidth="1"/>
    <col min="12036" max="12036" width="3.25" style="3162" customWidth="1"/>
    <col min="12037" max="12037" width="7.375" style="3162" customWidth="1"/>
    <col min="12038" max="12038" width="3.5" style="3162" customWidth="1"/>
    <col min="12039" max="12039" width="19.375" style="3162" customWidth="1"/>
    <col min="12040" max="12040" width="19.5" style="3162" customWidth="1"/>
    <col min="12041" max="12041" width="8.625" style="3162" customWidth="1"/>
    <col min="12042" max="12042" width="10.5" style="3162" customWidth="1"/>
    <col min="12043" max="12043" width="4.875" style="3162" customWidth="1"/>
    <col min="12044" max="12044" width="16.375" style="3162" customWidth="1"/>
    <col min="12045" max="12048" width="8.125" style="3162" customWidth="1"/>
    <col min="12049" max="12288" width="9" style="3162"/>
    <col min="12289" max="12289" width="6.375" style="3162" customWidth="1"/>
    <col min="12290" max="12290" width="19.375" style="3162" customWidth="1"/>
    <col min="12291" max="12291" width="7" style="3162" customWidth="1"/>
    <col min="12292" max="12292" width="3.25" style="3162" customWidth="1"/>
    <col min="12293" max="12293" width="7.375" style="3162" customWidth="1"/>
    <col min="12294" max="12294" width="3.5" style="3162" customWidth="1"/>
    <col min="12295" max="12295" width="19.375" style="3162" customWidth="1"/>
    <col min="12296" max="12296" width="19.5" style="3162" customWidth="1"/>
    <col min="12297" max="12297" width="8.625" style="3162" customWidth="1"/>
    <col min="12298" max="12298" width="10.5" style="3162" customWidth="1"/>
    <col min="12299" max="12299" width="4.875" style="3162" customWidth="1"/>
    <col min="12300" max="12300" width="16.375" style="3162" customWidth="1"/>
    <col min="12301" max="12304" width="8.125" style="3162" customWidth="1"/>
    <col min="12305" max="12544" width="9" style="3162"/>
    <col min="12545" max="12545" width="6.375" style="3162" customWidth="1"/>
    <col min="12546" max="12546" width="19.375" style="3162" customWidth="1"/>
    <col min="12547" max="12547" width="7" style="3162" customWidth="1"/>
    <col min="12548" max="12548" width="3.25" style="3162" customWidth="1"/>
    <col min="12549" max="12549" width="7.375" style="3162" customWidth="1"/>
    <col min="12550" max="12550" width="3.5" style="3162" customWidth="1"/>
    <col min="12551" max="12551" width="19.375" style="3162" customWidth="1"/>
    <col min="12552" max="12552" width="19.5" style="3162" customWidth="1"/>
    <col min="12553" max="12553" width="8.625" style="3162" customWidth="1"/>
    <col min="12554" max="12554" width="10.5" style="3162" customWidth="1"/>
    <col min="12555" max="12555" width="4.875" style="3162" customWidth="1"/>
    <col min="12556" max="12556" width="16.375" style="3162" customWidth="1"/>
    <col min="12557" max="12560" width="8.125" style="3162" customWidth="1"/>
    <col min="12561" max="12800" width="9" style="3162"/>
    <col min="12801" max="12801" width="6.375" style="3162" customWidth="1"/>
    <col min="12802" max="12802" width="19.375" style="3162" customWidth="1"/>
    <col min="12803" max="12803" width="7" style="3162" customWidth="1"/>
    <col min="12804" max="12804" width="3.25" style="3162" customWidth="1"/>
    <col min="12805" max="12805" width="7.375" style="3162" customWidth="1"/>
    <col min="12806" max="12806" width="3.5" style="3162" customWidth="1"/>
    <col min="12807" max="12807" width="19.375" style="3162" customWidth="1"/>
    <col min="12808" max="12808" width="19.5" style="3162" customWidth="1"/>
    <col min="12809" max="12809" width="8.625" style="3162" customWidth="1"/>
    <col min="12810" max="12810" width="10.5" style="3162" customWidth="1"/>
    <col min="12811" max="12811" width="4.875" style="3162" customWidth="1"/>
    <col min="12812" max="12812" width="16.375" style="3162" customWidth="1"/>
    <col min="12813" max="12816" width="8.125" style="3162" customWidth="1"/>
    <col min="12817" max="13056" width="9" style="3162"/>
    <col min="13057" max="13057" width="6.375" style="3162" customWidth="1"/>
    <col min="13058" max="13058" width="19.375" style="3162" customWidth="1"/>
    <col min="13059" max="13059" width="7" style="3162" customWidth="1"/>
    <col min="13060" max="13060" width="3.25" style="3162" customWidth="1"/>
    <col min="13061" max="13061" width="7.375" style="3162" customWidth="1"/>
    <col min="13062" max="13062" width="3.5" style="3162" customWidth="1"/>
    <col min="13063" max="13063" width="19.375" style="3162" customWidth="1"/>
    <col min="13064" max="13064" width="19.5" style="3162" customWidth="1"/>
    <col min="13065" max="13065" width="8.625" style="3162" customWidth="1"/>
    <col min="13066" max="13066" width="10.5" style="3162" customWidth="1"/>
    <col min="13067" max="13067" width="4.875" style="3162" customWidth="1"/>
    <col min="13068" max="13068" width="16.375" style="3162" customWidth="1"/>
    <col min="13069" max="13072" width="8.125" style="3162" customWidth="1"/>
    <col min="13073" max="13312" width="9" style="3162"/>
    <col min="13313" max="13313" width="6.375" style="3162" customWidth="1"/>
    <col min="13314" max="13314" width="19.375" style="3162" customWidth="1"/>
    <col min="13315" max="13315" width="7" style="3162" customWidth="1"/>
    <col min="13316" max="13316" width="3.25" style="3162" customWidth="1"/>
    <col min="13317" max="13317" width="7.375" style="3162" customWidth="1"/>
    <col min="13318" max="13318" width="3.5" style="3162" customWidth="1"/>
    <col min="13319" max="13319" width="19.375" style="3162" customWidth="1"/>
    <col min="13320" max="13320" width="19.5" style="3162" customWidth="1"/>
    <col min="13321" max="13321" width="8.625" style="3162" customWidth="1"/>
    <col min="13322" max="13322" width="10.5" style="3162" customWidth="1"/>
    <col min="13323" max="13323" width="4.875" style="3162" customWidth="1"/>
    <col min="13324" max="13324" width="16.375" style="3162" customWidth="1"/>
    <col min="13325" max="13328" width="8.125" style="3162" customWidth="1"/>
    <col min="13329" max="13568" width="9" style="3162"/>
    <col min="13569" max="13569" width="6.375" style="3162" customWidth="1"/>
    <col min="13570" max="13570" width="19.375" style="3162" customWidth="1"/>
    <col min="13571" max="13571" width="7" style="3162" customWidth="1"/>
    <col min="13572" max="13572" width="3.25" style="3162" customWidth="1"/>
    <col min="13573" max="13573" width="7.375" style="3162" customWidth="1"/>
    <col min="13574" max="13574" width="3.5" style="3162" customWidth="1"/>
    <col min="13575" max="13575" width="19.375" style="3162" customWidth="1"/>
    <col min="13576" max="13576" width="19.5" style="3162" customWidth="1"/>
    <col min="13577" max="13577" width="8.625" style="3162" customWidth="1"/>
    <col min="13578" max="13578" width="10.5" style="3162" customWidth="1"/>
    <col min="13579" max="13579" width="4.875" style="3162" customWidth="1"/>
    <col min="13580" max="13580" width="16.375" style="3162" customWidth="1"/>
    <col min="13581" max="13584" width="8.125" style="3162" customWidth="1"/>
    <col min="13585" max="13824" width="9" style="3162"/>
    <col min="13825" max="13825" width="6.375" style="3162" customWidth="1"/>
    <col min="13826" max="13826" width="19.375" style="3162" customWidth="1"/>
    <col min="13827" max="13827" width="7" style="3162" customWidth="1"/>
    <col min="13828" max="13828" width="3.25" style="3162" customWidth="1"/>
    <col min="13829" max="13829" width="7.375" style="3162" customWidth="1"/>
    <col min="13830" max="13830" width="3.5" style="3162" customWidth="1"/>
    <col min="13831" max="13831" width="19.375" style="3162" customWidth="1"/>
    <col min="13832" max="13832" width="19.5" style="3162" customWidth="1"/>
    <col min="13833" max="13833" width="8.625" style="3162" customWidth="1"/>
    <col min="13834" max="13834" width="10.5" style="3162" customWidth="1"/>
    <col min="13835" max="13835" width="4.875" style="3162" customWidth="1"/>
    <col min="13836" max="13836" width="16.375" style="3162" customWidth="1"/>
    <col min="13837" max="13840" width="8.125" style="3162" customWidth="1"/>
    <col min="13841" max="14080" width="9" style="3162"/>
    <col min="14081" max="14081" width="6.375" style="3162" customWidth="1"/>
    <col min="14082" max="14082" width="19.375" style="3162" customWidth="1"/>
    <col min="14083" max="14083" width="7" style="3162" customWidth="1"/>
    <col min="14084" max="14084" width="3.25" style="3162" customWidth="1"/>
    <col min="14085" max="14085" width="7.375" style="3162" customWidth="1"/>
    <col min="14086" max="14086" width="3.5" style="3162" customWidth="1"/>
    <col min="14087" max="14087" width="19.375" style="3162" customWidth="1"/>
    <col min="14088" max="14088" width="19.5" style="3162" customWidth="1"/>
    <col min="14089" max="14089" width="8.625" style="3162" customWidth="1"/>
    <col min="14090" max="14090" width="10.5" style="3162" customWidth="1"/>
    <col min="14091" max="14091" width="4.875" style="3162" customWidth="1"/>
    <col min="14092" max="14092" width="16.375" style="3162" customWidth="1"/>
    <col min="14093" max="14096" width="8.125" style="3162" customWidth="1"/>
    <col min="14097" max="14336" width="9" style="3162"/>
    <col min="14337" max="14337" width="6.375" style="3162" customWidth="1"/>
    <col min="14338" max="14338" width="19.375" style="3162" customWidth="1"/>
    <col min="14339" max="14339" width="7" style="3162" customWidth="1"/>
    <col min="14340" max="14340" width="3.25" style="3162" customWidth="1"/>
    <col min="14341" max="14341" width="7.375" style="3162" customWidth="1"/>
    <col min="14342" max="14342" width="3.5" style="3162" customWidth="1"/>
    <col min="14343" max="14343" width="19.375" style="3162" customWidth="1"/>
    <col min="14344" max="14344" width="19.5" style="3162" customWidth="1"/>
    <col min="14345" max="14345" width="8.625" style="3162" customWidth="1"/>
    <col min="14346" max="14346" width="10.5" style="3162" customWidth="1"/>
    <col min="14347" max="14347" width="4.875" style="3162" customWidth="1"/>
    <col min="14348" max="14348" width="16.375" style="3162" customWidth="1"/>
    <col min="14349" max="14352" width="8.125" style="3162" customWidth="1"/>
    <col min="14353" max="14592" width="9" style="3162"/>
    <col min="14593" max="14593" width="6.375" style="3162" customWidth="1"/>
    <col min="14594" max="14594" width="19.375" style="3162" customWidth="1"/>
    <col min="14595" max="14595" width="7" style="3162" customWidth="1"/>
    <col min="14596" max="14596" width="3.25" style="3162" customWidth="1"/>
    <col min="14597" max="14597" width="7.375" style="3162" customWidth="1"/>
    <col min="14598" max="14598" width="3.5" style="3162" customWidth="1"/>
    <col min="14599" max="14599" width="19.375" style="3162" customWidth="1"/>
    <col min="14600" max="14600" width="19.5" style="3162" customWidth="1"/>
    <col min="14601" max="14601" width="8.625" style="3162" customWidth="1"/>
    <col min="14602" max="14602" width="10.5" style="3162" customWidth="1"/>
    <col min="14603" max="14603" width="4.875" style="3162" customWidth="1"/>
    <col min="14604" max="14604" width="16.375" style="3162" customWidth="1"/>
    <col min="14605" max="14608" width="8.125" style="3162" customWidth="1"/>
    <col min="14609" max="14848" width="9" style="3162"/>
    <col min="14849" max="14849" width="6.375" style="3162" customWidth="1"/>
    <col min="14850" max="14850" width="19.375" style="3162" customWidth="1"/>
    <col min="14851" max="14851" width="7" style="3162" customWidth="1"/>
    <col min="14852" max="14852" width="3.25" style="3162" customWidth="1"/>
    <col min="14853" max="14853" width="7.375" style="3162" customWidth="1"/>
    <col min="14854" max="14854" width="3.5" style="3162" customWidth="1"/>
    <col min="14855" max="14855" width="19.375" style="3162" customWidth="1"/>
    <col min="14856" max="14856" width="19.5" style="3162" customWidth="1"/>
    <col min="14857" max="14857" width="8.625" style="3162" customWidth="1"/>
    <col min="14858" max="14858" width="10.5" style="3162" customWidth="1"/>
    <col min="14859" max="14859" width="4.875" style="3162" customWidth="1"/>
    <col min="14860" max="14860" width="16.375" style="3162" customWidth="1"/>
    <col min="14861" max="14864" width="8.125" style="3162" customWidth="1"/>
    <col min="14865" max="15104" width="9" style="3162"/>
    <col min="15105" max="15105" width="6.375" style="3162" customWidth="1"/>
    <col min="15106" max="15106" width="19.375" style="3162" customWidth="1"/>
    <col min="15107" max="15107" width="7" style="3162" customWidth="1"/>
    <col min="15108" max="15108" width="3.25" style="3162" customWidth="1"/>
    <col min="15109" max="15109" width="7.375" style="3162" customWidth="1"/>
    <col min="15110" max="15110" width="3.5" style="3162" customWidth="1"/>
    <col min="15111" max="15111" width="19.375" style="3162" customWidth="1"/>
    <col min="15112" max="15112" width="19.5" style="3162" customWidth="1"/>
    <col min="15113" max="15113" width="8.625" style="3162" customWidth="1"/>
    <col min="15114" max="15114" width="10.5" style="3162" customWidth="1"/>
    <col min="15115" max="15115" width="4.875" style="3162" customWidth="1"/>
    <col min="15116" max="15116" width="16.375" style="3162" customWidth="1"/>
    <col min="15117" max="15120" width="8.125" style="3162" customWidth="1"/>
    <col min="15121" max="15360" width="9" style="3162"/>
    <col min="15361" max="15361" width="6.375" style="3162" customWidth="1"/>
    <col min="15362" max="15362" width="19.375" style="3162" customWidth="1"/>
    <col min="15363" max="15363" width="7" style="3162" customWidth="1"/>
    <col min="15364" max="15364" width="3.25" style="3162" customWidth="1"/>
    <col min="15365" max="15365" width="7.375" style="3162" customWidth="1"/>
    <col min="15366" max="15366" width="3.5" style="3162" customWidth="1"/>
    <col min="15367" max="15367" width="19.375" style="3162" customWidth="1"/>
    <col min="15368" max="15368" width="19.5" style="3162" customWidth="1"/>
    <col min="15369" max="15369" width="8.625" style="3162" customWidth="1"/>
    <col min="15370" max="15370" width="10.5" style="3162" customWidth="1"/>
    <col min="15371" max="15371" width="4.875" style="3162" customWidth="1"/>
    <col min="15372" max="15372" width="16.375" style="3162" customWidth="1"/>
    <col min="15373" max="15376" width="8.125" style="3162" customWidth="1"/>
    <col min="15377" max="15616" width="9" style="3162"/>
    <col min="15617" max="15617" width="6.375" style="3162" customWidth="1"/>
    <col min="15618" max="15618" width="19.375" style="3162" customWidth="1"/>
    <col min="15619" max="15619" width="7" style="3162" customWidth="1"/>
    <col min="15620" max="15620" width="3.25" style="3162" customWidth="1"/>
    <col min="15621" max="15621" width="7.375" style="3162" customWidth="1"/>
    <col min="15622" max="15622" width="3.5" style="3162" customWidth="1"/>
    <col min="15623" max="15623" width="19.375" style="3162" customWidth="1"/>
    <col min="15624" max="15624" width="19.5" style="3162" customWidth="1"/>
    <col min="15625" max="15625" width="8.625" style="3162" customWidth="1"/>
    <col min="15626" max="15626" width="10.5" style="3162" customWidth="1"/>
    <col min="15627" max="15627" width="4.875" style="3162" customWidth="1"/>
    <col min="15628" max="15628" width="16.375" style="3162" customWidth="1"/>
    <col min="15629" max="15632" width="8.125" style="3162" customWidth="1"/>
    <col min="15633" max="15872" width="9" style="3162"/>
    <col min="15873" max="15873" width="6.375" style="3162" customWidth="1"/>
    <col min="15874" max="15874" width="19.375" style="3162" customWidth="1"/>
    <col min="15875" max="15875" width="7" style="3162" customWidth="1"/>
    <col min="15876" max="15876" width="3.25" style="3162" customWidth="1"/>
    <col min="15877" max="15877" width="7.375" style="3162" customWidth="1"/>
    <col min="15878" max="15878" width="3.5" style="3162" customWidth="1"/>
    <col min="15879" max="15879" width="19.375" style="3162" customWidth="1"/>
    <col min="15880" max="15880" width="19.5" style="3162" customWidth="1"/>
    <col min="15881" max="15881" width="8.625" style="3162" customWidth="1"/>
    <col min="15882" max="15882" width="10.5" style="3162" customWidth="1"/>
    <col min="15883" max="15883" width="4.875" style="3162" customWidth="1"/>
    <col min="15884" max="15884" width="16.375" style="3162" customWidth="1"/>
    <col min="15885" max="15888" width="8.125" style="3162" customWidth="1"/>
    <col min="15889" max="16128" width="9" style="3162"/>
    <col min="16129" max="16129" width="6.375" style="3162" customWidth="1"/>
    <col min="16130" max="16130" width="19.375" style="3162" customWidth="1"/>
    <col min="16131" max="16131" width="7" style="3162" customWidth="1"/>
    <col min="16132" max="16132" width="3.25" style="3162" customWidth="1"/>
    <col min="16133" max="16133" width="7.375" style="3162" customWidth="1"/>
    <col min="16134" max="16134" width="3.5" style="3162" customWidth="1"/>
    <col min="16135" max="16135" width="19.375" style="3162" customWidth="1"/>
    <col min="16136" max="16136" width="19.5" style="3162" customWidth="1"/>
    <col min="16137" max="16137" width="8.625" style="3162" customWidth="1"/>
    <col min="16138" max="16138" width="10.5" style="3162" customWidth="1"/>
    <col min="16139" max="16139" width="4.875" style="3162" customWidth="1"/>
    <col min="16140" max="16140" width="16.375" style="3162" customWidth="1"/>
    <col min="16141" max="16144" width="8.125" style="3162" customWidth="1"/>
    <col min="16145" max="16384" width="9" style="3162"/>
  </cols>
  <sheetData>
    <row r="1" spans="1:16">
      <c r="A1" s="3378" t="s">
        <v>3436</v>
      </c>
      <c r="B1" s="3378"/>
      <c r="C1" s="3378"/>
      <c r="D1" s="3378"/>
      <c r="E1" s="3378"/>
      <c r="F1" s="3378"/>
      <c r="G1" s="3378"/>
      <c r="H1" s="3378"/>
      <c r="I1" s="3378"/>
      <c r="K1" s="3379" t="s">
        <v>3437</v>
      </c>
      <c r="L1" s="3159" t="s">
        <v>3438</v>
      </c>
      <c r="M1" s="3160">
        <v>0</v>
      </c>
      <c r="N1" s="3161"/>
      <c r="O1" s="3161"/>
    </row>
    <row r="2" spans="1:16" ht="15.75" customHeight="1">
      <c r="A2" s="3163" t="s">
        <v>2641</v>
      </c>
      <c r="B2" s="3164" t="s">
        <v>3439</v>
      </c>
      <c r="C2" s="3350" t="s">
        <v>3440</v>
      </c>
      <c r="D2" s="3351"/>
      <c r="E2" s="3351"/>
      <c r="F2" s="3352"/>
      <c r="G2" s="3165" t="s">
        <v>3441</v>
      </c>
      <c r="H2" s="3353" t="s">
        <v>3442</v>
      </c>
      <c r="I2" s="3353"/>
      <c r="K2" s="3379"/>
      <c r="L2" s="3159" t="s">
        <v>3443</v>
      </c>
      <c r="M2" s="3166">
        <f>2022-2011</f>
        <v>11</v>
      </c>
      <c r="N2" s="3167">
        <v>2011</v>
      </c>
      <c r="O2" s="3167"/>
    </row>
    <row r="3" spans="1:16">
      <c r="A3" s="3165" t="s">
        <v>3444</v>
      </c>
      <c r="B3" s="3168" t="s">
        <v>3445</v>
      </c>
      <c r="C3" s="3350">
        <f>ROUND('比较法-商业'!C48*'比较法-商业'!D3,0)</f>
        <v>3125582</v>
      </c>
      <c r="D3" s="3351"/>
      <c r="E3" s="3351"/>
      <c r="F3" s="3352"/>
      <c r="G3" s="3165" t="s">
        <v>3446</v>
      </c>
      <c r="H3" s="3168" t="s">
        <v>3447</v>
      </c>
      <c r="I3" s="3169">
        <f>铂郡面积表!E4</f>
        <v>94.89</v>
      </c>
      <c r="K3" s="3379"/>
      <c r="L3" s="3159" t="s">
        <v>3448</v>
      </c>
      <c r="M3" s="3170" t="s">
        <v>3449</v>
      </c>
      <c r="N3" s="3167"/>
      <c r="O3" s="3167"/>
    </row>
    <row r="4" spans="1:16">
      <c r="A4" s="3353" t="s">
        <v>3450</v>
      </c>
      <c r="B4" s="3358" t="s">
        <v>3451</v>
      </c>
      <c r="C4" s="3380">
        <f>ROUND(C3*(I4-I6)/(1-((1+I6)/(1+I4))^I5),0)</f>
        <v>191326</v>
      </c>
      <c r="D4" s="3381"/>
      <c r="E4" s="3381"/>
      <c r="F4" s="3382"/>
      <c r="G4" s="3353" t="s">
        <v>3452</v>
      </c>
      <c r="H4" s="3171" t="s">
        <v>3453</v>
      </c>
      <c r="I4" s="3248">
        <v>4.4999999999999998E-2</v>
      </c>
      <c r="K4" s="3379"/>
      <c r="L4" s="3159" t="s">
        <v>3454</v>
      </c>
      <c r="M4" s="3173">
        <f>ROUND(1-(1-M1)*M2/M3,2)</f>
        <v>0.82</v>
      </c>
      <c r="N4" s="3167"/>
      <c r="O4" s="3167"/>
    </row>
    <row r="5" spans="1:16" s="3177" customFormat="1" ht="18" customHeight="1">
      <c r="A5" s="3353"/>
      <c r="B5" s="3358"/>
      <c r="C5" s="3383"/>
      <c r="D5" s="3384"/>
      <c r="E5" s="3384"/>
      <c r="F5" s="3385"/>
      <c r="G5" s="3353"/>
      <c r="H5" s="3168" t="s">
        <v>3455</v>
      </c>
      <c r="I5" s="3174">
        <f>项目基本情况!D15</f>
        <v>18.55</v>
      </c>
      <c r="J5" s="3175"/>
      <c r="K5" s="3379"/>
      <c r="L5" s="3159" t="s">
        <v>3456</v>
      </c>
      <c r="M5" s="3176">
        <v>0.5</v>
      </c>
      <c r="N5" s="3167"/>
      <c r="O5" s="3167">
        <f>(M4+O10)/2</f>
        <v>0.86</v>
      </c>
    </row>
    <row r="6" spans="1:16" s="3177" customFormat="1" ht="18" customHeight="1">
      <c r="A6" s="3353"/>
      <c r="B6" s="3358"/>
      <c r="C6" s="3386"/>
      <c r="D6" s="3387"/>
      <c r="E6" s="3387"/>
      <c r="F6" s="3388"/>
      <c r="G6" s="3353"/>
      <c r="H6" s="3168" t="s">
        <v>3457</v>
      </c>
      <c r="I6" s="3172">
        <v>3.5000000000000003E-2</v>
      </c>
      <c r="J6" s="3178"/>
      <c r="K6" s="3389" t="s">
        <v>3458</v>
      </c>
      <c r="L6" s="3179" t="s">
        <v>3459</v>
      </c>
      <c r="M6" s="3180" t="s">
        <v>3460</v>
      </c>
      <c r="N6" s="3180" t="s">
        <v>3461</v>
      </c>
      <c r="O6" s="3180" t="s">
        <v>3462</v>
      </c>
      <c r="P6" s="3180" t="s">
        <v>3463</v>
      </c>
    </row>
    <row r="7" spans="1:16" s="3177" customFormat="1" ht="18" customHeight="1">
      <c r="A7" s="3165" t="s">
        <v>3464</v>
      </c>
      <c r="B7" s="3168" t="s">
        <v>3465</v>
      </c>
      <c r="C7" s="3350">
        <f>ROUND(C23*I7,0)</f>
        <v>397714</v>
      </c>
      <c r="D7" s="3351"/>
      <c r="E7" s="3351"/>
      <c r="F7" s="3352"/>
      <c r="G7" s="3165" t="s">
        <v>3466</v>
      </c>
      <c r="H7" s="3168" t="s">
        <v>3467</v>
      </c>
      <c r="I7" s="3181">
        <f>'数据-取费表'!N6</f>
        <v>0.78</v>
      </c>
      <c r="K7" s="3389"/>
      <c r="L7" s="3179" t="s">
        <v>3468</v>
      </c>
      <c r="M7" s="3180">
        <v>100</v>
      </c>
      <c r="N7" s="3180" t="s">
        <v>3469</v>
      </c>
      <c r="O7" s="3180">
        <v>90</v>
      </c>
      <c r="P7" s="3182">
        <v>0.3</v>
      </c>
    </row>
    <row r="8" spans="1:16" s="3177" customFormat="1" ht="18" customHeight="1">
      <c r="A8" s="3163" t="s">
        <v>3470</v>
      </c>
      <c r="B8" s="3168" t="s">
        <v>3471</v>
      </c>
      <c r="C8" s="3350">
        <f>ROUND(I8*I3,0)</f>
        <v>332115</v>
      </c>
      <c r="D8" s="3351"/>
      <c r="E8" s="3351"/>
      <c r="F8" s="3352"/>
      <c r="G8" s="3165" t="s">
        <v>3472</v>
      </c>
      <c r="H8" s="3168" t="s">
        <v>3473</v>
      </c>
      <c r="I8" s="3165">
        <v>3500</v>
      </c>
      <c r="J8" s="3183">
        <f>D35</f>
        <v>6</v>
      </c>
      <c r="K8" s="3389"/>
      <c r="L8" s="3179" t="s">
        <v>3474</v>
      </c>
      <c r="M8" s="3180">
        <v>100</v>
      </c>
      <c r="N8" s="3180" t="s">
        <v>3469</v>
      </c>
      <c r="O8" s="3180">
        <v>90</v>
      </c>
      <c r="P8" s="3182">
        <v>0.5</v>
      </c>
    </row>
    <row r="9" spans="1:16" s="3177" customFormat="1" ht="18" customHeight="1">
      <c r="A9" s="3163" t="s">
        <v>3475</v>
      </c>
      <c r="B9" s="3168" t="s">
        <v>3476</v>
      </c>
      <c r="C9" s="3350">
        <f>ROUND(C8*H9,0)</f>
        <v>13285</v>
      </c>
      <c r="D9" s="3351"/>
      <c r="E9" s="3351"/>
      <c r="F9" s="3352"/>
      <c r="G9" s="3165" t="s">
        <v>3477</v>
      </c>
      <c r="H9" s="3375">
        <f>'[1]数据-取费表'!B33</f>
        <v>0.04</v>
      </c>
      <c r="I9" s="3375"/>
      <c r="J9" s="3183">
        <f>D36</f>
        <v>7.1</v>
      </c>
      <c r="K9" s="3389"/>
      <c r="L9" s="3179" t="s">
        <v>3478</v>
      </c>
      <c r="M9" s="3180">
        <v>100</v>
      </c>
      <c r="N9" s="3180" t="s">
        <v>3469</v>
      </c>
      <c r="O9" s="3180">
        <v>90</v>
      </c>
      <c r="P9" s="3182">
        <f>1-P7-P8</f>
        <v>0.19999999999999996</v>
      </c>
    </row>
    <row r="10" spans="1:16" s="3177" customFormat="1" ht="18" customHeight="1">
      <c r="A10" s="3163" t="s">
        <v>3479</v>
      </c>
      <c r="B10" s="3168" t="s">
        <v>3480</v>
      </c>
      <c r="C10" s="3350">
        <f>ROUND(C8*H10,0)</f>
        <v>0</v>
      </c>
      <c r="D10" s="3351"/>
      <c r="E10" s="3351"/>
      <c r="F10" s="3352"/>
      <c r="G10" s="3165" t="s">
        <v>3477</v>
      </c>
      <c r="H10" s="3375">
        <f>'[1]数据-取费表'!B34</f>
        <v>0</v>
      </c>
      <c r="I10" s="3375"/>
      <c r="J10" s="3183">
        <f>D37</f>
        <v>6.3</v>
      </c>
      <c r="K10" s="3389"/>
      <c r="L10" s="3184" t="s">
        <v>3456</v>
      </c>
      <c r="M10" s="3185">
        <f>1-M5</f>
        <v>0.5</v>
      </c>
      <c r="N10" s="3180" t="s">
        <v>3454</v>
      </c>
      <c r="O10" s="3186">
        <f>ROUND((O7*P7+O8*P8+O9*P9)/100,2)</f>
        <v>0.9</v>
      </c>
      <c r="P10" s="3187"/>
    </row>
    <row r="11" spans="1:16" s="3177" customFormat="1" ht="29.25" customHeight="1">
      <c r="A11" s="3163" t="s">
        <v>3481</v>
      </c>
      <c r="B11" s="3168" t="s">
        <v>3482</v>
      </c>
      <c r="C11" s="3350">
        <f>ROUND(I11*I3,0)</f>
        <v>18978</v>
      </c>
      <c r="D11" s="3351"/>
      <c r="E11" s="3351"/>
      <c r="F11" s="3352"/>
      <c r="G11" s="3165" t="s">
        <v>3483</v>
      </c>
      <c r="H11" s="3168" t="s">
        <v>3484</v>
      </c>
      <c r="I11" s="3165">
        <f>'数据-取费表'!B28</f>
        <v>200</v>
      </c>
      <c r="J11" s="3175"/>
      <c r="K11" s="3139"/>
      <c r="L11" s="3139"/>
    </row>
    <row r="12" spans="1:16" s="3177" customFormat="1" ht="18" customHeight="1">
      <c r="A12" s="3163" t="s">
        <v>3485</v>
      </c>
      <c r="B12" s="3168" t="s">
        <v>3486</v>
      </c>
      <c r="C12" s="3350">
        <f>ROUND(C8*H12,0)</f>
        <v>4982</v>
      </c>
      <c r="D12" s="3351"/>
      <c r="E12" s="3351"/>
      <c r="F12" s="3352"/>
      <c r="G12" s="3165" t="s">
        <v>3477</v>
      </c>
      <c r="H12" s="3375">
        <f>'[1]数据-取费表'!B36</f>
        <v>1.4999999999999999E-2</v>
      </c>
      <c r="I12" s="3375"/>
      <c r="J12" s="3188" t="s">
        <v>3487</v>
      </c>
      <c r="L12" s="3189"/>
    </row>
    <row r="13" spans="1:16" s="3177" customFormat="1" ht="18" customHeight="1">
      <c r="A13" s="3163" t="s">
        <v>438</v>
      </c>
      <c r="B13" s="3168" t="s">
        <v>3488</v>
      </c>
      <c r="C13" s="3350">
        <f>SUM(C8:F12)</f>
        <v>369360</v>
      </c>
      <c r="D13" s="3351"/>
      <c r="E13" s="3351"/>
      <c r="F13" s="3352"/>
      <c r="G13" s="3353" t="s">
        <v>3489</v>
      </c>
      <c r="H13" s="3353"/>
      <c r="I13" s="3353"/>
      <c r="J13" s="3188" t="s">
        <v>3490</v>
      </c>
      <c r="L13" s="3189"/>
    </row>
    <row r="14" spans="1:16" s="3177" customFormat="1" ht="18" customHeight="1">
      <c r="A14" s="3163" t="s">
        <v>3491</v>
      </c>
      <c r="B14" s="3168" t="s">
        <v>3492</v>
      </c>
      <c r="C14" s="3350">
        <f>ROUND(C13*H14,0)</f>
        <v>7387</v>
      </c>
      <c r="D14" s="3351"/>
      <c r="E14" s="3351"/>
      <c r="F14" s="3352"/>
      <c r="G14" s="3165" t="s">
        <v>3493</v>
      </c>
      <c r="H14" s="3375">
        <f>'数据-取费表'!B37</f>
        <v>0.02</v>
      </c>
      <c r="I14" s="3375"/>
      <c r="J14" s="3175"/>
      <c r="L14" s="3189"/>
    </row>
    <row r="15" spans="1:16" s="3177" customFormat="1" ht="18" customHeight="1">
      <c r="A15" s="3163" t="s">
        <v>393</v>
      </c>
      <c r="B15" s="3168" t="s">
        <v>3494</v>
      </c>
      <c r="C15" s="3365">
        <f>H15</f>
        <v>0.02</v>
      </c>
      <c r="D15" s="3366"/>
      <c r="E15" s="3373" t="str">
        <f>E18</f>
        <v>V</v>
      </c>
      <c r="F15" s="3374"/>
      <c r="G15" s="3165" t="s">
        <v>3495</v>
      </c>
      <c r="H15" s="3375">
        <f>'数据-取费表'!B38</f>
        <v>0.02</v>
      </c>
      <c r="I15" s="3375"/>
      <c r="J15" s="3190"/>
      <c r="K15" s="3151"/>
    </row>
    <row r="16" spans="1:16" s="3177" customFormat="1" ht="18" customHeight="1">
      <c r="A16" s="3191" t="s">
        <v>394</v>
      </c>
      <c r="B16" s="3192" t="s">
        <v>3496</v>
      </c>
      <c r="C16" s="3193">
        <f>C17</f>
        <v>17895</v>
      </c>
      <c r="D16" s="3194" t="s">
        <v>3497</v>
      </c>
      <c r="E16" s="3195">
        <f>C18</f>
        <v>9.5E-4</v>
      </c>
      <c r="F16" s="3196" t="str">
        <f>E18</f>
        <v>V</v>
      </c>
      <c r="G16" s="3350" t="s">
        <v>3498</v>
      </c>
      <c r="H16" s="3351"/>
      <c r="I16" s="3352"/>
      <c r="J16" s="3175"/>
      <c r="K16" s="3139"/>
    </row>
    <row r="17" spans="1:15" s="3177" customFormat="1" ht="18" customHeight="1">
      <c r="A17" s="3163" t="s">
        <v>3499</v>
      </c>
      <c r="B17" s="3168" t="s">
        <v>3500</v>
      </c>
      <c r="C17" s="3350">
        <f>ROUND((C13+C14)*I18*(I17/2),0)</f>
        <v>17895</v>
      </c>
      <c r="D17" s="3351"/>
      <c r="E17" s="3351"/>
      <c r="F17" s="3352"/>
      <c r="G17" s="3193" t="s">
        <v>3501</v>
      </c>
      <c r="H17" s="3168" t="s">
        <v>3502</v>
      </c>
      <c r="I17" s="3165">
        <f>'[1]数据-取费表'!B20</f>
        <v>2</v>
      </c>
      <c r="J17" s="3188" t="s">
        <v>3503</v>
      </c>
      <c r="K17" s="3139"/>
      <c r="L17" s="3139"/>
    </row>
    <row r="18" spans="1:15" s="3177" customFormat="1" ht="18" customHeight="1">
      <c r="A18" s="3163" t="s">
        <v>3504</v>
      </c>
      <c r="B18" s="3168" t="s">
        <v>3505</v>
      </c>
      <c r="C18" s="3376">
        <f>H15*I18*I17/2</f>
        <v>9.5E-4</v>
      </c>
      <c r="D18" s="3377"/>
      <c r="E18" s="3373" t="s">
        <v>3506</v>
      </c>
      <c r="F18" s="3374"/>
      <c r="G18" s="3193" t="s">
        <v>3507</v>
      </c>
      <c r="H18" s="3168" t="s">
        <v>3508</v>
      </c>
      <c r="I18" s="3197">
        <v>4.7500000000000001E-2</v>
      </c>
      <c r="J18" s="3188" t="s">
        <v>3509</v>
      </c>
      <c r="K18" s="3139"/>
      <c r="L18" s="3139"/>
    </row>
    <row r="19" spans="1:15" s="3177" customFormat="1" ht="27" customHeight="1">
      <c r="A19" s="3163" t="s">
        <v>395</v>
      </c>
      <c r="B19" s="3168" t="s">
        <v>3510</v>
      </c>
      <c r="C19" s="3193">
        <f>C20</f>
        <v>75349</v>
      </c>
      <c r="D19" s="3194" t="s">
        <v>3497</v>
      </c>
      <c r="E19" s="3194">
        <f>C21</f>
        <v>4.0000000000000001E-3</v>
      </c>
      <c r="F19" s="3196" t="str">
        <f>E21</f>
        <v>V</v>
      </c>
      <c r="G19" s="3350" t="s">
        <v>3511</v>
      </c>
      <c r="H19" s="3351"/>
      <c r="I19" s="3352"/>
      <c r="J19" s="3175"/>
      <c r="K19" s="3139"/>
      <c r="L19" s="3139"/>
      <c r="N19" s="3177">
        <v>10</v>
      </c>
      <c r="O19" s="3177">
        <f>N19*365</f>
        <v>3650</v>
      </c>
    </row>
    <row r="20" spans="1:15" s="3177" customFormat="1" ht="26.25" customHeight="1">
      <c r="A20" s="3163" t="s">
        <v>3512</v>
      </c>
      <c r="B20" s="3168" t="s">
        <v>3513</v>
      </c>
      <c r="C20" s="3350">
        <f>ROUND((C13+C14)*I20,0)</f>
        <v>75349</v>
      </c>
      <c r="D20" s="3351"/>
      <c r="E20" s="3351"/>
      <c r="F20" s="3352"/>
      <c r="G20" s="3165" t="s">
        <v>3514</v>
      </c>
      <c r="H20" s="3370" t="s">
        <v>3515</v>
      </c>
      <c r="I20" s="3372">
        <v>0.2</v>
      </c>
      <c r="J20" s="3188" t="s">
        <v>3516</v>
      </c>
      <c r="K20" s="3139"/>
      <c r="L20" s="3139"/>
      <c r="N20" s="3177">
        <v>70000</v>
      </c>
      <c r="O20" s="3177">
        <f>O19/N20</f>
        <v>5.2142857142857144E-2</v>
      </c>
    </row>
    <row r="21" spans="1:15" s="3177" customFormat="1" ht="27" customHeight="1">
      <c r="A21" s="3163" t="s">
        <v>3512</v>
      </c>
      <c r="B21" s="3168" t="s">
        <v>3517</v>
      </c>
      <c r="C21" s="3365">
        <f>H15*I20</f>
        <v>4.0000000000000001E-3</v>
      </c>
      <c r="D21" s="3366"/>
      <c r="E21" s="3373" t="s">
        <v>3506</v>
      </c>
      <c r="F21" s="3374"/>
      <c r="G21" s="3165" t="s">
        <v>3518</v>
      </c>
      <c r="H21" s="3371"/>
      <c r="I21" s="3372"/>
      <c r="J21" s="3175"/>
      <c r="K21" s="3139"/>
      <c r="L21" s="3139"/>
    </row>
    <row r="22" spans="1:15" s="3177" customFormat="1" ht="18" customHeight="1">
      <c r="A22" s="3163" t="s">
        <v>396</v>
      </c>
      <c r="B22" s="3168" t="s">
        <v>3519</v>
      </c>
      <c r="C22" s="3365">
        <f>ROUND(H22/1.05,4)</f>
        <v>5.33E-2</v>
      </c>
      <c r="D22" s="3366"/>
      <c r="E22" s="3373" t="s">
        <v>3506</v>
      </c>
      <c r="F22" s="3374"/>
      <c r="G22" s="3165" t="s">
        <v>3520</v>
      </c>
      <c r="H22" s="3375">
        <v>5.6000000000000001E-2</v>
      </c>
      <c r="I22" s="3375"/>
      <c r="J22" s="3198"/>
      <c r="K22" s="3139"/>
      <c r="L22" s="3139"/>
    </row>
    <row r="23" spans="1:15" s="3177" customFormat="1" ht="18" customHeight="1">
      <c r="A23" s="3163" t="s">
        <v>3521</v>
      </c>
      <c r="B23" s="3168" t="s">
        <v>3522</v>
      </c>
      <c r="C23" s="3350">
        <f>ROUND((C13+C14+C17+C20)/(1-H15-C18-C21-C22),0)</f>
        <v>509890</v>
      </c>
      <c r="D23" s="3351"/>
      <c r="E23" s="3351"/>
      <c r="F23" s="3352"/>
      <c r="G23" s="3350" t="s">
        <v>3523</v>
      </c>
      <c r="H23" s="3351"/>
      <c r="I23" s="3352"/>
      <c r="J23" s="3198"/>
      <c r="K23" s="3139"/>
      <c r="L23" s="3139"/>
    </row>
    <row r="24" spans="1:15" s="3177" customFormat="1" ht="18" customHeight="1">
      <c r="A24" s="3163" t="s">
        <v>3524</v>
      </c>
      <c r="B24" s="3168" t="s">
        <v>3525</v>
      </c>
      <c r="C24" s="3199">
        <f>C26+C27</f>
        <v>2947</v>
      </c>
      <c r="D24" s="3200" t="s">
        <v>3526</v>
      </c>
      <c r="E24" s="3367">
        <f>H25+H28</f>
        <v>0.125</v>
      </c>
      <c r="F24" s="3368"/>
      <c r="G24" s="3353" t="s">
        <v>3527</v>
      </c>
      <c r="H24" s="3353"/>
      <c r="I24" s="3353"/>
      <c r="J24" s="3198"/>
      <c r="K24" s="3139"/>
      <c r="L24" s="3139"/>
    </row>
    <row r="25" spans="1:15" s="3177" customFormat="1" ht="18" customHeight="1">
      <c r="A25" s="3163" t="s">
        <v>438</v>
      </c>
      <c r="B25" s="3168" t="s">
        <v>3528</v>
      </c>
      <c r="C25" s="3365" t="s">
        <v>3529</v>
      </c>
      <c r="D25" s="3366"/>
      <c r="E25" s="3367">
        <f>H25</f>
        <v>0.12</v>
      </c>
      <c r="F25" s="3368"/>
      <c r="G25" s="3165" t="s">
        <v>3530</v>
      </c>
      <c r="H25" s="3349">
        <v>0.12</v>
      </c>
      <c r="I25" s="3349"/>
      <c r="J25" s="3190"/>
      <c r="K25" s="3139"/>
      <c r="L25" s="3139"/>
    </row>
    <row r="26" spans="1:15" s="3177" customFormat="1" ht="18" customHeight="1">
      <c r="A26" s="3163" t="s">
        <v>3491</v>
      </c>
      <c r="B26" s="3168" t="s">
        <v>3531</v>
      </c>
      <c r="C26" s="3350">
        <f>ROUND(C23*H26,0)</f>
        <v>2549</v>
      </c>
      <c r="D26" s="3351"/>
      <c r="E26" s="3351"/>
      <c r="F26" s="3352"/>
      <c r="G26" s="3165" t="s">
        <v>3532</v>
      </c>
      <c r="H26" s="3349">
        <v>5.0000000000000001E-3</v>
      </c>
      <c r="I26" s="3349"/>
      <c r="J26" s="3190"/>
      <c r="K26" s="3139"/>
      <c r="L26" s="3139"/>
    </row>
    <row r="27" spans="1:15" s="3177" customFormat="1" ht="18" customHeight="1">
      <c r="A27" s="3163" t="s">
        <v>393</v>
      </c>
      <c r="B27" s="3168" t="s">
        <v>3533</v>
      </c>
      <c r="C27" s="3350">
        <f>ROUND(C7*H27,0)</f>
        <v>398</v>
      </c>
      <c r="D27" s="3351"/>
      <c r="E27" s="3351"/>
      <c r="F27" s="3352"/>
      <c r="G27" s="3165" t="s">
        <v>3534</v>
      </c>
      <c r="H27" s="3369">
        <v>1E-3</v>
      </c>
      <c r="I27" s="3369"/>
      <c r="J27" s="3175"/>
      <c r="K27" s="3139"/>
      <c r="L27" s="3139"/>
    </row>
    <row r="28" spans="1:15" s="3177" customFormat="1" ht="18" customHeight="1">
      <c r="A28" s="3163" t="s">
        <v>394</v>
      </c>
      <c r="B28" s="3168" t="s">
        <v>3535</v>
      </c>
      <c r="C28" s="3365" t="s">
        <v>3529</v>
      </c>
      <c r="D28" s="3366"/>
      <c r="E28" s="3367">
        <f>H28</f>
        <v>5.0000000000000001E-3</v>
      </c>
      <c r="F28" s="3368"/>
      <c r="G28" s="3165" t="s">
        <v>3536</v>
      </c>
      <c r="H28" s="3349">
        <v>5.0000000000000001E-3</v>
      </c>
      <c r="I28" s="3349"/>
      <c r="J28" s="3201"/>
      <c r="K28" s="3139"/>
      <c r="L28" s="3139"/>
    </row>
    <row r="29" spans="1:15" s="3177" customFormat="1" ht="18" customHeight="1">
      <c r="A29" s="3165" t="s">
        <v>3537</v>
      </c>
      <c r="B29" s="3168" t="s">
        <v>3538</v>
      </c>
      <c r="C29" s="3350">
        <f>ROUND((C4+C24)/(1-E24),0)</f>
        <v>222026</v>
      </c>
      <c r="D29" s="3351"/>
      <c r="E29" s="3351"/>
      <c r="F29" s="3352"/>
      <c r="G29" s="3353" t="s">
        <v>3539</v>
      </c>
      <c r="H29" s="3353"/>
      <c r="I29" s="3353"/>
      <c r="J29" s="3202" t="s">
        <v>3540</v>
      </c>
      <c r="K29" s="3139"/>
      <c r="L29" s="3139"/>
    </row>
    <row r="30" spans="1:15" s="3177" customFormat="1" ht="21" customHeight="1">
      <c r="A30" s="3353" t="s">
        <v>3541</v>
      </c>
      <c r="B30" s="3358" t="s">
        <v>3542</v>
      </c>
      <c r="C30" s="3359">
        <f>ROUND(C29/I30/I31/I3,1)</f>
        <v>7.1</v>
      </c>
      <c r="D30" s="3360"/>
      <c r="E30" s="3360"/>
      <c r="F30" s="3361"/>
      <c r="G30" s="3353" t="s">
        <v>3543</v>
      </c>
      <c r="H30" s="3168" t="s">
        <v>3544</v>
      </c>
      <c r="I30" s="3165">
        <v>365</v>
      </c>
      <c r="J30" s="3203"/>
      <c r="K30" s="3139"/>
      <c r="L30" s="3139"/>
    </row>
    <row r="31" spans="1:15" s="3177" customFormat="1" ht="18" customHeight="1">
      <c r="A31" s="3353"/>
      <c r="B31" s="3358"/>
      <c r="C31" s="3362"/>
      <c r="D31" s="3363"/>
      <c r="E31" s="3363"/>
      <c r="F31" s="3364"/>
      <c r="G31" s="3353"/>
      <c r="H31" s="3168" t="s">
        <v>3545</v>
      </c>
      <c r="I31" s="3204">
        <v>0.9</v>
      </c>
      <c r="J31" s="3205"/>
      <c r="K31" s="3139"/>
      <c r="L31" s="3139"/>
    </row>
    <row r="32" spans="1:15" s="3177" customFormat="1" ht="18" customHeight="1">
      <c r="A32" s="3162"/>
      <c r="B32" s="3206"/>
      <c r="C32" s="3162"/>
      <c r="D32" s="3162"/>
      <c r="E32" s="3162"/>
      <c r="F32" s="3162"/>
      <c r="G32" s="3207"/>
      <c r="H32" s="3162"/>
      <c r="I32" s="3162"/>
      <c r="J32" s="3175"/>
      <c r="K32" s="3139"/>
      <c r="L32" s="3139"/>
    </row>
    <row r="33" spans="1:13" s="3177" customFormat="1" ht="18" customHeight="1">
      <c r="A33" s="3162"/>
      <c r="B33" s="3355" t="s">
        <v>3546</v>
      </c>
      <c r="C33" s="3355"/>
      <c r="D33" s="3355"/>
      <c r="E33" s="3355"/>
      <c r="F33" s="3355"/>
      <c r="G33" s="3208"/>
      <c r="H33" s="3209"/>
      <c r="I33" s="3162"/>
      <c r="J33" s="3175"/>
      <c r="K33" s="3139"/>
      <c r="L33" s="3139"/>
      <c r="M33" s="3162"/>
    </row>
    <row r="34" spans="1:13" s="3177" customFormat="1" ht="18" customHeight="1">
      <c r="A34" s="3162"/>
      <c r="B34" s="3210" t="s">
        <v>3547</v>
      </c>
      <c r="C34" s="3210" t="s">
        <v>3463</v>
      </c>
      <c r="D34" s="3356" t="s">
        <v>3548</v>
      </c>
      <c r="E34" s="3356"/>
      <c r="F34" s="3356"/>
      <c r="G34" s="3208"/>
      <c r="H34" s="3209"/>
      <c r="I34" s="3162"/>
      <c r="J34" s="3198"/>
      <c r="K34" s="3162"/>
      <c r="L34" s="3162"/>
      <c r="M34" s="3162"/>
    </row>
    <row r="35" spans="1:13">
      <c r="B35" s="3210" t="s">
        <v>3549</v>
      </c>
      <c r="C35" s="3211">
        <v>0.7</v>
      </c>
      <c r="D35" s="3354">
        <f>'比较法-商业租金'!C48</f>
        <v>6</v>
      </c>
      <c r="E35" s="3354"/>
      <c r="F35" s="3354"/>
      <c r="G35" s="3212">
        <f>(D35-D36)/D36</f>
        <v>-0.15492957746478869</v>
      </c>
      <c r="H35" s="3209"/>
      <c r="K35" s="3162"/>
      <c r="L35" s="3162"/>
    </row>
    <row r="36" spans="1:13" ht="20.100000000000001" customHeight="1">
      <c r="B36" s="3210" t="s">
        <v>3550</v>
      </c>
      <c r="C36" s="3211">
        <f>1-C35</f>
        <v>0.30000000000000004</v>
      </c>
      <c r="D36" s="3354">
        <f>C30</f>
        <v>7.1</v>
      </c>
      <c r="E36" s="3354"/>
      <c r="F36" s="3354"/>
      <c r="G36" s="3208"/>
      <c r="H36" s="3209"/>
      <c r="J36" s="3162"/>
      <c r="K36" s="3162"/>
      <c r="L36" s="3162"/>
    </row>
    <row r="37" spans="1:13" ht="22.5" customHeight="1">
      <c r="B37" s="3356" t="s">
        <v>3551</v>
      </c>
      <c r="C37" s="3356"/>
      <c r="D37" s="3357">
        <f>ROUND(C35*D35+C36*D36,1)</f>
        <v>6.3</v>
      </c>
      <c r="E37" s="3357"/>
      <c r="F37" s="3357"/>
      <c r="G37" s="3208">
        <f>ROUND(D37*I3/10000,2)</f>
        <v>0.06</v>
      </c>
      <c r="H37" s="3209"/>
      <c r="J37" s="3162"/>
      <c r="K37" s="3162"/>
      <c r="L37" s="3162"/>
    </row>
    <row r="38" spans="1:13" ht="22.5" customHeight="1">
      <c r="B38" s="3210" t="s">
        <v>3552</v>
      </c>
      <c r="C38" s="3210">
        <f>ROUND(D37*0.9,2)</f>
        <v>5.67</v>
      </c>
      <c r="D38" s="3213" t="s">
        <v>3553</v>
      </c>
      <c r="E38" s="3354">
        <f>ROUND(D37*1.1,2)</f>
        <v>6.93</v>
      </c>
      <c r="F38" s="3354"/>
      <c r="G38" s="3208" t="s">
        <v>3554</v>
      </c>
      <c r="H38" s="3214">
        <v>12</v>
      </c>
      <c r="J38" s="3162"/>
      <c r="K38" s="3162"/>
      <c r="L38" s="3162"/>
    </row>
    <row r="39" spans="1:13" ht="18" customHeight="1">
      <c r="B39" s="3210" t="s">
        <v>3555</v>
      </c>
      <c r="C39" s="3210">
        <f>ROUND(C38+H39,2)</f>
        <v>5.72</v>
      </c>
      <c r="D39" s="3213" t="s">
        <v>3553</v>
      </c>
      <c r="E39" s="3354">
        <f>ROUND(E38+H39,2)</f>
        <v>6.98</v>
      </c>
      <c r="F39" s="3354"/>
      <c r="G39" s="3215" t="s">
        <v>3556</v>
      </c>
      <c r="H39" s="3215">
        <v>0.05</v>
      </c>
      <c r="J39" s="3162"/>
      <c r="K39" s="3162"/>
      <c r="L39" s="3162"/>
    </row>
    <row r="40" spans="1:13" ht="18" customHeight="1">
      <c r="B40" s="3216"/>
      <c r="C40" s="3217"/>
      <c r="D40" s="3209"/>
      <c r="E40" s="3209"/>
      <c r="F40" s="3209"/>
      <c r="G40" s="3208"/>
      <c r="H40" s="3209"/>
      <c r="J40" s="3162"/>
    </row>
    <row r="41" spans="1:13" ht="18" customHeight="1">
      <c r="B41" s="3208" t="s">
        <v>3557</v>
      </c>
      <c r="C41" s="3209"/>
      <c r="D41" s="3209"/>
      <c r="E41" s="3208" t="s">
        <v>3558</v>
      </c>
      <c r="F41" s="3209"/>
      <c r="G41" s="3208"/>
      <c r="H41" s="3208" t="s">
        <v>3559</v>
      </c>
      <c r="J41" s="3162"/>
    </row>
    <row r="42" spans="1:13" ht="29.25" customHeight="1"/>
    <row r="45" spans="1:13">
      <c r="H45" s="3218"/>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49" t="str">
        <f>项目基本情况!B1</f>
        <v>北京市房地产市场价值预评估</v>
      </c>
      <c r="C37" s="3249"/>
      <c r="D37" s="3249"/>
      <c r="E37" s="3249"/>
      <c r="F37" s="3249"/>
      <c r="G37" s="3249"/>
      <c r="H37" s="3249"/>
      <c r="I37" s="3249"/>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1" customWidth="1"/>
    <col min="2" max="2" width="9.25" style="24" customWidth="1"/>
    <col min="3" max="3" width="5" style="24" customWidth="1"/>
    <col min="4" max="4" width="9" style="24"/>
    <col min="5" max="5" width="7.8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7"/>
      <c r="B1" s="925" t="s">
        <v>2083</v>
      </c>
      <c r="C1" s="3346" t="s">
        <v>2084</v>
      </c>
      <c r="D1" s="3347"/>
      <c r="E1" s="3347"/>
      <c r="F1" s="3347"/>
      <c r="G1" s="3347"/>
      <c r="H1" s="3347"/>
      <c r="I1" s="3347"/>
      <c r="J1" s="3347"/>
      <c r="K1" s="3347"/>
      <c r="L1" s="3347"/>
      <c r="M1" s="3347"/>
      <c r="N1" s="3347"/>
      <c r="O1" s="3347"/>
      <c r="P1" s="3347"/>
      <c r="Q1" s="3347"/>
      <c r="R1" s="3347"/>
      <c r="S1" s="3348"/>
      <c r="T1" s="925" t="s">
        <v>2085</v>
      </c>
    </row>
    <row r="2" spans="1:45" s="623" customFormat="1" ht="25.5">
      <c r="A2" s="926"/>
      <c r="B2" s="620" t="s">
        <v>2086</v>
      </c>
      <c r="C2" s="14" t="str">
        <f t="shared" ref="C2:L2" si="0">C3&amp;"(含)"&amp;"-"&amp;D3</f>
        <v>0(含)-50</v>
      </c>
      <c r="D2" s="621" t="str">
        <f t="shared" si="0"/>
        <v>50(含)-100</v>
      </c>
      <c r="E2" s="621" t="str">
        <f t="shared" si="0"/>
        <v>100(含)-300</v>
      </c>
      <c r="F2" s="621" t="str">
        <f t="shared" si="0"/>
        <v>300(含)-500</v>
      </c>
      <c r="G2" s="621" t="str">
        <f t="shared" si="0"/>
        <v>500(含)-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6" customFormat="1">
      <c r="A3" s="928"/>
      <c r="B3" s="624"/>
      <c r="C3" s="3240">
        <v>0</v>
      </c>
      <c r="D3" s="3241">
        <v>50</v>
      </c>
      <c r="E3" s="3241">
        <v>100</v>
      </c>
      <c r="F3" s="3242">
        <v>300</v>
      </c>
      <c r="G3" s="3242">
        <v>500</v>
      </c>
      <c r="H3" s="1216"/>
      <c r="I3" s="1216"/>
      <c r="J3" s="1216"/>
      <c r="K3" s="1216"/>
      <c r="L3" s="1217"/>
      <c r="M3" s="1218"/>
      <c r="N3" s="1218"/>
      <c r="O3" s="1216"/>
      <c r="P3" s="1216"/>
      <c r="Q3" s="1216"/>
      <c r="R3" s="1216"/>
      <c r="S3" s="1219"/>
      <c r="T3" s="62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6" customFormat="1" ht="13.5" thickBot="1">
      <c r="A4" s="929"/>
      <c r="B4" s="930"/>
      <c r="C4" s="3243">
        <v>100</v>
      </c>
      <c r="D4" s="3244">
        <v>98</v>
      </c>
      <c r="E4" s="3244">
        <v>96</v>
      </c>
      <c r="F4" s="3245">
        <v>94</v>
      </c>
      <c r="G4" s="3245">
        <v>92</v>
      </c>
      <c r="H4" s="1220"/>
      <c r="I4" s="1220"/>
      <c r="J4" s="1220"/>
      <c r="K4" s="1220"/>
      <c r="L4" s="1220"/>
      <c r="M4" s="1221"/>
      <c r="N4" s="1221"/>
      <c r="O4" s="1220"/>
      <c r="P4" s="1220"/>
      <c r="Q4" s="1220"/>
      <c r="R4" s="1220"/>
      <c r="S4" s="1222"/>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3229" t="s">
        <v>3590</v>
      </c>
      <c r="C5" s="3230" t="s">
        <v>3591</v>
      </c>
      <c r="D5" s="3231" t="s">
        <v>3592</v>
      </c>
      <c r="E5" s="937"/>
      <c r="F5" s="1223"/>
      <c r="G5" s="1223"/>
      <c r="H5" s="1223"/>
      <c r="I5" s="1223"/>
      <c r="J5" s="1223"/>
      <c r="K5" s="1223"/>
      <c r="L5" s="1224"/>
      <c r="M5" s="1225"/>
      <c r="N5" s="1225"/>
      <c r="O5" s="1223"/>
      <c r="P5" s="1223"/>
      <c r="Q5" s="1223"/>
      <c r="R5" s="1223"/>
      <c r="S5" s="1226"/>
      <c r="T5" s="3247">
        <v>25</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75</v>
      </c>
      <c r="E6" s="845">
        <f t="shared" ref="E6:S6" si="7">D6-$T5</f>
        <v>50</v>
      </c>
      <c r="F6" s="1227">
        <f t="shared" si="7"/>
        <v>25</v>
      </c>
      <c r="G6" s="1227">
        <f t="shared" si="7"/>
        <v>0</v>
      </c>
      <c r="H6" s="1227">
        <f t="shared" si="7"/>
        <v>-25</v>
      </c>
      <c r="I6" s="1227">
        <f t="shared" si="7"/>
        <v>-50</v>
      </c>
      <c r="J6" s="1227">
        <f t="shared" si="7"/>
        <v>-75</v>
      </c>
      <c r="K6" s="1227">
        <f t="shared" si="7"/>
        <v>-100</v>
      </c>
      <c r="L6" s="1227">
        <f t="shared" si="7"/>
        <v>-125</v>
      </c>
      <c r="M6" s="1227">
        <f t="shared" si="7"/>
        <v>-150</v>
      </c>
      <c r="N6" s="1227">
        <f t="shared" si="7"/>
        <v>-175</v>
      </c>
      <c r="O6" s="1227">
        <f t="shared" si="7"/>
        <v>-200</v>
      </c>
      <c r="P6" s="1227">
        <f t="shared" si="7"/>
        <v>-225</v>
      </c>
      <c r="Q6" s="1227">
        <f t="shared" si="7"/>
        <v>-250</v>
      </c>
      <c r="R6" s="1227">
        <f t="shared" si="7"/>
        <v>-275</v>
      </c>
      <c r="S6" s="1227">
        <f t="shared" si="7"/>
        <v>-300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3234" t="s">
        <v>3652</v>
      </c>
      <c r="C7" s="3235" t="s">
        <v>3618</v>
      </c>
      <c r="D7" s="3236" t="s">
        <v>3619</v>
      </c>
      <c r="E7" s="3236" t="s">
        <v>3654</v>
      </c>
      <c r="F7" s="1228"/>
      <c r="G7" s="1228"/>
      <c r="H7" s="1228"/>
      <c r="I7" s="1228"/>
      <c r="J7" s="1228"/>
      <c r="K7" s="1228"/>
      <c r="L7" s="1228"/>
      <c r="M7" s="1229"/>
      <c r="N7" s="1230"/>
      <c r="O7" s="1231"/>
      <c r="P7" s="1231"/>
      <c r="Q7" s="1232"/>
      <c r="R7" s="1233"/>
      <c r="S7" s="1234"/>
      <c r="T7" s="627">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98</v>
      </c>
      <c r="E8" s="845">
        <f t="shared" ref="E8:S8" si="8">D8-$T7</f>
        <v>96</v>
      </c>
      <c r="F8" s="1227">
        <f t="shared" si="8"/>
        <v>94</v>
      </c>
      <c r="G8" s="1227">
        <f t="shared" si="8"/>
        <v>92</v>
      </c>
      <c r="H8" s="1227">
        <f t="shared" si="8"/>
        <v>90</v>
      </c>
      <c r="I8" s="1227">
        <f t="shared" si="8"/>
        <v>88</v>
      </c>
      <c r="J8" s="1227">
        <f t="shared" si="8"/>
        <v>86</v>
      </c>
      <c r="K8" s="1227">
        <f t="shared" si="8"/>
        <v>84</v>
      </c>
      <c r="L8" s="1227">
        <f t="shared" si="8"/>
        <v>82</v>
      </c>
      <c r="M8" s="1227">
        <f t="shared" si="8"/>
        <v>80</v>
      </c>
      <c r="N8" s="1227">
        <f t="shared" si="8"/>
        <v>78</v>
      </c>
      <c r="O8" s="1227">
        <f t="shared" si="8"/>
        <v>76</v>
      </c>
      <c r="P8" s="1227">
        <f t="shared" si="8"/>
        <v>74</v>
      </c>
      <c r="Q8" s="1227">
        <f t="shared" si="8"/>
        <v>72</v>
      </c>
      <c r="R8" s="1227">
        <f t="shared" si="8"/>
        <v>70</v>
      </c>
      <c r="S8" s="1227">
        <f t="shared" si="8"/>
        <v>68</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21"/>
      <c r="B9" s="1246" t="s">
        <v>2087</v>
      </c>
      <c r="C9" s="847"/>
      <c r="D9" s="841"/>
      <c r="E9" s="841"/>
      <c r="F9" s="1228"/>
      <c r="G9" s="1228"/>
      <c r="H9" s="1228"/>
      <c r="I9" s="1228"/>
      <c r="J9" s="1228"/>
      <c r="K9" s="1228"/>
      <c r="L9" s="1235"/>
      <c r="M9" s="1229"/>
      <c r="N9" s="1230"/>
      <c r="O9" s="1231"/>
      <c r="P9" s="1231"/>
      <c r="Q9" s="1232"/>
      <c r="R9" s="1233"/>
      <c r="S9" s="1234"/>
      <c r="T9" s="62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21"/>
      <c r="B11" s="1245" t="s">
        <v>2088</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21"/>
      <c r="B13" s="1245" t="s">
        <v>2089</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21"/>
      <c r="B15" s="1245" t="s">
        <v>2090</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1" t="s">
        <v>2091</v>
      </c>
      <c r="B17" s="1982" t="s">
        <v>2092</v>
      </c>
      <c r="C17" s="3227" t="s">
        <v>3588</v>
      </c>
      <c r="D17" s="3228" t="s">
        <v>3589</v>
      </c>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1"/>
      <c r="AS17" s="681"/>
    </row>
    <row r="18" spans="1:45" s="623" customFormat="1" ht="13.5" thickBot="1">
      <c r="A18" s="957"/>
      <c r="B18" s="958"/>
      <c r="C18" s="959">
        <v>100</v>
      </c>
      <c r="D18" s="960">
        <v>70</v>
      </c>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1"/>
      <c r="AS18" s="681"/>
    </row>
    <row r="19" spans="1:45">
      <c r="A19" s="120"/>
      <c r="B19" s="150"/>
      <c r="C19" s="150"/>
      <c r="D19" s="1983" t="s">
        <v>2093</v>
      </c>
      <c r="E19" s="1249"/>
      <c r="F19" s="1249"/>
      <c r="G19" s="1249"/>
      <c r="H19" s="992"/>
      <c r="I19" s="150"/>
      <c r="J19" s="150"/>
      <c r="K19" s="150"/>
      <c r="L19" s="150"/>
      <c r="M19" s="150"/>
      <c r="N19" s="150"/>
      <c r="O19" s="150"/>
      <c r="P19" s="150"/>
      <c r="Q19" s="150"/>
      <c r="R19" s="150"/>
      <c r="S19" s="120"/>
    </row>
    <row r="20" spans="1:45" ht="16.5" thickBot="1">
      <c r="A20" s="628" t="s">
        <v>2094</v>
      </c>
      <c r="B20" s="285" t="e">
        <f>IF(D20="——",S22,S22-F20)</f>
        <v>#REF!</v>
      </c>
      <c r="C20" s="150"/>
      <c r="D20" s="1984" t="s">
        <v>43</v>
      </c>
      <c r="E20" s="1250"/>
      <c r="F20" s="925" t="e">
        <f ca="1">SUMIF(INDIRECT("'"&amp;H20&amp;"'"&amp;"!A:A"),"承租人权益价值",INDIRECT("'"&amp;H20&amp;"'"&amp;"!c:c"))</f>
        <v>#REF!</v>
      </c>
      <c r="G20" s="925" t="s">
        <v>2095</v>
      </c>
      <c r="H20" s="1985"/>
      <c r="I20" s="150"/>
      <c r="J20" s="150"/>
      <c r="K20" s="150"/>
      <c r="L20" s="150"/>
      <c r="M20" s="150"/>
      <c r="N20" s="150"/>
      <c r="O20" s="150"/>
      <c r="P20" s="150"/>
      <c r="Q20" s="150"/>
      <c r="R20" s="150"/>
      <c r="S20" s="120"/>
    </row>
    <row r="21" spans="1:45" ht="15.75">
      <c r="A21" s="628" t="s">
        <v>2096</v>
      </c>
      <c r="B21" s="285" t="e">
        <f>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t="e">
        <f>SUM(B24:B10000)</f>
        <v>#REF!</v>
      </c>
      <c r="C22" s="3343" t="s">
        <v>27</v>
      </c>
      <c r="D22" s="3344"/>
      <c r="E22" s="3344"/>
      <c r="F22" s="3344"/>
      <c r="G22" s="3344"/>
      <c r="H22" s="3344"/>
      <c r="I22" s="3344"/>
      <c r="J22" s="3344"/>
      <c r="K22" s="3344"/>
      <c r="L22" s="3344"/>
      <c r="M22" s="3344"/>
      <c r="N22" s="3344"/>
      <c r="O22" s="3344"/>
      <c r="P22" s="3344"/>
      <c r="Q22" s="3345"/>
      <c r="R22" s="21" t="e">
        <f>ROUND(S22*10000/B22,0)</f>
        <v>#REF!</v>
      </c>
      <c r="S22" s="21" t="e">
        <f>SUM(S24:S10000)</f>
        <v>#REF!</v>
      </c>
    </row>
    <row r="23" spans="1:45" s="9" customFormat="1" ht="25.5">
      <c r="A23" s="8" t="s">
        <v>2098</v>
      </c>
      <c r="B23" s="8" t="s">
        <v>2099</v>
      </c>
      <c r="C23" s="8" t="s">
        <v>2100</v>
      </c>
      <c r="D23" s="8" t="str">
        <f>B5</f>
        <v>是否临主街</v>
      </c>
      <c r="E23" s="8" t="s">
        <v>2100</v>
      </c>
      <c r="F23" s="8" t="str">
        <f>B7</f>
        <v>可视度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629" t="e">
        <f>铂郡面积表!#REF!</f>
        <v>#REF!</v>
      </c>
      <c r="B24" s="629" t="e">
        <f>铂郡面积表!#REF!</f>
        <v>#REF!</v>
      </c>
      <c r="C24" s="2565">
        <v>1</v>
      </c>
      <c r="D24" s="2566" t="e">
        <f>铂郡面积表!#REF!</f>
        <v>#REF!</v>
      </c>
      <c r="E24" s="2565">
        <v>1</v>
      </c>
      <c r="F24" s="2566" t="s">
        <v>3578</v>
      </c>
      <c r="G24" s="2565">
        <v>1</v>
      </c>
      <c r="H24" s="2566"/>
      <c r="I24" s="2565">
        <v>1</v>
      </c>
      <c r="J24" s="2566"/>
      <c r="K24" s="2565">
        <v>1</v>
      </c>
      <c r="L24" s="2566"/>
      <c r="M24" s="2565">
        <v>1</v>
      </c>
      <c r="N24" s="2566"/>
      <c r="O24" s="2565">
        <v>1</v>
      </c>
      <c r="P24" s="2566" t="e">
        <f>铂郡面积表!#REF!</f>
        <v>#REF!</v>
      </c>
      <c r="Q24" s="2565">
        <v>1</v>
      </c>
      <c r="R24" s="629">
        <f>'结果一览表-铂郡'!D37</f>
        <v>6.3</v>
      </c>
      <c r="S24" s="630" t="e">
        <f t="shared" ref="S24:S54" si="11">ROUND(R24*B24/10000,0)</f>
        <v>#REF!</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629" t="e">
        <f>铂郡面积表!#REF!</f>
        <v>#REF!</v>
      </c>
      <c r="B25" s="629" t="e">
        <f>铂郡面积表!#REF!</f>
        <v>#REF!</v>
      </c>
      <c r="C25" s="21" t="e">
        <f>IF(B25="",1,(LOOKUP(B25,$3:$3,$4:$4)-LOOKUP($B$24,$3:$3,$4:$4)+100)/100)</f>
        <v>#REF!</v>
      </c>
      <c r="D25" s="2566" t="e">
        <f>铂郡面积表!#REF!</f>
        <v>#REF!</v>
      </c>
      <c r="E25" s="21">
        <f>(SUMIF($5:$5,D25,$6:$6)-SUMIF($5:$5,$D$24,$6:$6)+100)/100</f>
        <v>1</v>
      </c>
      <c r="F25" s="2566" t="e">
        <f>铂郡面积表!#REF!</f>
        <v>#REF!</v>
      </c>
      <c r="G25" s="21">
        <f>(SUMIF($7:$7,F25,$8:$8)-SUMIF($7:$7,$F$24,$8:$8)+100)/100</f>
        <v>0</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66" t="e">
        <f>铂郡面积表!#REF!</f>
        <v>#REF!</v>
      </c>
      <c r="Q25" s="21">
        <f>(SUMIF($17:$17,P25,$18:$18)-SUMIF($17:$17,$P$24,$18:$18)+100)/100</f>
        <v>1</v>
      </c>
      <c r="R25" s="21" t="e">
        <f>IF(B25="",0,ROUND($R$24*C25*E25*G25*I25*K25*M25*O25*Q25,1))</f>
        <v>#REF!</v>
      </c>
      <c r="S25" s="307" t="e">
        <f t="shared" si="11"/>
        <v>#REF!</v>
      </c>
    </row>
    <row r="26" spans="1:45">
      <c r="A26" s="629" t="e">
        <f>铂郡面积表!#REF!</f>
        <v>#REF!</v>
      </c>
      <c r="B26" s="629" t="e">
        <f>铂郡面积表!#REF!</f>
        <v>#REF!</v>
      </c>
      <c r="C26" s="21" t="e">
        <f t="shared" ref="C26:C75" si="12">IF(B26="",1,(LOOKUP(B26,$3:$3,$4:$4)-LOOKUP($B$24,$3:$3,$4:$4)+100)/100)</f>
        <v>#REF!</v>
      </c>
      <c r="D26" s="2566" t="e">
        <f>铂郡面积表!#REF!</f>
        <v>#REF!</v>
      </c>
      <c r="E26" s="21">
        <f t="shared" ref="E26:E89" si="13">(SUMIF($5:$5,D26,$6:$6)-SUMIF($5:$5,$D$24,$6:$6)+100)/100</f>
        <v>1</v>
      </c>
      <c r="F26" s="2566" t="e">
        <f>铂郡面积表!#REF!</f>
        <v>#REF!</v>
      </c>
      <c r="G26" s="21">
        <f t="shared" ref="G26:G89" si="14">(SUMIF($7:$7,F26,$8:$8)-SUMIF($7:$7,$F$24,$8:$8)+100)/100</f>
        <v>0</v>
      </c>
      <c r="H26" s="631"/>
      <c r="I26" s="21">
        <f t="shared" ref="I26:I89" si="15">(SUMIF($9:$9,H26,$10:$10)-SUMIF($9:$9,$H$24,$10:$10)+100)/100</f>
        <v>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66" t="e">
        <f>铂郡面积表!#REF!</f>
        <v>#REF!</v>
      </c>
      <c r="Q26" s="21">
        <f t="shared" ref="Q26:Q89" si="19">(SUMIF($17:$17,P26,$18:$18)-SUMIF($17:$17,$P$24,$18:$18)+100)/100</f>
        <v>1</v>
      </c>
      <c r="R26" s="21" t="e">
        <f t="shared" ref="R26:R89" si="20">IF(B26="",0,ROUND($R$24*C26*E26*G26*I26*K26*M26*O26*Q26,1))</f>
        <v>#REF!</v>
      </c>
      <c r="S26" s="307" t="e">
        <f t="shared" si="11"/>
        <v>#REF!</v>
      </c>
    </row>
    <row r="27" spans="1:45">
      <c r="A27" s="629" t="e">
        <f>铂郡面积表!#REF!</f>
        <v>#REF!</v>
      </c>
      <c r="B27" s="629" t="e">
        <f>铂郡面积表!#REF!</f>
        <v>#REF!</v>
      </c>
      <c r="C27" s="21" t="e">
        <f t="shared" si="12"/>
        <v>#REF!</v>
      </c>
      <c r="D27" s="2566" t="e">
        <f>铂郡面积表!#REF!</f>
        <v>#REF!</v>
      </c>
      <c r="E27" s="21">
        <f t="shared" si="13"/>
        <v>1</v>
      </c>
      <c r="F27" s="2566" t="e">
        <f>铂郡面积表!#REF!</f>
        <v>#REF!</v>
      </c>
      <c r="G27" s="21">
        <f t="shared" si="14"/>
        <v>0</v>
      </c>
      <c r="H27" s="631"/>
      <c r="I27" s="21">
        <f t="shared" si="15"/>
        <v>1</v>
      </c>
      <c r="J27" s="631"/>
      <c r="K27" s="21">
        <f t="shared" si="16"/>
        <v>1</v>
      </c>
      <c r="L27" s="631"/>
      <c r="M27" s="21">
        <f t="shared" si="17"/>
        <v>1</v>
      </c>
      <c r="N27" s="631"/>
      <c r="O27" s="21">
        <f t="shared" si="18"/>
        <v>1</v>
      </c>
      <c r="P27" s="2566" t="e">
        <f>铂郡面积表!#REF!</f>
        <v>#REF!</v>
      </c>
      <c r="Q27" s="21">
        <f t="shared" si="19"/>
        <v>1</v>
      </c>
      <c r="R27" s="21" t="e">
        <f t="shared" si="20"/>
        <v>#REF!</v>
      </c>
      <c r="S27" s="307" t="e">
        <f t="shared" si="11"/>
        <v>#REF!</v>
      </c>
    </row>
    <row r="28" spans="1:45">
      <c r="A28" s="629" t="e">
        <f>铂郡面积表!#REF!</f>
        <v>#REF!</v>
      </c>
      <c r="B28" s="629" t="e">
        <f>铂郡面积表!#REF!</f>
        <v>#REF!</v>
      </c>
      <c r="C28" s="21" t="e">
        <f t="shared" si="12"/>
        <v>#REF!</v>
      </c>
      <c r="D28" s="2566" t="e">
        <f>铂郡面积表!#REF!</f>
        <v>#REF!</v>
      </c>
      <c r="E28" s="21">
        <f t="shared" si="13"/>
        <v>1</v>
      </c>
      <c r="F28" s="2566" t="e">
        <f>铂郡面积表!#REF!</f>
        <v>#REF!</v>
      </c>
      <c r="G28" s="21">
        <f t="shared" si="14"/>
        <v>0</v>
      </c>
      <c r="H28" s="631"/>
      <c r="I28" s="21">
        <f t="shared" si="15"/>
        <v>1</v>
      </c>
      <c r="J28" s="631"/>
      <c r="K28" s="21">
        <f t="shared" si="16"/>
        <v>1</v>
      </c>
      <c r="L28" s="631"/>
      <c r="M28" s="21">
        <f t="shared" si="17"/>
        <v>1</v>
      </c>
      <c r="N28" s="631"/>
      <c r="O28" s="21">
        <f t="shared" si="18"/>
        <v>1</v>
      </c>
      <c r="P28" s="2566" t="e">
        <f>铂郡面积表!#REF!</f>
        <v>#REF!</v>
      </c>
      <c r="Q28" s="21">
        <f t="shared" si="19"/>
        <v>1</v>
      </c>
      <c r="R28" s="21" t="e">
        <f t="shared" si="20"/>
        <v>#REF!</v>
      </c>
      <c r="S28" s="307" t="e">
        <f t="shared" si="11"/>
        <v>#REF!</v>
      </c>
    </row>
    <row r="29" spans="1:45">
      <c r="A29" s="629" t="e">
        <f>铂郡面积表!#REF!</f>
        <v>#REF!</v>
      </c>
      <c r="B29" s="629" t="e">
        <f>铂郡面积表!#REF!</f>
        <v>#REF!</v>
      </c>
      <c r="C29" s="21" t="e">
        <f t="shared" si="12"/>
        <v>#REF!</v>
      </c>
      <c r="D29" s="2566" t="e">
        <f>铂郡面积表!#REF!</f>
        <v>#REF!</v>
      </c>
      <c r="E29" s="21">
        <f t="shared" si="13"/>
        <v>1</v>
      </c>
      <c r="F29" s="2566" t="e">
        <f>铂郡面积表!#REF!</f>
        <v>#REF!</v>
      </c>
      <c r="G29" s="21">
        <f t="shared" si="14"/>
        <v>0</v>
      </c>
      <c r="H29" s="631"/>
      <c r="I29" s="21">
        <f t="shared" si="15"/>
        <v>1</v>
      </c>
      <c r="J29" s="631"/>
      <c r="K29" s="21">
        <f t="shared" si="16"/>
        <v>1</v>
      </c>
      <c r="L29" s="631"/>
      <c r="M29" s="21">
        <f t="shared" si="17"/>
        <v>1</v>
      </c>
      <c r="N29" s="631"/>
      <c r="O29" s="21">
        <f t="shared" si="18"/>
        <v>1</v>
      </c>
      <c r="P29" s="2566" t="e">
        <f>铂郡面积表!#REF!</f>
        <v>#REF!</v>
      </c>
      <c r="Q29" s="21">
        <f t="shared" si="19"/>
        <v>1</v>
      </c>
      <c r="R29" s="21" t="e">
        <f t="shared" si="20"/>
        <v>#REF!</v>
      </c>
      <c r="S29" s="307" t="e">
        <f t="shared" si="11"/>
        <v>#REF!</v>
      </c>
    </row>
    <row r="30" spans="1:45">
      <c r="A30" s="629" t="e">
        <f>铂郡面积表!#REF!</f>
        <v>#REF!</v>
      </c>
      <c r="B30" s="629" t="e">
        <f>铂郡面积表!#REF!</f>
        <v>#REF!</v>
      </c>
      <c r="C30" s="21" t="e">
        <f t="shared" si="12"/>
        <v>#REF!</v>
      </c>
      <c r="D30" s="2566" t="e">
        <f>铂郡面积表!#REF!</f>
        <v>#REF!</v>
      </c>
      <c r="E30" s="21">
        <f t="shared" si="13"/>
        <v>1</v>
      </c>
      <c r="F30" s="2566" t="e">
        <f>铂郡面积表!#REF!</f>
        <v>#REF!</v>
      </c>
      <c r="G30" s="21">
        <f t="shared" si="14"/>
        <v>0</v>
      </c>
      <c r="H30" s="631"/>
      <c r="I30" s="21">
        <f t="shared" si="15"/>
        <v>1</v>
      </c>
      <c r="J30" s="631"/>
      <c r="K30" s="21">
        <f t="shared" si="16"/>
        <v>1</v>
      </c>
      <c r="L30" s="631"/>
      <c r="M30" s="21">
        <f t="shared" si="17"/>
        <v>1</v>
      </c>
      <c r="N30" s="631"/>
      <c r="O30" s="21">
        <f t="shared" si="18"/>
        <v>1</v>
      </c>
      <c r="P30" s="2566" t="e">
        <f>铂郡面积表!#REF!</f>
        <v>#REF!</v>
      </c>
      <c r="Q30" s="21">
        <f t="shared" si="19"/>
        <v>1</v>
      </c>
      <c r="R30" s="21" t="e">
        <f t="shared" si="20"/>
        <v>#REF!</v>
      </c>
      <c r="S30" s="307" t="e">
        <f t="shared" si="11"/>
        <v>#REF!</v>
      </c>
    </row>
    <row r="31" spans="1:45">
      <c r="A31" s="629" t="e">
        <f>铂郡面积表!#REF!</f>
        <v>#REF!</v>
      </c>
      <c r="B31" s="629" t="e">
        <f>铂郡面积表!#REF!</f>
        <v>#REF!</v>
      </c>
      <c r="C31" s="21" t="e">
        <f t="shared" si="12"/>
        <v>#REF!</v>
      </c>
      <c r="D31" s="2566" t="e">
        <f>铂郡面积表!#REF!</f>
        <v>#REF!</v>
      </c>
      <c r="E31" s="21">
        <f t="shared" si="13"/>
        <v>1</v>
      </c>
      <c r="F31" s="2566" t="e">
        <f>铂郡面积表!#REF!</f>
        <v>#REF!</v>
      </c>
      <c r="G31" s="21">
        <f t="shared" si="14"/>
        <v>0</v>
      </c>
      <c r="H31" s="631"/>
      <c r="I31" s="21">
        <f t="shared" si="15"/>
        <v>1</v>
      </c>
      <c r="J31" s="631"/>
      <c r="K31" s="21">
        <f t="shared" si="16"/>
        <v>1</v>
      </c>
      <c r="L31" s="631"/>
      <c r="M31" s="21">
        <f t="shared" si="17"/>
        <v>1</v>
      </c>
      <c r="N31" s="631"/>
      <c r="O31" s="21">
        <f t="shared" si="18"/>
        <v>1</v>
      </c>
      <c r="P31" s="2566" t="e">
        <f>铂郡面积表!#REF!</f>
        <v>#REF!</v>
      </c>
      <c r="Q31" s="21">
        <f t="shared" si="19"/>
        <v>1</v>
      </c>
      <c r="R31" s="21" t="e">
        <f t="shared" si="20"/>
        <v>#REF!</v>
      </c>
      <c r="S31" s="307" t="e">
        <f t="shared" si="11"/>
        <v>#REF!</v>
      </c>
    </row>
    <row r="32" spans="1:45">
      <c r="A32" s="629" t="e">
        <f>铂郡面积表!#REF!</f>
        <v>#REF!</v>
      </c>
      <c r="B32" s="629" t="e">
        <f>铂郡面积表!#REF!</f>
        <v>#REF!</v>
      </c>
      <c r="C32" s="21" t="e">
        <f t="shared" si="12"/>
        <v>#REF!</v>
      </c>
      <c r="D32" s="2566" t="e">
        <f>铂郡面积表!#REF!</f>
        <v>#REF!</v>
      </c>
      <c r="E32" s="21">
        <f t="shared" si="13"/>
        <v>1</v>
      </c>
      <c r="F32" s="2566" t="e">
        <f>铂郡面积表!#REF!</f>
        <v>#REF!</v>
      </c>
      <c r="G32" s="21">
        <f t="shared" si="14"/>
        <v>0</v>
      </c>
      <c r="H32" s="631"/>
      <c r="I32" s="21">
        <f t="shared" si="15"/>
        <v>1</v>
      </c>
      <c r="J32" s="631"/>
      <c r="K32" s="21">
        <f t="shared" si="16"/>
        <v>1</v>
      </c>
      <c r="L32" s="631"/>
      <c r="M32" s="21">
        <f t="shared" si="17"/>
        <v>1</v>
      </c>
      <c r="N32" s="631"/>
      <c r="O32" s="21">
        <f t="shared" si="18"/>
        <v>1</v>
      </c>
      <c r="P32" s="2566" t="e">
        <f>铂郡面积表!#REF!</f>
        <v>#REF!</v>
      </c>
      <c r="Q32" s="21">
        <f t="shared" si="19"/>
        <v>1</v>
      </c>
      <c r="R32" s="21" t="e">
        <f t="shared" si="20"/>
        <v>#REF!</v>
      </c>
      <c r="S32" s="307" t="e">
        <f t="shared" si="11"/>
        <v>#REF!</v>
      </c>
    </row>
    <row r="33" spans="1:19">
      <c r="A33" s="629" t="e">
        <f>铂郡面积表!#REF!</f>
        <v>#REF!</v>
      </c>
      <c r="B33" s="629" t="e">
        <f>铂郡面积表!#REF!</f>
        <v>#REF!</v>
      </c>
      <c r="C33" s="21" t="e">
        <f t="shared" si="12"/>
        <v>#REF!</v>
      </c>
      <c r="D33" s="2566" t="e">
        <f>铂郡面积表!#REF!</f>
        <v>#REF!</v>
      </c>
      <c r="E33" s="21">
        <f t="shared" si="13"/>
        <v>1</v>
      </c>
      <c r="F33" s="2566" t="e">
        <f>铂郡面积表!#REF!</f>
        <v>#REF!</v>
      </c>
      <c r="G33" s="21">
        <f t="shared" si="14"/>
        <v>0</v>
      </c>
      <c r="H33" s="631"/>
      <c r="I33" s="21">
        <f t="shared" si="15"/>
        <v>1</v>
      </c>
      <c r="J33" s="631"/>
      <c r="K33" s="21">
        <f t="shared" si="16"/>
        <v>1</v>
      </c>
      <c r="L33" s="631"/>
      <c r="M33" s="21">
        <f t="shared" si="17"/>
        <v>1</v>
      </c>
      <c r="N33" s="631"/>
      <c r="O33" s="21">
        <f t="shared" si="18"/>
        <v>1</v>
      </c>
      <c r="P33" s="2566" t="e">
        <f>铂郡面积表!#REF!</f>
        <v>#REF!</v>
      </c>
      <c r="Q33" s="21">
        <f t="shared" si="19"/>
        <v>1</v>
      </c>
      <c r="R33" s="21" t="e">
        <f t="shared" si="20"/>
        <v>#REF!</v>
      </c>
      <c r="S33" s="307" t="e">
        <f t="shared" si="11"/>
        <v>#REF!</v>
      </c>
    </row>
    <row r="34" spans="1:19">
      <c r="A34" s="629" t="e">
        <f>铂郡面积表!#REF!</f>
        <v>#REF!</v>
      </c>
      <c r="B34" s="629" t="e">
        <f>铂郡面积表!#REF!</f>
        <v>#REF!</v>
      </c>
      <c r="C34" s="21" t="e">
        <f t="shared" si="12"/>
        <v>#REF!</v>
      </c>
      <c r="D34" s="2566" t="e">
        <f>铂郡面积表!#REF!</f>
        <v>#REF!</v>
      </c>
      <c r="E34" s="21">
        <f t="shared" si="13"/>
        <v>1</v>
      </c>
      <c r="F34" s="2566" t="e">
        <f>铂郡面积表!#REF!</f>
        <v>#REF!</v>
      </c>
      <c r="G34" s="21">
        <f t="shared" si="14"/>
        <v>0</v>
      </c>
      <c r="H34" s="631"/>
      <c r="I34" s="21">
        <f t="shared" si="15"/>
        <v>1</v>
      </c>
      <c r="J34" s="631"/>
      <c r="K34" s="21">
        <f t="shared" si="16"/>
        <v>1</v>
      </c>
      <c r="L34" s="631"/>
      <c r="M34" s="21">
        <f t="shared" si="17"/>
        <v>1</v>
      </c>
      <c r="N34" s="631"/>
      <c r="O34" s="21">
        <f t="shared" si="18"/>
        <v>1</v>
      </c>
      <c r="P34" s="2566" t="e">
        <f>铂郡面积表!#REF!</f>
        <v>#REF!</v>
      </c>
      <c r="Q34" s="21">
        <f t="shared" si="19"/>
        <v>1</v>
      </c>
      <c r="R34" s="21" t="e">
        <f t="shared" si="20"/>
        <v>#REF!</v>
      </c>
      <c r="S34" s="307" t="e">
        <f t="shared" si="11"/>
        <v>#REF!</v>
      </c>
    </row>
    <row r="35" spans="1:19">
      <c r="A35" s="629" t="e">
        <f>铂郡面积表!#REF!</f>
        <v>#REF!</v>
      </c>
      <c r="B35" s="629" t="e">
        <f>铂郡面积表!#REF!</f>
        <v>#REF!</v>
      </c>
      <c r="C35" s="21" t="e">
        <f t="shared" si="12"/>
        <v>#REF!</v>
      </c>
      <c r="D35" s="2566" t="e">
        <f>铂郡面积表!#REF!</f>
        <v>#REF!</v>
      </c>
      <c r="E35" s="21">
        <f t="shared" si="13"/>
        <v>1</v>
      </c>
      <c r="F35" s="2566" t="e">
        <f>铂郡面积表!#REF!</f>
        <v>#REF!</v>
      </c>
      <c r="G35" s="21">
        <f t="shared" si="14"/>
        <v>0</v>
      </c>
      <c r="H35" s="631"/>
      <c r="I35" s="21">
        <f t="shared" si="15"/>
        <v>1</v>
      </c>
      <c r="J35" s="631"/>
      <c r="K35" s="21">
        <f t="shared" si="16"/>
        <v>1</v>
      </c>
      <c r="L35" s="631"/>
      <c r="M35" s="21">
        <f t="shared" si="17"/>
        <v>1</v>
      </c>
      <c r="N35" s="631"/>
      <c r="O35" s="21">
        <f t="shared" si="18"/>
        <v>1</v>
      </c>
      <c r="P35" s="2566" t="e">
        <f>铂郡面积表!#REF!</f>
        <v>#REF!</v>
      </c>
      <c r="Q35" s="21">
        <f t="shared" si="19"/>
        <v>1</v>
      </c>
      <c r="R35" s="21" t="e">
        <f t="shared" si="20"/>
        <v>#REF!</v>
      </c>
      <c r="S35" s="307" t="e">
        <f t="shared" si="11"/>
        <v>#REF!</v>
      </c>
    </row>
    <row r="36" spans="1:19">
      <c r="A36" s="629" t="e">
        <f>铂郡面积表!#REF!</f>
        <v>#REF!</v>
      </c>
      <c r="B36" s="629" t="e">
        <f>铂郡面积表!#REF!</f>
        <v>#REF!</v>
      </c>
      <c r="C36" s="21" t="e">
        <f t="shared" si="12"/>
        <v>#REF!</v>
      </c>
      <c r="D36" s="2566" t="e">
        <f>铂郡面积表!#REF!</f>
        <v>#REF!</v>
      </c>
      <c r="E36" s="21">
        <f t="shared" si="13"/>
        <v>1</v>
      </c>
      <c r="F36" s="2566" t="e">
        <f>铂郡面积表!#REF!</f>
        <v>#REF!</v>
      </c>
      <c r="G36" s="21">
        <f t="shared" si="14"/>
        <v>0</v>
      </c>
      <c r="H36" s="631"/>
      <c r="I36" s="21">
        <f t="shared" si="15"/>
        <v>1</v>
      </c>
      <c r="J36" s="631"/>
      <c r="K36" s="21">
        <f t="shared" si="16"/>
        <v>1</v>
      </c>
      <c r="L36" s="631"/>
      <c r="M36" s="21">
        <f t="shared" si="17"/>
        <v>1</v>
      </c>
      <c r="N36" s="631"/>
      <c r="O36" s="21">
        <f t="shared" si="18"/>
        <v>1</v>
      </c>
      <c r="P36" s="2566" t="e">
        <f>铂郡面积表!#REF!</f>
        <v>#REF!</v>
      </c>
      <c r="Q36" s="21">
        <f t="shared" si="19"/>
        <v>1</v>
      </c>
      <c r="R36" s="21" t="e">
        <f t="shared" si="20"/>
        <v>#REF!</v>
      </c>
      <c r="S36" s="307" t="e">
        <f t="shared" si="11"/>
        <v>#REF!</v>
      </c>
    </row>
    <row r="37" spans="1:19">
      <c r="A37" s="629" t="e">
        <f>铂郡面积表!#REF!</f>
        <v>#REF!</v>
      </c>
      <c r="B37" s="629" t="e">
        <f>铂郡面积表!#REF!</f>
        <v>#REF!</v>
      </c>
      <c r="C37" s="21" t="e">
        <f t="shared" si="12"/>
        <v>#REF!</v>
      </c>
      <c r="D37" s="2566" t="e">
        <f>铂郡面积表!#REF!</f>
        <v>#REF!</v>
      </c>
      <c r="E37" s="21">
        <f t="shared" si="13"/>
        <v>1</v>
      </c>
      <c r="F37" s="2566" t="e">
        <f>铂郡面积表!#REF!</f>
        <v>#REF!</v>
      </c>
      <c r="G37" s="21">
        <f t="shared" si="14"/>
        <v>0</v>
      </c>
      <c r="H37" s="631"/>
      <c r="I37" s="21">
        <f t="shared" si="15"/>
        <v>1</v>
      </c>
      <c r="J37" s="631"/>
      <c r="K37" s="21">
        <f t="shared" si="16"/>
        <v>1</v>
      </c>
      <c r="L37" s="631"/>
      <c r="M37" s="21">
        <f t="shared" si="17"/>
        <v>1</v>
      </c>
      <c r="N37" s="631"/>
      <c r="O37" s="21">
        <f t="shared" si="18"/>
        <v>1</v>
      </c>
      <c r="P37" s="2566" t="e">
        <f>铂郡面积表!#REF!</f>
        <v>#REF!</v>
      </c>
      <c r="Q37" s="21">
        <f t="shared" si="19"/>
        <v>1</v>
      </c>
      <c r="R37" s="21" t="e">
        <f t="shared" si="20"/>
        <v>#REF!</v>
      </c>
      <c r="S37" s="307" t="e">
        <f t="shared" si="11"/>
        <v>#REF!</v>
      </c>
    </row>
    <row r="38" spans="1:19">
      <c r="A38" s="629" t="e">
        <f>铂郡面积表!#REF!</f>
        <v>#REF!</v>
      </c>
      <c r="B38" s="629" t="e">
        <f>铂郡面积表!#REF!</f>
        <v>#REF!</v>
      </c>
      <c r="C38" s="21" t="e">
        <f t="shared" si="12"/>
        <v>#REF!</v>
      </c>
      <c r="D38" s="2566" t="e">
        <f>铂郡面积表!#REF!</f>
        <v>#REF!</v>
      </c>
      <c r="E38" s="21">
        <f t="shared" si="13"/>
        <v>1</v>
      </c>
      <c r="F38" s="2566" t="e">
        <f>铂郡面积表!#REF!</f>
        <v>#REF!</v>
      </c>
      <c r="G38" s="21">
        <f t="shared" si="14"/>
        <v>0</v>
      </c>
      <c r="H38" s="631"/>
      <c r="I38" s="21">
        <f t="shared" si="15"/>
        <v>1</v>
      </c>
      <c r="J38" s="631"/>
      <c r="K38" s="21">
        <f t="shared" si="16"/>
        <v>1</v>
      </c>
      <c r="L38" s="631"/>
      <c r="M38" s="21">
        <f t="shared" si="17"/>
        <v>1</v>
      </c>
      <c r="N38" s="631"/>
      <c r="O38" s="21">
        <f t="shared" si="18"/>
        <v>1</v>
      </c>
      <c r="P38" s="2566" t="e">
        <f>铂郡面积表!#REF!</f>
        <v>#REF!</v>
      </c>
      <c r="Q38" s="21">
        <f t="shared" si="19"/>
        <v>1</v>
      </c>
      <c r="R38" s="21" t="e">
        <f t="shared" si="20"/>
        <v>#REF!</v>
      </c>
      <c r="S38" s="307" t="e">
        <f t="shared" si="11"/>
        <v>#REF!</v>
      </c>
    </row>
    <row r="39" spans="1:19">
      <c r="A39" s="629" t="e">
        <f>铂郡面积表!#REF!</f>
        <v>#REF!</v>
      </c>
      <c r="B39" s="629" t="e">
        <f>铂郡面积表!#REF!</f>
        <v>#REF!</v>
      </c>
      <c r="C39" s="21" t="e">
        <f t="shared" si="12"/>
        <v>#REF!</v>
      </c>
      <c r="D39" s="2566" t="e">
        <f>铂郡面积表!#REF!</f>
        <v>#REF!</v>
      </c>
      <c r="E39" s="21">
        <f t="shared" si="13"/>
        <v>1</v>
      </c>
      <c r="F39" s="2566" t="e">
        <f>铂郡面积表!#REF!</f>
        <v>#REF!</v>
      </c>
      <c r="G39" s="21">
        <f t="shared" si="14"/>
        <v>0</v>
      </c>
      <c r="H39" s="631"/>
      <c r="I39" s="21">
        <f t="shared" si="15"/>
        <v>1</v>
      </c>
      <c r="J39" s="631"/>
      <c r="K39" s="21">
        <f t="shared" si="16"/>
        <v>1</v>
      </c>
      <c r="L39" s="631"/>
      <c r="M39" s="21">
        <f t="shared" si="17"/>
        <v>1</v>
      </c>
      <c r="N39" s="631"/>
      <c r="O39" s="21">
        <f t="shared" si="18"/>
        <v>1</v>
      </c>
      <c r="P39" s="2566" t="e">
        <f>铂郡面积表!#REF!</f>
        <v>#REF!</v>
      </c>
      <c r="Q39" s="21">
        <f t="shared" si="19"/>
        <v>1</v>
      </c>
      <c r="R39" s="21" t="e">
        <f t="shared" si="20"/>
        <v>#REF!</v>
      </c>
      <c r="S39" s="307" t="e">
        <f t="shared" si="11"/>
        <v>#REF!</v>
      </c>
    </row>
    <row r="40" spans="1:19">
      <c r="A40" s="629" t="e">
        <f>铂郡面积表!#REF!</f>
        <v>#REF!</v>
      </c>
      <c r="B40" s="629" t="e">
        <f>铂郡面积表!#REF!</f>
        <v>#REF!</v>
      </c>
      <c r="C40" s="21" t="e">
        <f t="shared" si="12"/>
        <v>#REF!</v>
      </c>
      <c r="D40" s="2566" t="e">
        <f>铂郡面积表!#REF!</f>
        <v>#REF!</v>
      </c>
      <c r="E40" s="21">
        <f t="shared" si="13"/>
        <v>1</v>
      </c>
      <c r="F40" s="2566" t="e">
        <f>铂郡面积表!#REF!</f>
        <v>#REF!</v>
      </c>
      <c r="G40" s="21">
        <f t="shared" si="14"/>
        <v>0</v>
      </c>
      <c r="H40" s="631"/>
      <c r="I40" s="21">
        <f t="shared" si="15"/>
        <v>1</v>
      </c>
      <c r="J40" s="631"/>
      <c r="K40" s="21">
        <f t="shared" si="16"/>
        <v>1</v>
      </c>
      <c r="L40" s="631"/>
      <c r="M40" s="21">
        <f t="shared" si="17"/>
        <v>1</v>
      </c>
      <c r="N40" s="631"/>
      <c r="O40" s="21">
        <f t="shared" si="18"/>
        <v>1</v>
      </c>
      <c r="P40" s="2566" t="e">
        <f>铂郡面积表!#REF!</f>
        <v>#REF!</v>
      </c>
      <c r="Q40" s="21">
        <f t="shared" si="19"/>
        <v>1</v>
      </c>
      <c r="R40" s="21" t="e">
        <f t="shared" si="20"/>
        <v>#REF!</v>
      </c>
      <c r="S40" s="307" t="e">
        <f t="shared" si="11"/>
        <v>#REF!</v>
      </c>
    </row>
    <row r="41" spans="1:19">
      <c r="A41" s="629" t="e">
        <f>铂郡面积表!#REF!</f>
        <v>#REF!</v>
      </c>
      <c r="B41" s="629" t="e">
        <f>铂郡面积表!#REF!</f>
        <v>#REF!</v>
      </c>
      <c r="C41" s="21" t="e">
        <f t="shared" si="12"/>
        <v>#REF!</v>
      </c>
      <c r="D41" s="2566" t="e">
        <f>铂郡面积表!#REF!</f>
        <v>#REF!</v>
      </c>
      <c r="E41" s="21">
        <f t="shared" si="13"/>
        <v>1</v>
      </c>
      <c r="F41" s="2566" t="e">
        <f>铂郡面积表!#REF!</f>
        <v>#REF!</v>
      </c>
      <c r="G41" s="21">
        <f t="shared" si="14"/>
        <v>0</v>
      </c>
      <c r="H41" s="631"/>
      <c r="I41" s="21">
        <f t="shared" si="15"/>
        <v>1</v>
      </c>
      <c r="J41" s="631"/>
      <c r="K41" s="21">
        <f t="shared" si="16"/>
        <v>1</v>
      </c>
      <c r="L41" s="631"/>
      <c r="M41" s="21">
        <f t="shared" si="17"/>
        <v>1</v>
      </c>
      <c r="N41" s="631"/>
      <c r="O41" s="21">
        <f t="shared" si="18"/>
        <v>1</v>
      </c>
      <c r="P41" s="2566" t="e">
        <f>铂郡面积表!#REF!</f>
        <v>#REF!</v>
      </c>
      <c r="Q41" s="21">
        <f t="shared" si="19"/>
        <v>1</v>
      </c>
      <c r="R41" s="21" t="e">
        <f t="shared" si="20"/>
        <v>#REF!</v>
      </c>
      <c r="S41" s="307" t="e">
        <f t="shared" si="11"/>
        <v>#REF!</v>
      </c>
    </row>
    <row r="42" spans="1:19">
      <c r="A42" s="629" t="e">
        <f>铂郡面积表!#REF!</f>
        <v>#REF!</v>
      </c>
      <c r="B42" s="629" t="e">
        <f>铂郡面积表!#REF!</f>
        <v>#REF!</v>
      </c>
      <c r="C42" s="21" t="e">
        <f t="shared" si="12"/>
        <v>#REF!</v>
      </c>
      <c r="D42" s="2566" t="e">
        <f>铂郡面积表!#REF!</f>
        <v>#REF!</v>
      </c>
      <c r="E42" s="21">
        <f t="shared" si="13"/>
        <v>1</v>
      </c>
      <c r="F42" s="2566" t="e">
        <f>铂郡面积表!#REF!</f>
        <v>#REF!</v>
      </c>
      <c r="G42" s="21">
        <f t="shared" si="14"/>
        <v>0</v>
      </c>
      <c r="H42" s="631"/>
      <c r="I42" s="21">
        <f t="shared" si="15"/>
        <v>1</v>
      </c>
      <c r="J42" s="631"/>
      <c r="K42" s="21">
        <f t="shared" si="16"/>
        <v>1</v>
      </c>
      <c r="L42" s="631"/>
      <c r="M42" s="21">
        <f t="shared" si="17"/>
        <v>1</v>
      </c>
      <c r="N42" s="631"/>
      <c r="O42" s="21">
        <f t="shared" si="18"/>
        <v>1</v>
      </c>
      <c r="P42" s="2566" t="e">
        <f>铂郡面积表!#REF!</f>
        <v>#REF!</v>
      </c>
      <c r="Q42" s="21">
        <f t="shared" si="19"/>
        <v>1</v>
      </c>
      <c r="R42" s="21" t="e">
        <f t="shared" si="20"/>
        <v>#REF!</v>
      </c>
      <c r="S42" s="307" t="e">
        <f t="shared" si="11"/>
        <v>#REF!</v>
      </c>
    </row>
    <row r="43" spans="1:19">
      <c r="A43" s="629" t="e">
        <f>铂郡面积表!#REF!</f>
        <v>#REF!</v>
      </c>
      <c r="B43" s="629" t="e">
        <f>铂郡面积表!#REF!</f>
        <v>#REF!</v>
      </c>
      <c r="C43" s="21" t="e">
        <f t="shared" si="12"/>
        <v>#REF!</v>
      </c>
      <c r="D43" s="2566" t="e">
        <f>铂郡面积表!#REF!</f>
        <v>#REF!</v>
      </c>
      <c r="E43" s="21">
        <f t="shared" si="13"/>
        <v>1</v>
      </c>
      <c r="F43" s="2566" t="e">
        <f>铂郡面积表!#REF!</f>
        <v>#REF!</v>
      </c>
      <c r="G43" s="21">
        <f t="shared" si="14"/>
        <v>0</v>
      </c>
      <c r="H43" s="631"/>
      <c r="I43" s="21">
        <f t="shared" si="15"/>
        <v>1</v>
      </c>
      <c r="J43" s="631"/>
      <c r="K43" s="21">
        <f t="shared" si="16"/>
        <v>1</v>
      </c>
      <c r="L43" s="631"/>
      <c r="M43" s="21">
        <f t="shared" si="17"/>
        <v>1</v>
      </c>
      <c r="N43" s="631"/>
      <c r="O43" s="21">
        <f t="shared" si="18"/>
        <v>1</v>
      </c>
      <c r="P43" s="2566" t="e">
        <f>铂郡面积表!#REF!</f>
        <v>#REF!</v>
      </c>
      <c r="Q43" s="21">
        <f t="shared" si="19"/>
        <v>1</v>
      </c>
      <c r="R43" s="21" t="e">
        <f t="shared" si="20"/>
        <v>#REF!</v>
      </c>
      <c r="S43" s="307" t="e">
        <f t="shared" si="11"/>
        <v>#REF!</v>
      </c>
    </row>
    <row r="44" spans="1:19">
      <c r="A44" s="629" t="e">
        <f>铂郡面积表!#REF!</f>
        <v>#REF!</v>
      </c>
      <c r="B44" s="629" t="e">
        <f>铂郡面积表!#REF!</f>
        <v>#REF!</v>
      </c>
      <c r="C44" s="21" t="e">
        <f t="shared" si="12"/>
        <v>#REF!</v>
      </c>
      <c r="D44" s="2566" t="e">
        <f>铂郡面积表!#REF!</f>
        <v>#REF!</v>
      </c>
      <c r="E44" s="21">
        <f t="shared" si="13"/>
        <v>1</v>
      </c>
      <c r="F44" s="2566" t="e">
        <f>铂郡面积表!#REF!</f>
        <v>#REF!</v>
      </c>
      <c r="G44" s="21">
        <f t="shared" si="14"/>
        <v>0</v>
      </c>
      <c r="H44" s="631"/>
      <c r="I44" s="21">
        <f t="shared" si="15"/>
        <v>1</v>
      </c>
      <c r="J44" s="631"/>
      <c r="K44" s="21">
        <f t="shared" si="16"/>
        <v>1</v>
      </c>
      <c r="L44" s="631"/>
      <c r="M44" s="21">
        <f t="shared" si="17"/>
        <v>1</v>
      </c>
      <c r="N44" s="631"/>
      <c r="O44" s="21">
        <f t="shared" si="18"/>
        <v>1</v>
      </c>
      <c r="P44" s="2566" t="e">
        <f>铂郡面积表!#REF!</f>
        <v>#REF!</v>
      </c>
      <c r="Q44" s="21">
        <f t="shared" si="19"/>
        <v>1</v>
      </c>
      <c r="R44" s="21" t="e">
        <f t="shared" si="20"/>
        <v>#REF!</v>
      </c>
      <c r="S44" s="307" t="e">
        <f t="shared" si="11"/>
        <v>#REF!</v>
      </c>
    </row>
    <row r="45" spans="1:19">
      <c r="A45" s="629" t="str">
        <f>铂郡面积表!B4</f>
        <v>朝阳区新东路8号院5号楼1层1-028</v>
      </c>
      <c r="B45" s="629">
        <f>铂郡面积表!E4</f>
        <v>94.89</v>
      </c>
      <c r="C45" s="21" t="e">
        <f t="shared" si="12"/>
        <v>#REF!</v>
      </c>
      <c r="D45" s="2566" t="str">
        <f>铂郡面积表!I4</f>
        <v>一般</v>
      </c>
      <c r="E45" s="21">
        <f t="shared" si="13"/>
        <v>1</v>
      </c>
      <c r="F45" s="2566">
        <f>铂郡面积表!Q4</f>
        <v>0</v>
      </c>
      <c r="G45" s="21">
        <f t="shared" si="14"/>
        <v>0</v>
      </c>
      <c r="H45" s="631"/>
      <c r="I45" s="21">
        <f t="shared" si="15"/>
        <v>1</v>
      </c>
      <c r="J45" s="631"/>
      <c r="K45" s="21">
        <f t="shared" si="16"/>
        <v>1</v>
      </c>
      <c r="L45" s="631"/>
      <c r="M45" s="21">
        <f t="shared" si="17"/>
        <v>1</v>
      </c>
      <c r="N45" s="631"/>
      <c r="O45" s="21">
        <f t="shared" si="18"/>
        <v>1</v>
      </c>
      <c r="P45" s="2566" t="str">
        <f>铂郡面积表!K4</f>
        <v>1层</v>
      </c>
      <c r="Q45" s="21">
        <f t="shared" si="19"/>
        <v>2</v>
      </c>
      <c r="R45" s="21" t="e">
        <f t="shared" si="20"/>
        <v>#REF!</v>
      </c>
      <c r="S45" s="307" t="e">
        <f t="shared" si="11"/>
        <v>#REF!</v>
      </c>
    </row>
    <row r="46" spans="1:19">
      <c r="A46" s="629" t="str">
        <f>铂郡面积表!B5</f>
        <v>朝阳区新东路8号院5号楼1层1-029</v>
      </c>
      <c r="B46" s="629">
        <f>铂郡面积表!E5</f>
        <v>247.88</v>
      </c>
      <c r="C46" s="21" t="e">
        <f t="shared" si="12"/>
        <v>#REF!</v>
      </c>
      <c r="D46" s="2566" t="str">
        <f>铂郡面积表!I5</f>
        <v>一般</v>
      </c>
      <c r="E46" s="21">
        <f t="shared" si="13"/>
        <v>1</v>
      </c>
      <c r="F46" s="2566">
        <f>铂郡面积表!Q5</f>
        <v>0</v>
      </c>
      <c r="G46" s="21">
        <f t="shared" si="14"/>
        <v>0</v>
      </c>
      <c r="H46" s="631"/>
      <c r="I46" s="21">
        <f t="shared" si="15"/>
        <v>1</v>
      </c>
      <c r="J46" s="631"/>
      <c r="K46" s="21">
        <f t="shared" si="16"/>
        <v>1</v>
      </c>
      <c r="L46" s="631"/>
      <c r="M46" s="21">
        <f t="shared" si="17"/>
        <v>1</v>
      </c>
      <c r="N46" s="631"/>
      <c r="O46" s="21">
        <f t="shared" si="18"/>
        <v>1</v>
      </c>
      <c r="P46" s="2566" t="str">
        <f>铂郡面积表!K5</f>
        <v>1层</v>
      </c>
      <c r="Q46" s="21">
        <f t="shared" si="19"/>
        <v>2</v>
      </c>
      <c r="R46" s="21" t="e">
        <f t="shared" si="20"/>
        <v>#REF!</v>
      </c>
      <c r="S46" s="307" t="e">
        <f t="shared" si="11"/>
        <v>#REF!</v>
      </c>
    </row>
    <row r="47" spans="1:19">
      <c r="A47" s="629" t="str">
        <f>铂郡面积表!B6</f>
        <v>朝阳区新东路8号院5号楼1层1-030</v>
      </c>
      <c r="B47" s="629">
        <f>铂郡面积表!E6</f>
        <v>195.28</v>
      </c>
      <c r="C47" s="21" t="e">
        <f t="shared" si="12"/>
        <v>#REF!</v>
      </c>
      <c r="D47" s="2566" t="str">
        <f>铂郡面积表!I6</f>
        <v>一般</v>
      </c>
      <c r="E47" s="21">
        <f t="shared" si="13"/>
        <v>1</v>
      </c>
      <c r="F47" s="2566">
        <f>铂郡面积表!Q6</f>
        <v>0</v>
      </c>
      <c r="G47" s="21">
        <f t="shared" si="14"/>
        <v>0</v>
      </c>
      <c r="H47" s="631"/>
      <c r="I47" s="21">
        <f t="shared" si="15"/>
        <v>1</v>
      </c>
      <c r="J47" s="631"/>
      <c r="K47" s="21">
        <f t="shared" si="16"/>
        <v>1</v>
      </c>
      <c r="L47" s="631"/>
      <c r="M47" s="21">
        <f t="shared" si="17"/>
        <v>1</v>
      </c>
      <c r="N47" s="631"/>
      <c r="O47" s="21">
        <f t="shared" si="18"/>
        <v>1</v>
      </c>
      <c r="P47" s="2566" t="str">
        <f>铂郡面积表!K6</f>
        <v>1层</v>
      </c>
      <c r="Q47" s="21">
        <f t="shared" si="19"/>
        <v>2</v>
      </c>
      <c r="R47" s="21" t="e">
        <f t="shared" si="20"/>
        <v>#REF!</v>
      </c>
      <c r="S47" s="307" t="e">
        <f t="shared" si="11"/>
        <v>#REF!</v>
      </c>
    </row>
    <row r="48" spans="1:19">
      <c r="A48" s="629" t="str">
        <f>铂郡面积表!B7</f>
        <v>朝阳区新东路8号院5号楼1层1-032</v>
      </c>
      <c r="B48" s="629">
        <f>铂郡面积表!E7</f>
        <v>245.01</v>
      </c>
      <c r="C48" s="21" t="e">
        <f t="shared" si="12"/>
        <v>#REF!</v>
      </c>
      <c r="D48" s="2566" t="str">
        <f>铂郡面积表!I7</f>
        <v>一般</v>
      </c>
      <c r="E48" s="21">
        <f t="shared" si="13"/>
        <v>1</v>
      </c>
      <c r="F48" s="2566">
        <f>铂郡面积表!Q7</f>
        <v>0</v>
      </c>
      <c r="G48" s="21">
        <f t="shared" si="14"/>
        <v>0</v>
      </c>
      <c r="H48" s="631"/>
      <c r="I48" s="21">
        <f t="shared" si="15"/>
        <v>1</v>
      </c>
      <c r="J48" s="631"/>
      <c r="K48" s="21">
        <f t="shared" si="16"/>
        <v>1</v>
      </c>
      <c r="L48" s="631"/>
      <c r="M48" s="21">
        <f t="shared" si="17"/>
        <v>1</v>
      </c>
      <c r="N48" s="631"/>
      <c r="O48" s="21">
        <f t="shared" si="18"/>
        <v>1</v>
      </c>
      <c r="P48" s="2566" t="str">
        <f>铂郡面积表!K7</f>
        <v>1层</v>
      </c>
      <c r="Q48" s="21">
        <f t="shared" si="19"/>
        <v>2</v>
      </c>
      <c r="R48" s="21" t="e">
        <f t="shared" si="20"/>
        <v>#REF!</v>
      </c>
      <c r="S48" s="307" t="e">
        <f t="shared" si="11"/>
        <v>#REF!</v>
      </c>
    </row>
    <row r="49" spans="1:19">
      <c r="A49" s="629" t="str">
        <f>铂郡面积表!B8</f>
        <v>朝阳区新东路8号院5号楼1层1-033</v>
      </c>
      <c r="B49" s="629">
        <f>铂郡面积表!E8</f>
        <v>98.08</v>
      </c>
      <c r="C49" s="21" t="e">
        <f t="shared" si="12"/>
        <v>#REF!</v>
      </c>
      <c r="D49" s="2566" t="str">
        <f>铂郡面积表!I8</f>
        <v>一般</v>
      </c>
      <c r="E49" s="21">
        <f t="shared" si="13"/>
        <v>1</v>
      </c>
      <c r="F49" s="2566">
        <f>铂郡面积表!Q8</f>
        <v>0</v>
      </c>
      <c r="G49" s="21">
        <f t="shared" si="14"/>
        <v>0</v>
      </c>
      <c r="H49" s="631"/>
      <c r="I49" s="21">
        <f t="shared" si="15"/>
        <v>1</v>
      </c>
      <c r="J49" s="631"/>
      <c r="K49" s="21">
        <f t="shared" si="16"/>
        <v>1</v>
      </c>
      <c r="L49" s="631"/>
      <c r="M49" s="21">
        <f t="shared" si="17"/>
        <v>1</v>
      </c>
      <c r="N49" s="631"/>
      <c r="O49" s="21">
        <f t="shared" si="18"/>
        <v>1</v>
      </c>
      <c r="P49" s="2566" t="str">
        <f>铂郡面积表!K8</f>
        <v>1层</v>
      </c>
      <c r="Q49" s="21">
        <f t="shared" si="19"/>
        <v>2</v>
      </c>
      <c r="R49" s="21" t="e">
        <f t="shared" si="20"/>
        <v>#REF!</v>
      </c>
      <c r="S49" s="307" t="e">
        <f t="shared" si="11"/>
        <v>#REF!</v>
      </c>
    </row>
    <row r="50" spans="1:19">
      <c r="A50" s="629" t="str">
        <f>铂郡面积表!B9</f>
        <v>朝阳区新东路8号院5号楼1层1-035</v>
      </c>
      <c r="B50" s="629">
        <f>铂郡面积表!E9</f>
        <v>80.900000000000006</v>
      </c>
      <c r="C50" s="21" t="e">
        <f t="shared" si="12"/>
        <v>#REF!</v>
      </c>
      <c r="D50" s="2566" t="str">
        <f>铂郡面积表!I9</f>
        <v>一般</v>
      </c>
      <c r="E50" s="21">
        <f t="shared" si="13"/>
        <v>1</v>
      </c>
      <c r="F50" s="2566">
        <f>铂郡面积表!Q9</f>
        <v>0</v>
      </c>
      <c r="G50" s="21">
        <f t="shared" si="14"/>
        <v>0</v>
      </c>
      <c r="H50" s="631"/>
      <c r="I50" s="21">
        <f t="shared" si="15"/>
        <v>1</v>
      </c>
      <c r="J50" s="631"/>
      <c r="K50" s="21">
        <f t="shared" si="16"/>
        <v>1</v>
      </c>
      <c r="L50" s="631"/>
      <c r="M50" s="21">
        <f t="shared" si="17"/>
        <v>1</v>
      </c>
      <c r="N50" s="631"/>
      <c r="O50" s="21">
        <f t="shared" si="18"/>
        <v>1</v>
      </c>
      <c r="P50" s="2566" t="str">
        <f>铂郡面积表!K9</f>
        <v>1层</v>
      </c>
      <c r="Q50" s="21">
        <f t="shared" si="19"/>
        <v>2</v>
      </c>
      <c r="R50" s="21" t="e">
        <f t="shared" si="20"/>
        <v>#REF!</v>
      </c>
      <c r="S50" s="307" t="e">
        <f t="shared" si="11"/>
        <v>#REF!</v>
      </c>
    </row>
    <row r="51" spans="1:19">
      <c r="A51" s="629" t="str">
        <f>铂郡面积表!B10</f>
        <v>朝阳区新东路8号院5号楼1层1-036</v>
      </c>
      <c r="B51" s="629">
        <f>铂郡面积表!E10</f>
        <v>317.93</v>
      </c>
      <c r="C51" s="21" t="e">
        <f t="shared" si="12"/>
        <v>#REF!</v>
      </c>
      <c r="D51" s="2566" t="str">
        <f>铂郡面积表!I10</f>
        <v>一般</v>
      </c>
      <c r="E51" s="21">
        <f t="shared" si="13"/>
        <v>1</v>
      </c>
      <c r="F51" s="2566">
        <f>铂郡面积表!Q10</f>
        <v>0</v>
      </c>
      <c r="G51" s="21">
        <f t="shared" si="14"/>
        <v>0</v>
      </c>
      <c r="H51" s="631"/>
      <c r="I51" s="21">
        <f t="shared" si="15"/>
        <v>1</v>
      </c>
      <c r="J51" s="631"/>
      <c r="K51" s="21">
        <f t="shared" si="16"/>
        <v>1</v>
      </c>
      <c r="L51" s="631"/>
      <c r="M51" s="21">
        <f t="shared" si="17"/>
        <v>1</v>
      </c>
      <c r="N51" s="631"/>
      <c r="O51" s="21">
        <f t="shared" si="18"/>
        <v>1</v>
      </c>
      <c r="P51" s="2566" t="str">
        <f>铂郡面积表!K10</f>
        <v>1层</v>
      </c>
      <c r="Q51" s="21">
        <f t="shared" si="19"/>
        <v>2</v>
      </c>
      <c r="R51" s="21" t="e">
        <f t="shared" si="20"/>
        <v>#REF!</v>
      </c>
      <c r="S51" s="307" t="e">
        <f t="shared" si="11"/>
        <v>#REF!</v>
      </c>
    </row>
    <row r="52" spans="1:19">
      <c r="A52" s="629" t="str">
        <f>铂郡面积表!B11</f>
        <v>朝阳区新东路8号院1、2、3、4、5号楼-1-009</v>
      </c>
      <c r="B52" s="629">
        <f>铂郡面积表!E11</f>
        <v>193.29</v>
      </c>
      <c r="C52" s="21" t="e">
        <f t="shared" si="12"/>
        <v>#REF!</v>
      </c>
      <c r="D52" s="2566" t="str">
        <f>铂郡面积表!I11</f>
        <v>较差</v>
      </c>
      <c r="E52" s="21">
        <f t="shared" si="13"/>
        <v>1</v>
      </c>
      <c r="F52" s="2566">
        <f>铂郡面积表!Q11</f>
        <v>0</v>
      </c>
      <c r="G52" s="21">
        <f t="shared" si="14"/>
        <v>0</v>
      </c>
      <c r="H52" s="631"/>
      <c r="I52" s="21">
        <f t="shared" si="15"/>
        <v>1</v>
      </c>
      <c r="J52" s="631"/>
      <c r="K52" s="21">
        <f t="shared" si="16"/>
        <v>1</v>
      </c>
      <c r="L52" s="631"/>
      <c r="M52" s="21">
        <f t="shared" si="17"/>
        <v>1</v>
      </c>
      <c r="N52" s="631"/>
      <c r="O52" s="21">
        <f t="shared" si="18"/>
        <v>1</v>
      </c>
      <c r="P52" s="2566" t="str">
        <f>铂郡面积表!K11</f>
        <v>-1层</v>
      </c>
      <c r="Q52" s="21">
        <f t="shared" si="19"/>
        <v>1.7</v>
      </c>
      <c r="R52" s="21" t="e">
        <f t="shared" si="20"/>
        <v>#REF!</v>
      </c>
      <c r="S52" s="307" t="e">
        <f t="shared" si="11"/>
        <v>#REF!</v>
      </c>
    </row>
    <row r="53" spans="1:19">
      <c r="A53" s="629" t="str">
        <f>铂郡面积表!B12</f>
        <v>朝阳区新东路8号院1、2、3、4、5号楼-1-034</v>
      </c>
      <c r="B53" s="629">
        <f>铂郡面积表!E12</f>
        <v>136.5</v>
      </c>
      <c r="C53" s="21" t="e">
        <f t="shared" si="12"/>
        <v>#REF!</v>
      </c>
      <c r="D53" s="2566" t="str">
        <f>铂郡面积表!I12</f>
        <v>较差</v>
      </c>
      <c r="E53" s="21">
        <f t="shared" si="13"/>
        <v>1</v>
      </c>
      <c r="F53" s="2566">
        <f>铂郡面积表!Q12</f>
        <v>0</v>
      </c>
      <c r="G53" s="21">
        <f t="shared" si="14"/>
        <v>0</v>
      </c>
      <c r="H53" s="631"/>
      <c r="I53" s="21">
        <f t="shared" si="15"/>
        <v>1</v>
      </c>
      <c r="J53" s="631"/>
      <c r="K53" s="21">
        <f t="shared" si="16"/>
        <v>1</v>
      </c>
      <c r="L53" s="631"/>
      <c r="M53" s="21">
        <f t="shared" si="17"/>
        <v>1</v>
      </c>
      <c r="N53" s="631"/>
      <c r="O53" s="21">
        <f t="shared" si="18"/>
        <v>1</v>
      </c>
      <c r="P53" s="2566" t="str">
        <f>铂郡面积表!K12</f>
        <v>-1层</v>
      </c>
      <c r="Q53" s="21">
        <f t="shared" si="19"/>
        <v>1.7</v>
      </c>
      <c r="R53" s="21" t="e">
        <f t="shared" si="20"/>
        <v>#REF!</v>
      </c>
      <c r="S53" s="307" t="e">
        <f t="shared" si="11"/>
        <v>#REF!</v>
      </c>
    </row>
    <row r="54" spans="1:19">
      <c r="A54" s="629" t="str">
        <f>铂郡面积表!B13</f>
        <v>朝阳区新东路8号院1、2、3、4、5号楼-1-035</v>
      </c>
      <c r="B54" s="629">
        <f>铂郡面积表!E13</f>
        <v>56.5</v>
      </c>
      <c r="C54" s="21" t="e">
        <f t="shared" si="12"/>
        <v>#REF!</v>
      </c>
      <c r="D54" s="2566" t="str">
        <f>铂郡面积表!I13</f>
        <v>较差</v>
      </c>
      <c r="E54" s="21">
        <f t="shared" si="13"/>
        <v>1</v>
      </c>
      <c r="F54" s="2566">
        <f>铂郡面积表!Q13</f>
        <v>0</v>
      </c>
      <c r="G54" s="21">
        <f t="shared" si="14"/>
        <v>0</v>
      </c>
      <c r="H54" s="631"/>
      <c r="I54" s="21">
        <f t="shared" si="15"/>
        <v>1</v>
      </c>
      <c r="J54" s="631"/>
      <c r="K54" s="21">
        <f t="shared" si="16"/>
        <v>1</v>
      </c>
      <c r="L54" s="631"/>
      <c r="M54" s="21">
        <f t="shared" si="17"/>
        <v>1</v>
      </c>
      <c r="N54" s="631"/>
      <c r="O54" s="21">
        <f t="shared" si="18"/>
        <v>1</v>
      </c>
      <c r="P54" s="2566" t="str">
        <f>铂郡面积表!K13</f>
        <v>-1层</v>
      </c>
      <c r="Q54" s="21">
        <f t="shared" si="19"/>
        <v>1.7</v>
      </c>
      <c r="R54" s="21" t="e">
        <f t="shared" si="20"/>
        <v>#REF!</v>
      </c>
      <c r="S54" s="307" t="e">
        <f t="shared" si="11"/>
        <v>#REF!</v>
      </c>
    </row>
    <row r="55" spans="1:19">
      <c r="A55" s="629" t="e">
        <f>铂郡面积表!#REF!</f>
        <v>#REF!</v>
      </c>
      <c r="B55" s="629" t="e">
        <f>铂郡面积表!#REF!</f>
        <v>#REF!</v>
      </c>
      <c r="C55" s="21" t="e">
        <f t="shared" si="12"/>
        <v>#REF!</v>
      </c>
      <c r="D55" s="2566" t="e">
        <f>铂郡面积表!#REF!</f>
        <v>#REF!</v>
      </c>
      <c r="E55" s="21">
        <f t="shared" si="13"/>
        <v>1</v>
      </c>
      <c r="F55" s="2566" t="e">
        <f>铂郡面积表!#REF!</f>
        <v>#REF!</v>
      </c>
      <c r="G55" s="21">
        <f t="shared" si="14"/>
        <v>0</v>
      </c>
      <c r="H55" s="631"/>
      <c r="I55" s="21">
        <f t="shared" si="15"/>
        <v>1</v>
      </c>
      <c r="J55" s="631"/>
      <c r="K55" s="21">
        <f t="shared" si="16"/>
        <v>1</v>
      </c>
      <c r="L55" s="631"/>
      <c r="M55" s="21">
        <f t="shared" si="17"/>
        <v>1</v>
      </c>
      <c r="N55" s="631"/>
      <c r="O55" s="21">
        <f t="shared" si="18"/>
        <v>1</v>
      </c>
      <c r="P55" s="2566" t="e">
        <f>铂郡面积表!#REF!</f>
        <v>#REF!</v>
      </c>
      <c r="Q55" s="21">
        <f t="shared" si="19"/>
        <v>1</v>
      </c>
      <c r="R55" s="21" t="e">
        <f t="shared" si="20"/>
        <v>#REF!</v>
      </c>
      <c r="S55" s="307" t="e">
        <f t="shared" ref="S55:S77" si="21">ROUND(R55*B55/10000,0)</f>
        <v>#REF!</v>
      </c>
    </row>
    <row r="56" spans="1:19">
      <c r="A56" s="629" t="e">
        <f>铂郡面积表!#REF!</f>
        <v>#REF!</v>
      </c>
      <c r="B56" s="629" t="e">
        <f>铂郡面积表!#REF!</f>
        <v>#REF!</v>
      </c>
      <c r="C56" s="21" t="e">
        <f t="shared" si="12"/>
        <v>#REF!</v>
      </c>
      <c r="D56" s="2566" t="e">
        <f>铂郡面积表!#REF!</f>
        <v>#REF!</v>
      </c>
      <c r="E56" s="21">
        <f t="shared" si="13"/>
        <v>1</v>
      </c>
      <c r="F56" s="2566" t="e">
        <f>铂郡面积表!#REF!</f>
        <v>#REF!</v>
      </c>
      <c r="G56" s="21">
        <f t="shared" si="14"/>
        <v>0</v>
      </c>
      <c r="H56" s="631"/>
      <c r="I56" s="21">
        <f t="shared" si="15"/>
        <v>1</v>
      </c>
      <c r="J56" s="631"/>
      <c r="K56" s="21">
        <f t="shared" si="16"/>
        <v>1</v>
      </c>
      <c r="L56" s="631"/>
      <c r="M56" s="21">
        <f t="shared" si="17"/>
        <v>1</v>
      </c>
      <c r="N56" s="631"/>
      <c r="O56" s="21">
        <f t="shared" si="18"/>
        <v>1</v>
      </c>
      <c r="P56" s="2566" t="e">
        <f>铂郡面积表!#REF!</f>
        <v>#REF!</v>
      </c>
      <c r="Q56" s="21">
        <f t="shared" si="19"/>
        <v>1</v>
      </c>
      <c r="R56" s="21" t="e">
        <f t="shared" si="20"/>
        <v>#REF!</v>
      </c>
      <c r="S56" s="307" t="e">
        <f t="shared" si="21"/>
        <v>#REF!</v>
      </c>
    </row>
    <row r="57" spans="1:19">
      <c r="A57" s="629" t="e">
        <f>铂郡面积表!#REF!</f>
        <v>#REF!</v>
      </c>
      <c r="B57" s="629" t="e">
        <f>铂郡面积表!#REF!</f>
        <v>#REF!</v>
      </c>
      <c r="C57" s="21" t="e">
        <f t="shared" si="12"/>
        <v>#REF!</v>
      </c>
      <c r="D57" s="2566" t="e">
        <f>铂郡面积表!#REF!</f>
        <v>#REF!</v>
      </c>
      <c r="E57" s="21">
        <f t="shared" si="13"/>
        <v>1</v>
      </c>
      <c r="F57" s="2566" t="e">
        <f>铂郡面积表!#REF!</f>
        <v>#REF!</v>
      </c>
      <c r="G57" s="21">
        <f t="shared" si="14"/>
        <v>0</v>
      </c>
      <c r="H57" s="631"/>
      <c r="I57" s="21">
        <f t="shared" si="15"/>
        <v>1</v>
      </c>
      <c r="J57" s="631"/>
      <c r="K57" s="21">
        <f t="shared" si="16"/>
        <v>1</v>
      </c>
      <c r="L57" s="631"/>
      <c r="M57" s="21">
        <f t="shared" si="17"/>
        <v>1</v>
      </c>
      <c r="N57" s="631"/>
      <c r="O57" s="21">
        <f t="shared" si="18"/>
        <v>1</v>
      </c>
      <c r="P57" s="2566" t="e">
        <f>铂郡面积表!#REF!</f>
        <v>#REF!</v>
      </c>
      <c r="Q57" s="21">
        <f t="shared" si="19"/>
        <v>1</v>
      </c>
      <c r="R57" s="21" t="e">
        <f t="shared" si="20"/>
        <v>#REF!</v>
      </c>
      <c r="S57" s="307" t="e">
        <f t="shared" si="21"/>
        <v>#REF!</v>
      </c>
    </row>
    <row r="58" spans="1:19">
      <c r="A58" s="629" t="e">
        <f>铂郡面积表!#REF!</f>
        <v>#REF!</v>
      </c>
      <c r="B58" s="629" t="e">
        <f>铂郡面积表!#REF!</f>
        <v>#REF!</v>
      </c>
      <c r="C58" s="21" t="e">
        <f t="shared" si="12"/>
        <v>#REF!</v>
      </c>
      <c r="D58" s="2566" t="e">
        <f>铂郡面积表!#REF!</f>
        <v>#REF!</v>
      </c>
      <c r="E58" s="21">
        <f t="shared" si="13"/>
        <v>1</v>
      </c>
      <c r="F58" s="2566" t="e">
        <f>铂郡面积表!#REF!</f>
        <v>#REF!</v>
      </c>
      <c r="G58" s="21">
        <f t="shared" si="14"/>
        <v>0</v>
      </c>
      <c r="H58" s="631"/>
      <c r="I58" s="21">
        <f t="shared" si="15"/>
        <v>1</v>
      </c>
      <c r="J58" s="631"/>
      <c r="K58" s="21">
        <f t="shared" si="16"/>
        <v>1</v>
      </c>
      <c r="L58" s="631"/>
      <c r="M58" s="21">
        <f t="shared" si="17"/>
        <v>1</v>
      </c>
      <c r="N58" s="631"/>
      <c r="O58" s="21">
        <f t="shared" si="18"/>
        <v>1</v>
      </c>
      <c r="P58" s="2566" t="e">
        <f>铂郡面积表!#REF!</f>
        <v>#REF!</v>
      </c>
      <c r="Q58" s="21">
        <f t="shared" si="19"/>
        <v>1</v>
      </c>
      <c r="R58" s="21" t="e">
        <f t="shared" si="20"/>
        <v>#REF!</v>
      </c>
      <c r="S58" s="307" t="e">
        <f t="shared" si="21"/>
        <v>#REF!</v>
      </c>
    </row>
    <row r="59" spans="1:19">
      <c r="A59" s="629" t="e">
        <f>铂郡面积表!#REF!</f>
        <v>#REF!</v>
      </c>
      <c r="B59" s="629" t="e">
        <f>铂郡面积表!#REF!</f>
        <v>#REF!</v>
      </c>
      <c r="C59" s="21" t="e">
        <f t="shared" si="12"/>
        <v>#REF!</v>
      </c>
      <c r="D59" s="2566" t="e">
        <f>铂郡面积表!#REF!</f>
        <v>#REF!</v>
      </c>
      <c r="E59" s="21">
        <f t="shared" si="13"/>
        <v>1</v>
      </c>
      <c r="F59" s="2566" t="e">
        <f>铂郡面积表!#REF!</f>
        <v>#REF!</v>
      </c>
      <c r="G59" s="21">
        <f t="shared" si="14"/>
        <v>0</v>
      </c>
      <c r="H59" s="631"/>
      <c r="I59" s="21">
        <f t="shared" si="15"/>
        <v>1</v>
      </c>
      <c r="J59" s="631"/>
      <c r="K59" s="21">
        <f t="shared" si="16"/>
        <v>1</v>
      </c>
      <c r="L59" s="631"/>
      <c r="M59" s="21">
        <f t="shared" si="17"/>
        <v>1</v>
      </c>
      <c r="N59" s="631"/>
      <c r="O59" s="21">
        <f t="shared" si="18"/>
        <v>1</v>
      </c>
      <c r="P59" s="2566" t="e">
        <f>铂郡面积表!#REF!</f>
        <v>#REF!</v>
      </c>
      <c r="Q59" s="21">
        <f t="shared" si="19"/>
        <v>1</v>
      </c>
      <c r="R59" s="21" t="e">
        <f t="shared" si="20"/>
        <v>#REF!</v>
      </c>
      <c r="S59" s="307" t="e">
        <f t="shared" si="21"/>
        <v>#REF!</v>
      </c>
    </row>
    <row r="60" spans="1:19">
      <c r="A60" s="629" t="e">
        <f>铂郡面积表!#REF!</f>
        <v>#REF!</v>
      </c>
      <c r="B60" s="629" t="e">
        <f>铂郡面积表!#REF!</f>
        <v>#REF!</v>
      </c>
      <c r="C60" s="21" t="e">
        <f t="shared" si="12"/>
        <v>#REF!</v>
      </c>
      <c r="D60" s="2566" t="e">
        <f>铂郡面积表!#REF!</f>
        <v>#REF!</v>
      </c>
      <c r="E60" s="21">
        <f t="shared" si="13"/>
        <v>1</v>
      </c>
      <c r="F60" s="2566" t="e">
        <f>铂郡面积表!#REF!</f>
        <v>#REF!</v>
      </c>
      <c r="G60" s="21">
        <f t="shared" si="14"/>
        <v>0</v>
      </c>
      <c r="H60" s="631"/>
      <c r="I60" s="21">
        <f t="shared" si="15"/>
        <v>1</v>
      </c>
      <c r="J60" s="631"/>
      <c r="K60" s="21">
        <f t="shared" si="16"/>
        <v>1</v>
      </c>
      <c r="L60" s="631"/>
      <c r="M60" s="21">
        <f t="shared" si="17"/>
        <v>1</v>
      </c>
      <c r="N60" s="631"/>
      <c r="O60" s="21">
        <f t="shared" si="18"/>
        <v>1</v>
      </c>
      <c r="P60" s="2566" t="e">
        <f>铂郡面积表!#REF!</f>
        <v>#REF!</v>
      </c>
      <c r="Q60" s="21">
        <f t="shared" si="19"/>
        <v>1</v>
      </c>
      <c r="R60" s="21" t="e">
        <f t="shared" si="20"/>
        <v>#REF!</v>
      </c>
      <c r="S60" s="307" t="e">
        <f t="shared" si="21"/>
        <v>#REF!</v>
      </c>
    </row>
    <row r="61" spans="1:19">
      <c r="A61" s="629" t="e">
        <f>铂郡面积表!#REF!</f>
        <v>#REF!</v>
      </c>
      <c r="B61" s="629" t="e">
        <f>铂郡面积表!#REF!</f>
        <v>#REF!</v>
      </c>
      <c r="C61" s="21" t="e">
        <f t="shared" si="12"/>
        <v>#REF!</v>
      </c>
      <c r="D61" s="2566" t="e">
        <f>铂郡面积表!#REF!</f>
        <v>#REF!</v>
      </c>
      <c r="E61" s="21">
        <f t="shared" si="13"/>
        <v>1</v>
      </c>
      <c r="F61" s="2566" t="e">
        <f>铂郡面积表!#REF!</f>
        <v>#REF!</v>
      </c>
      <c r="G61" s="21">
        <f t="shared" si="14"/>
        <v>0</v>
      </c>
      <c r="H61" s="631"/>
      <c r="I61" s="21">
        <f t="shared" si="15"/>
        <v>1</v>
      </c>
      <c r="J61" s="631"/>
      <c r="K61" s="21">
        <f t="shared" si="16"/>
        <v>1</v>
      </c>
      <c r="L61" s="631"/>
      <c r="M61" s="21">
        <f t="shared" si="17"/>
        <v>1</v>
      </c>
      <c r="N61" s="631"/>
      <c r="O61" s="21">
        <f t="shared" si="18"/>
        <v>1</v>
      </c>
      <c r="P61" s="2566" t="e">
        <f>铂郡面积表!#REF!</f>
        <v>#REF!</v>
      </c>
      <c r="Q61" s="21">
        <f t="shared" si="19"/>
        <v>1</v>
      </c>
      <c r="R61" s="21" t="e">
        <f t="shared" si="20"/>
        <v>#REF!</v>
      </c>
      <c r="S61" s="307" t="e">
        <f t="shared" si="21"/>
        <v>#REF!</v>
      </c>
    </row>
    <row r="62" spans="1:19">
      <c r="A62" s="629" t="e">
        <f>铂郡面积表!#REF!</f>
        <v>#REF!</v>
      </c>
      <c r="B62" s="629" t="e">
        <f>铂郡面积表!#REF!</f>
        <v>#REF!</v>
      </c>
      <c r="C62" s="21" t="e">
        <f t="shared" si="12"/>
        <v>#REF!</v>
      </c>
      <c r="D62" s="2566" t="e">
        <f>铂郡面积表!#REF!</f>
        <v>#REF!</v>
      </c>
      <c r="E62" s="21">
        <f t="shared" si="13"/>
        <v>1</v>
      </c>
      <c r="F62" s="2566" t="e">
        <f>铂郡面积表!#REF!</f>
        <v>#REF!</v>
      </c>
      <c r="G62" s="21">
        <f t="shared" si="14"/>
        <v>0</v>
      </c>
      <c r="H62" s="631"/>
      <c r="I62" s="21">
        <f t="shared" si="15"/>
        <v>1</v>
      </c>
      <c r="J62" s="631"/>
      <c r="K62" s="21">
        <f t="shared" si="16"/>
        <v>1</v>
      </c>
      <c r="L62" s="631"/>
      <c r="M62" s="21">
        <f t="shared" si="17"/>
        <v>1</v>
      </c>
      <c r="N62" s="631"/>
      <c r="O62" s="21">
        <f t="shared" si="18"/>
        <v>1</v>
      </c>
      <c r="P62" s="2566" t="e">
        <f>铂郡面积表!#REF!</f>
        <v>#REF!</v>
      </c>
      <c r="Q62" s="21">
        <f t="shared" si="19"/>
        <v>1</v>
      </c>
      <c r="R62" s="21" t="e">
        <f t="shared" si="20"/>
        <v>#REF!</v>
      </c>
      <c r="S62" s="307" t="e">
        <f t="shared" si="21"/>
        <v>#REF!</v>
      </c>
    </row>
    <row r="63" spans="1:19">
      <c r="A63" s="629" t="e">
        <f>铂郡面积表!#REF!</f>
        <v>#REF!</v>
      </c>
      <c r="B63" s="629" t="e">
        <f>铂郡面积表!#REF!</f>
        <v>#REF!</v>
      </c>
      <c r="C63" s="21" t="e">
        <f t="shared" si="12"/>
        <v>#REF!</v>
      </c>
      <c r="D63" s="2566" t="e">
        <f>铂郡面积表!#REF!</f>
        <v>#REF!</v>
      </c>
      <c r="E63" s="21">
        <f t="shared" si="13"/>
        <v>1</v>
      </c>
      <c r="F63" s="2566" t="e">
        <f>铂郡面积表!#REF!</f>
        <v>#REF!</v>
      </c>
      <c r="G63" s="21">
        <f t="shared" si="14"/>
        <v>0</v>
      </c>
      <c r="H63" s="631"/>
      <c r="I63" s="21">
        <f t="shared" si="15"/>
        <v>1</v>
      </c>
      <c r="J63" s="631"/>
      <c r="K63" s="21">
        <f t="shared" si="16"/>
        <v>1</v>
      </c>
      <c r="L63" s="631"/>
      <c r="M63" s="21">
        <f t="shared" si="17"/>
        <v>1</v>
      </c>
      <c r="N63" s="631"/>
      <c r="O63" s="21">
        <f t="shared" si="18"/>
        <v>1</v>
      </c>
      <c r="P63" s="2566" t="e">
        <f>铂郡面积表!#REF!</f>
        <v>#REF!</v>
      </c>
      <c r="Q63" s="21">
        <f t="shared" si="19"/>
        <v>1</v>
      </c>
      <c r="R63" s="21" t="e">
        <f t="shared" si="20"/>
        <v>#REF!</v>
      </c>
      <c r="S63" s="307" t="e">
        <f t="shared" si="21"/>
        <v>#REF!</v>
      </c>
    </row>
    <row r="64" spans="1:19">
      <c r="A64" s="629" t="e">
        <f>铂郡面积表!#REF!</f>
        <v>#REF!</v>
      </c>
      <c r="B64" s="629" t="e">
        <f>铂郡面积表!#REF!</f>
        <v>#REF!</v>
      </c>
      <c r="C64" s="21" t="e">
        <f t="shared" si="12"/>
        <v>#REF!</v>
      </c>
      <c r="D64" s="2566" t="e">
        <f>铂郡面积表!#REF!</f>
        <v>#REF!</v>
      </c>
      <c r="E64" s="21">
        <f t="shared" si="13"/>
        <v>1</v>
      </c>
      <c r="F64" s="2566" t="e">
        <f>铂郡面积表!#REF!</f>
        <v>#REF!</v>
      </c>
      <c r="G64" s="21">
        <f t="shared" si="14"/>
        <v>0</v>
      </c>
      <c r="H64" s="631"/>
      <c r="I64" s="21">
        <f t="shared" si="15"/>
        <v>1</v>
      </c>
      <c r="J64" s="631"/>
      <c r="K64" s="21">
        <f t="shared" si="16"/>
        <v>1</v>
      </c>
      <c r="L64" s="631"/>
      <c r="M64" s="21">
        <f t="shared" si="17"/>
        <v>1</v>
      </c>
      <c r="N64" s="631"/>
      <c r="O64" s="21">
        <f t="shared" si="18"/>
        <v>1</v>
      </c>
      <c r="P64" s="2566" t="e">
        <f>铂郡面积表!#REF!</f>
        <v>#REF!</v>
      </c>
      <c r="Q64" s="21">
        <f t="shared" si="19"/>
        <v>1</v>
      </c>
      <c r="R64" s="21" t="e">
        <f t="shared" si="20"/>
        <v>#REF!</v>
      </c>
      <c r="S64" s="307" t="e">
        <f t="shared" si="21"/>
        <v>#REF!</v>
      </c>
    </row>
    <row r="65" spans="1:19">
      <c r="A65" s="629" t="e">
        <f>铂郡面积表!#REF!</f>
        <v>#REF!</v>
      </c>
      <c r="B65" s="629" t="e">
        <f>铂郡面积表!#REF!</f>
        <v>#REF!</v>
      </c>
      <c r="C65" s="21" t="e">
        <f t="shared" si="12"/>
        <v>#REF!</v>
      </c>
      <c r="D65" s="2566" t="e">
        <f>铂郡面积表!#REF!</f>
        <v>#REF!</v>
      </c>
      <c r="E65" s="21">
        <f t="shared" si="13"/>
        <v>1</v>
      </c>
      <c r="F65" s="2566" t="e">
        <f>铂郡面积表!#REF!</f>
        <v>#REF!</v>
      </c>
      <c r="G65" s="21">
        <f t="shared" si="14"/>
        <v>0</v>
      </c>
      <c r="H65" s="631"/>
      <c r="I65" s="21">
        <f t="shared" si="15"/>
        <v>1</v>
      </c>
      <c r="J65" s="631"/>
      <c r="K65" s="21">
        <f t="shared" si="16"/>
        <v>1</v>
      </c>
      <c r="L65" s="631"/>
      <c r="M65" s="21">
        <f t="shared" si="17"/>
        <v>1</v>
      </c>
      <c r="N65" s="631"/>
      <c r="O65" s="21">
        <f t="shared" si="18"/>
        <v>1</v>
      </c>
      <c r="P65" s="2566" t="e">
        <f>铂郡面积表!#REF!</f>
        <v>#REF!</v>
      </c>
      <c r="Q65" s="21">
        <f t="shared" si="19"/>
        <v>1</v>
      </c>
      <c r="R65" s="21" t="e">
        <f t="shared" si="20"/>
        <v>#REF!</v>
      </c>
      <c r="S65" s="307" t="e">
        <f t="shared" si="21"/>
        <v>#REF!</v>
      </c>
    </row>
    <row r="66" spans="1:19">
      <c r="A66" s="629" t="e">
        <f>铂郡面积表!#REF!</f>
        <v>#REF!</v>
      </c>
      <c r="B66" s="629" t="e">
        <f>铂郡面积表!#REF!</f>
        <v>#REF!</v>
      </c>
      <c r="C66" s="21" t="e">
        <f t="shared" si="12"/>
        <v>#REF!</v>
      </c>
      <c r="D66" s="2566" t="e">
        <f>铂郡面积表!#REF!</f>
        <v>#REF!</v>
      </c>
      <c r="E66" s="21">
        <f t="shared" si="13"/>
        <v>1</v>
      </c>
      <c r="F66" s="2566" t="e">
        <f>铂郡面积表!#REF!</f>
        <v>#REF!</v>
      </c>
      <c r="G66" s="21">
        <f t="shared" si="14"/>
        <v>0</v>
      </c>
      <c r="H66" s="631"/>
      <c r="I66" s="21">
        <f t="shared" si="15"/>
        <v>1</v>
      </c>
      <c r="J66" s="631"/>
      <c r="K66" s="21">
        <f t="shared" si="16"/>
        <v>1</v>
      </c>
      <c r="L66" s="631"/>
      <c r="M66" s="21">
        <f t="shared" si="17"/>
        <v>1</v>
      </c>
      <c r="N66" s="631"/>
      <c r="O66" s="21">
        <f t="shared" si="18"/>
        <v>1</v>
      </c>
      <c r="P66" s="2566" t="e">
        <f>铂郡面积表!#REF!</f>
        <v>#REF!</v>
      </c>
      <c r="Q66" s="21">
        <f t="shared" si="19"/>
        <v>1</v>
      </c>
      <c r="R66" s="21" t="e">
        <f t="shared" si="20"/>
        <v>#REF!</v>
      </c>
      <c r="S66" s="307" t="e">
        <f t="shared" si="21"/>
        <v>#REF!</v>
      </c>
    </row>
    <row r="67" spans="1:19">
      <c r="A67" s="629" t="e">
        <f>铂郡面积表!#REF!</f>
        <v>#REF!</v>
      </c>
      <c r="B67" s="629" t="e">
        <f>铂郡面积表!#REF!</f>
        <v>#REF!</v>
      </c>
      <c r="C67" s="21" t="e">
        <f t="shared" si="12"/>
        <v>#REF!</v>
      </c>
      <c r="D67" s="2566" t="e">
        <f>铂郡面积表!#REF!</f>
        <v>#REF!</v>
      </c>
      <c r="E67" s="21">
        <f t="shared" si="13"/>
        <v>1</v>
      </c>
      <c r="F67" s="2566" t="e">
        <f>铂郡面积表!#REF!</f>
        <v>#REF!</v>
      </c>
      <c r="G67" s="21">
        <f t="shared" si="14"/>
        <v>0</v>
      </c>
      <c r="H67" s="631"/>
      <c r="I67" s="21">
        <f t="shared" si="15"/>
        <v>1</v>
      </c>
      <c r="J67" s="631"/>
      <c r="K67" s="21">
        <f t="shared" si="16"/>
        <v>1</v>
      </c>
      <c r="L67" s="631"/>
      <c r="M67" s="21">
        <f t="shared" si="17"/>
        <v>1</v>
      </c>
      <c r="N67" s="631"/>
      <c r="O67" s="21">
        <f t="shared" si="18"/>
        <v>1</v>
      </c>
      <c r="P67" s="2566" t="e">
        <f>铂郡面积表!#REF!</f>
        <v>#REF!</v>
      </c>
      <c r="Q67" s="21">
        <f t="shared" si="19"/>
        <v>1</v>
      </c>
      <c r="R67" s="21" t="e">
        <f t="shared" si="20"/>
        <v>#REF!</v>
      </c>
      <c r="S67" s="307" t="e">
        <f t="shared" si="21"/>
        <v>#REF!</v>
      </c>
    </row>
    <row r="68" spans="1:19">
      <c r="A68" s="629" t="e">
        <f>铂郡面积表!#REF!</f>
        <v>#REF!</v>
      </c>
      <c r="B68" s="629" t="e">
        <f>铂郡面积表!#REF!</f>
        <v>#REF!</v>
      </c>
      <c r="C68" s="21" t="e">
        <f t="shared" si="12"/>
        <v>#REF!</v>
      </c>
      <c r="D68" s="2566" t="e">
        <f>铂郡面积表!#REF!</f>
        <v>#REF!</v>
      </c>
      <c r="E68" s="21">
        <f t="shared" si="13"/>
        <v>1</v>
      </c>
      <c r="F68" s="2566" t="e">
        <f>铂郡面积表!#REF!</f>
        <v>#REF!</v>
      </c>
      <c r="G68" s="21">
        <f t="shared" si="14"/>
        <v>0</v>
      </c>
      <c r="H68" s="631"/>
      <c r="I68" s="21">
        <f t="shared" si="15"/>
        <v>1</v>
      </c>
      <c r="J68" s="631"/>
      <c r="K68" s="21">
        <f t="shared" si="16"/>
        <v>1</v>
      </c>
      <c r="L68" s="631"/>
      <c r="M68" s="21">
        <f t="shared" si="17"/>
        <v>1</v>
      </c>
      <c r="N68" s="631"/>
      <c r="O68" s="21">
        <f t="shared" si="18"/>
        <v>1</v>
      </c>
      <c r="P68" s="2566" t="e">
        <f>铂郡面积表!#REF!</f>
        <v>#REF!</v>
      </c>
      <c r="Q68" s="21">
        <f t="shared" si="19"/>
        <v>1</v>
      </c>
      <c r="R68" s="21" t="e">
        <f t="shared" si="20"/>
        <v>#REF!</v>
      </c>
      <c r="S68" s="307" t="e">
        <f t="shared" si="21"/>
        <v>#REF!</v>
      </c>
    </row>
    <row r="69" spans="1:19">
      <c r="A69" s="629" t="e">
        <f>铂郡面积表!#REF!</f>
        <v>#REF!</v>
      </c>
      <c r="B69" s="629" t="e">
        <f>铂郡面积表!#REF!</f>
        <v>#REF!</v>
      </c>
      <c r="C69" s="21" t="e">
        <f t="shared" si="12"/>
        <v>#REF!</v>
      </c>
      <c r="D69" s="2566" t="e">
        <f>铂郡面积表!#REF!</f>
        <v>#REF!</v>
      </c>
      <c r="E69" s="21">
        <f t="shared" si="13"/>
        <v>1</v>
      </c>
      <c r="F69" s="2566" t="e">
        <f>铂郡面积表!#REF!</f>
        <v>#REF!</v>
      </c>
      <c r="G69" s="21">
        <f t="shared" si="14"/>
        <v>0</v>
      </c>
      <c r="H69" s="631"/>
      <c r="I69" s="21">
        <f t="shared" si="15"/>
        <v>1</v>
      </c>
      <c r="J69" s="631"/>
      <c r="K69" s="21">
        <f t="shared" si="16"/>
        <v>1</v>
      </c>
      <c r="L69" s="631"/>
      <c r="M69" s="21">
        <f t="shared" si="17"/>
        <v>1</v>
      </c>
      <c r="N69" s="631"/>
      <c r="O69" s="21">
        <f t="shared" si="18"/>
        <v>1</v>
      </c>
      <c r="P69" s="2566" t="e">
        <f>铂郡面积表!#REF!</f>
        <v>#REF!</v>
      </c>
      <c r="Q69" s="21">
        <f t="shared" si="19"/>
        <v>1</v>
      </c>
      <c r="R69" s="21" t="e">
        <f t="shared" si="20"/>
        <v>#REF!</v>
      </c>
      <c r="S69" s="307" t="e">
        <f t="shared" si="21"/>
        <v>#REF!</v>
      </c>
    </row>
    <row r="70" spans="1:19">
      <c r="A70" s="629" t="e">
        <f>铂郡面积表!#REF!</f>
        <v>#REF!</v>
      </c>
      <c r="B70" s="629" t="e">
        <f>铂郡面积表!#REF!</f>
        <v>#REF!</v>
      </c>
      <c r="C70" s="21" t="e">
        <f t="shared" si="12"/>
        <v>#REF!</v>
      </c>
      <c r="D70" s="2566" t="e">
        <f>铂郡面积表!#REF!</f>
        <v>#REF!</v>
      </c>
      <c r="E70" s="21">
        <f t="shared" si="13"/>
        <v>1</v>
      </c>
      <c r="F70" s="2566" t="e">
        <f>铂郡面积表!#REF!</f>
        <v>#REF!</v>
      </c>
      <c r="G70" s="21">
        <f t="shared" si="14"/>
        <v>0</v>
      </c>
      <c r="H70" s="631"/>
      <c r="I70" s="21">
        <f t="shared" si="15"/>
        <v>1</v>
      </c>
      <c r="J70" s="631"/>
      <c r="K70" s="21">
        <f t="shared" si="16"/>
        <v>1</v>
      </c>
      <c r="L70" s="631"/>
      <c r="M70" s="21">
        <f t="shared" si="17"/>
        <v>1</v>
      </c>
      <c r="N70" s="631"/>
      <c r="O70" s="21">
        <f t="shared" si="18"/>
        <v>1</v>
      </c>
      <c r="P70" s="2566" t="e">
        <f>铂郡面积表!#REF!</f>
        <v>#REF!</v>
      </c>
      <c r="Q70" s="21">
        <f t="shared" si="19"/>
        <v>1</v>
      </c>
      <c r="R70" s="21" t="e">
        <f t="shared" si="20"/>
        <v>#REF!</v>
      </c>
      <c r="S70" s="307" t="e">
        <f t="shared" si="21"/>
        <v>#REF!</v>
      </c>
    </row>
    <row r="71" spans="1:19">
      <c r="A71" s="629" t="e">
        <f>铂郡面积表!#REF!</f>
        <v>#REF!</v>
      </c>
      <c r="B71" s="629" t="e">
        <f>铂郡面积表!#REF!</f>
        <v>#REF!</v>
      </c>
      <c r="C71" s="21" t="e">
        <f t="shared" si="12"/>
        <v>#REF!</v>
      </c>
      <c r="D71" s="2566" t="e">
        <f>铂郡面积表!#REF!</f>
        <v>#REF!</v>
      </c>
      <c r="E71" s="21">
        <f t="shared" si="13"/>
        <v>1</v>
      </c>
      <c r="F71" s="2566" t="e">
        <f>铂郡面积表!#REF!</f>
        <v>#REF!</v>
      </c>
      <c r="G71" s="21">
        <f t="shared" si="14"/>
        <v>0</v>
      </c>
      <c r="H71" s="631"/>
      <c r="I71" s="21">
        <f t="shared" si="15"/>
        <v>1</v>
      </c>
      <c r="J71" s="631"/>
      <c r="K71" s="21">
        <f t="shared" si="16"/>
        <v>1</v>
      </c>
      <c r="L71" s="631"/>
      <c r="M71" s="21">
        <f t="shared" si="17"/>
        <v>1</v>
      </c>
      <c r="N71" s="631"/>
      <c r="O71" s="21">
        <f t="shared" si="18"/>
        <v>1</v>
      </c>
      <c r="P71" s="2566" t="e">
        <f>铂郡面积表!#REF!</f>
        <v>#REF!</v>
      </c>
      <c r="Q71" s="21">
        <f t="shared" si="19"/>
        <v>1</v>
      </c>
      <c r="R71" s="21" t="e">
        <f t="shared" si="20"/>
        <v>#REF!</v>
      </c>
      <c r="S71" s="307" t="e">
        <f t="shared" si="21"/>
        <v>#REF!</v>
      </c>
    </row>
    <row r="72" spans="1:19">
      <c r="A72" s="629" t="e">
        <f>铂郡面积表!#REF!</f>
        <v>#REF!</v>
      </c>
      <c r="B72" s="629" t="e">
        <f>铂郡面积表!#REF!</f>
        <v>#REF!</v>
      </c>
      <c r="C72" s="21" t="e">
        <f t="shared" si="12"/>
        <v>#REF!</v>
      </c>
      <c r="D72" s="2566" t="e">
        <f>铂郡面积表!#REF!</f>
        <v>#REF!</v>
      </c>
      <c r="E72" s="21">
        <f t="shared" si="13"/>
        <v>1</v>
      </c>
      <c r="F72" s="2566" t="e">
        <f>铂郡面积表!#REF!</f>
        <v>#REF!</v>
      </c>
      <c r="G72" s="21">
        <f t="shared" si="14"/>
        <v>0</v>
      </c>
      <c r="H72" s="631"/>
      <c r="I72" s="21">
        <f t="shared" si="15"/>
        <v>1</v>
      </c>
      <c r="J72" s="631"/>
      <c r="K72" s="21">
        <f t="shared" si="16"/>
        <v>1</v>
      </c>
      <c r="L72" s="631"/>
      <c r="M72" s="21">
        <f t="shared" si="17"/>
        <v>1</v>
      </c>
      <c r="N72" s="631"/>
      <c r="O72" s="21">
        <f t="shared" si="18"/>
        <v>1</v>
      </c>
      <c r="P72" s="2566" t="e">
        <f>铂郡面积表!#REF!</f>
        <v>#REF!</v>
      </c>
      <c r="Q72" s="21">
        <f t="shared" si="19"/>
        <v>1</v>
      </c>
      <c r="R72" s="21" t="e">
        <f t="shared" si="20"/>
        <v>#REF!</v>
      </c>
      <c r="S72" s="307" t="e">
        <f t="shared" si="21"/>
        <v>#REF!</v>
      </c>
    </row>
    <row r="73" spans="1:19">
      <c r="A73" s="629" t="e">
        <f>铂郡面积表!#REF!</f>
        <v>#REF!</v>
      </c>
      <c r="B73" s="629" t="e">
        <f>铂郡面积表!#REF!</f>
        <v>#REF!</v>
      </c>
      <c r="C73" s="21" t="e">
        <f t="shared" si="12"/>
        <v>#REF!</v>
      </c>
      <c r="D73" s="2566" t="e">
        <f>铂郡面积表!#REF!</f>
        <v>#REF!</v>
      </c>
      <c r="E73" s="21">
        <f t="shared" si="13"/>
        <v>1</v>
      </c>
      <c r="F73" s="2566" t="e">
        <f>铂郡面积表!#REF!</f>
        <v>#REF!</v>
      </c>
      <c r="G73" s="21">
        <f t="shared" si="14"/>
        <v>0</v>
      </c>
      <c r="H73" s="631"/>
      <c r="I73" s="21">
        <f t="shared" si="15"/>
        <v>1</v>
      </c>
      <c r="J73" s="631"/>
      <c r="K73" s="21">
        <f t="shared" si="16"/>
        <v>1</v>
      </c>
      <c r="L73" s="631"/>
      <c r="M73" s="21">
        <f t="shared" si="17"/>
        <v>1</v>
      </c>
      <c r="N73" s="631"/>
      <c r="O73" s="21">
        <f t="shared" si="18"/>
        <v>1</v>
      </c>
      <c r="P73" s="2566" t="e">
        <f>铂郡面积表!#REF!</f>
        <v>#REF!</v>
      </c>
      <c r="Q73" s="21">
        <f t="shared" si="19"/>
        <v>1</v>
      </c>
      <c r="R73" s="21" t="e">
        <f t="shared" si="20"/>
        <v>#REF!</v>
      </c>
      <c r="S73" s="307" t="e">
        <f t="shared" si="21"/>
        <v>#REF!</v>
      </c>
    </row>
    <row r="74" spans="1:19">
      <c r="A74" s="629" t="e">
        <f>铂郡面积表!#REF!</f>
        <v>#REF!</v>
      </c>
      <c r="B74" s="629" t="e">
        <f>铂郡面积表!#REF!</f>
        <v>#REF!</v>
      </c>
      <c r="C74" s="21" t="e">
        <f t="shared" si="12"/>
        <v>#REF!</v>
      </c>
      <c r="D74" s="2566" t="e">
        <f>铂郡面积表!#REF!</f>
        <v>#REF!</v>
      </c>
      <c r="E74" s="21">
        <f t="shared" si="13"/>
        <v>1</v>
      </c>
      <c r="F74" s="2566" t="e">
        <f>铂郡面积表!#REF!</f>
        <v>#REF!</v>
      </c>
      <c r="G74" s="21">
        <f t="shared" si="14"/>
        <v>0</v>
      </c>
      <c r="H74" s="631"/>
      <c r="I74" s="21">
        <f t="shared" si="15"/>
        <v>1</v>
      </c>
      <c r="J74" s="631"/>
      <c r="K74" s="21">
        <f t="shared" si="16"/>
        <v>1</v>
      </c>
      <c r="L74" s="631"/>
      <c r="M74" s="21">
        <f t="shared" si="17"/>
        <v>1</v>
      </c>
      <c r="N74" s="631"/>
      <c r="O74" s="21">
        <f t="shared" si="18"/>
        <v>1</v>
      </c>
      <c r="P74" s="2566" t="e">
        <f>铂郡面积表!#REF!</f>
        <v>#REF!</v>
      </c>
      <c r="Q74" s="21">
        <f t="shared" si="19"/>
        <v>1</v>
      </c>
      <c r="R74" s="21" t="e">
        <f t="shared" si="20"/>
        <v>#REF!</v>
      </c>
      <c r="S74" s="307" t="e">
        <f t="shared" si="21"/>
        <v>#REF!</v>
      </c>
    </row>
    <row r="75" spans="1:19">
      <c r="A75" s="629" t="e">
        <f>铂郡面积表!#REF!</f>
        <v>#REF!</v>
      </c>
      <c r="B75" s="629" t="e">
        <f>铂郡面积表!#REF!</f>
        <v>#REF!</v>
      </c>
      <c r="C75" s="21" t="e">
        <f t="shared" si="12"/>
        <v>#REF!</v>
      </c>
      <c r="D75" s="2566" t="e">
        <f>铂郡面积表!#REF!</f>
        <v>#REF!</v>
      </c>
      <c r="E75" s="21">
        <f t="shared" si="13"/>
        <v>1</v>
      </c>
      <c r="F75" s="2566" t="e">
        <f>铂郡面积表!#REF!</f>
        <v>#REF!</v>
      </c>
      <c r="G75" s="21">
        <f t="shared" si="14"/>
        <v>0</v>
      </c>
      <c r="H75" s="631"/>
      <c r="I75" s="21">
        <f t="shared" si="15"/>
        <v>1</v>
      </c>
      <c r="J75" s="631"/>
      <c r="K75" s="21">
        <f t="shared" si="16"/>
        <v>1</v>
      </c>
      <c r="L75" s="631"/>
      <c r="M75" s="21">
        <f t="shared" si="17"/>
        <v>1</v>
      </c>
      <c r="N75" s="631"/>
      <c r="O75" s="21">
        <f t="shared" si="18"/>
        <v>1</v>
      </c>
      <c r="P75" s="2566" t="e">
        <f>铂郡面积表!#REF!</f>
        <v>#REF!</v>
      </c>
      <c r="Q75" s="21">
        <f t="shared" si="19"/>
        <v>1</v>
      </c>
      <c r="R75" s="21" t="e">
        <f t="shared" si="20"/>
        <v>#REF!</v>
      </c>
      <c r="S75" s="307" t="e">
        <f t="shared" si="21"/>
        <v>#REF!</v>
      </c>
    </row>
    <row r="76" spans="1:19">
      <c r="A76" s="629"/>
      <c r="B76" s="629"/>
      <c r="C76" s="21"/>
      <c r="D76" s="2566"/>
      <c r="E76" s="21">
        <f t="shared" si="13"/>
        <v>1</v>
      </c>
      <c r="F76" s="2566" t="e">
        <f>铂郡面积表!#REF!</f>
        <v>#REF!</v>
      </c>
      <c r="G76" s="21">
        <f t="shared" si="14"/>
        <v>0</v>
      </c>
      <c r="H76" s="631"/>
      <c r="I76" s="21">
        <f t="shared" si="15"/>
        <v>1</v>
      </c>
      <c r="J76" s="631"/>
      <c r="K76" s="21">
        <f t="shared" si="16"/>
        <v>1</v>
      </c>
      <c r="L76" s="631"/>
      <c r="M76" s="21">
        <f t="shared" si="17"/>
        <v>1</v>
      </c>
      <c r="N76" s="631"/>
      <c r="O76" s="21">
        <f t="shared" si="18"/>
        <v>1</v>
      </c>
      <c r="P76" s="2566" t="e">
        <f>铂郡面积表!#REF!</f>
        <v>#REF!</v>
      </c>
      <c r="Q76" s="21">
        <f t="shared" si="19"/>
        <v>1</v>
      </c>
      <c r="R76" s="21">
        <f t="shared" si="20"/>
        <v>0</v>
      </c>
      <c r="S76" s="307">
        <f t="shared" si="21"/>
        <v>0</v>
      </c>
    </row>
    <row r="77" spans="1:19">
      <c r="A77" s="629"/>
      <c r="B77" s="629"/>
      <c r="C77" s="21"/>
      <c r="D77" s="2566"/>
      <c r="E77" s="21">
        <f t="shared" si="13"/>
        <v>1</v>
      </c>
      <c r="F77" s="2566">
        <f>铂郡面积表!Q14</f>
        <v>0</v>
      </c>
      <c r="G77" s="21">
        <f t="shared" si="14"/>
        <v>0</v>
      </c>
      <c r="H77" s="631"/>
      <c r="I77" s="21">
        <f t="shared" si="15"/>
        <v>1</v>
      </c>
      <c r="J77" s="631"/>
      <c r="K77" s="21">
        <f t="shared" si="16"/>
        <v>1</v>
      </c>
      <c r="L77" s="631"/>
      <c r="M77" s="21">
        <f t="shared" si="17"/>
        <v>1</v>
      </c>
      <c r="N77" s="631"/>
      <c r="O77" s="21">
        <f t="shared" si="18"/>
        <v>1</v>
      </c>
      <c r="P77" s="2566">
        <f>铂郡面积表!K14</f>
        <v>0</v>
      </c>
      <c r="Q77" s="21">
        <f t="shared" si="19"/>
        <v>1</v>
      </c>
      <c r="R77" s="21">
        <f t="shared" si="20"/>
        <v>0</v>
      </c>
      <c r="S77" s="307">
        <f t="shared" si="21"/>
        <v>0</v>
      </c>
    </row>
    <row r="78" spans="1:19">
      <c r="A78" s="629"/>
      <c r="B78" s="629"/>
      <c r="C78" s="21"/>
      <c r="D78" s="2566"/>
      <c r="E78" s="21">
        <f t="shared" si="13"/>
        <v>1</v>
      </c>
      <c r="F78" s="2566">
        <f>铂郡面积表!Q15</f>
        <v>0</v>
      </c>
      <c r="G78" s="21">
        <f t="shared" si="14"/>
        <v>0</v>
      </c>
      <c r="H78" s="631"/>
      <c r="I78" s="21">
        <f t="shared" si="15"/>
        <v>1</v>
      </c>
      <c r="J78" s="631"/>
      <c r="K78" s="21">
        <f t="shared" si="16"/>
        <v>1</v>
      </c>
      <c r="L78" s="631"/>
      <c r="M78" s="21">
        <f t="shared" si="17"/>
        <v>1</v>
      </c>
      <c r="N78" s="631"/>
      <c r="O78" s="21">
        <f t="shared" si="18"/>
        <v>1</v>
      </c>
      <c r="P78" s="2566">
        <f>铂郡面积表!K15</f>
        <v>0</v>
      </c>
      <c r="Q78" s="21">
        <f t="shared" si="19"/>
        <v>1</v>
      </c>
      <c r="R78" s="21">
        <f t="shared" si="20"/>
        <v>0</v>
      </c>
      <c r="S78" s="307">
        <f t="shared" ref="S78:S122" si="22">ROUND(R78*B78/10000,0)</f>
        <v>0</v>
      </c>
    </row>
    <row r="79" spans="1:19">
      <c r="A79" s="629"/>
      <c r="B79" s="629"/>
      <c r="C79" s="21"/>
      <c r="D79" s="2566"/>
      <c r="E79" s="21">
        <f t="shared" si="13"/>
        <v>1</v>
      </c>
      <c r="F79" s="2566">
        <f>铂郡面积表!Q16</f>
        <v>0</v>
      </c>
      <c r="G79" s="21">
        <f t="shared" si="14"/>
        <v>0</v>
      </c>
      <c r="H79" s="631"/>
      <c r="I79" s="21">
        <f t="shared" si="15"/>
        <v>1</v>
      </c>
      <c r="J79" s="631"/>
      <c r="K79" s="21">
        <f t="shared" si="16"/>
        <v>1</v>
      </c>
      <c r="L79" s="631"/>
      <c r="M79" s="21">
        <f t="shared" si="17"/>
        <v>1</v>
      </c>
      <c r="N79" s="631"/>
      <c r="O79" s="21">
        <f t="shared" si="18"/>
        <v>1</v>
      </c>
      <c r="P79" s="2566">
        <f>铂郡面积表!K16</f>
        <v>0</v>
      </c>
      <c r="Q79" s="21">
        <f t="shared" si="19"/>
        <v>1</v>
      </c>
      <c r="R79" s="21">
        <f t="shared" si="20"/>
        <v>0</v>
      </c>
      <c r="S79" s="307">
        <f t="shared" si="22"/>
        <v>0</v>
      </c>
    </row>
    <row r="80" spans="1:19">
      <c r="A80" s="629"/>
      <c r="B80" s="629"/>
      <c r="C80" s="21"/>
      <c r="D80" s="2566"/>
      <c r="E80" s="21">
        <f t="shared" si="13"/>
        <v>1</v>
      </c>
      <c r="F80" s="2566">
        <f>铂郡面积表!Q17</f>
        <v>0</v>
      </c>
      <c r="G80" s="21">
        <f t="shared" si="14"/>
        <v>0</v>
      </c>
      <c r="H80" s="631"/>
      <c r="I80" s="21">
        <f t="shared" si="15"/>
        <v>1</v>
      </c>
      <c r="J80" s="631"/>
      <c r="K80" s="21">
        <f t="shared" si="16"/>
        <v>1</v>
      </c>
      <c r="L80" s="631"/>
      <c r="M80" s="21">
        <f t="shared" si="17"/>
        <v>1</v>
      </c>
      <c r="N80" s="631"/>
      <c r="O80" s="21">
        <f t="shared" si="18"/>
        <v>1</v>
      </c>
      <c r="P80" s="2566">
        <f>铂郡面积表!K17</f>
        <v>0</v>
      </c>
      <c r="Q80" s="21">
        <f t="shared" si="19"/>
        <v>1</v>
      </c>
      <c r="R80" s="21">
        <f t="shared" si="20"/>
        <v>0</v>
      </c>
      <c r="S80" s="307">
        <f t="shared" si="22"/>
        <v>0</v>
      </c>
    </row>
    <row r="81" spans="1:19">
      <c r="A81" s="629"/>
      <c r="B81" s="629"/>
      <c r="C81" s="21"/>
      <c r="D81" s="2566"/>
      <c r="E81" s="21">
        <f t="shared" si="13"/>
        <v>1</v>
      </c>
      <c r="F81" s="2566">
        <f>铂郡面积表!Q18</f>
        <v>0</v>
      </c>
      <c r="G81" s="21">
        <f t="shared" si="14"/>
        <v>0</v>
      </c>
      <c r="H81" s="631"/>
      <c r="I81" s="21">
        <f t="shared" si="15"/>
        <v>1</v>
      </c>
      <c r="J81" s="631"/>
      <c r="K81" s="21">
        <f t="shared" si="16"/>
        <v>1</v>
      </c>
      <c r="L81" s="631"/>
      <c r="M81" s="21">
        <f t="shared" si="17"/>
        <v>1</v>
      </c>
      <c r="N81" s="631"/>
      <c r="O81" s="21">
        <f t="shared" si="18"/>
        <v>1</v>
      </c>
      <c r="P81" s="2566">
        <f>铂郡面积表!K18</f>
        <v>0</v>
      </c>
      <c r="Q81" s="21">
        <f t="shared" si="19"/>
        <v>1</v>
      </c>
      <c r="R81" s="21">
        <f t="shared" si="20"/>
        <v>0</v>
      </c>
      <c r="S81" s="307">
        <f t="shared" si="22"/>
        <v>0</v>
      </c>
    </row>
    <row r="82" spans="1:19">
      <c r="A82" s="629"/>
      <c r="B82" s="629"/>
      <c r="C82" s="21"/>
      <c r="D82" s="2566"/>
      <c r="E82" s="21">
        <f t="shared" si="13"/>
        <v>1</v>
      </c>
      <c r="F82" s="2566">
        <f>铂郡面积表!Q19</f>
        <v>0</v>
      </c>
      <c r="G82" s="21">
        <f t="shared" si="14"/>
        <v>0</v>
      </c>
      <c r="H82" s="631"/>
      <c r="I82" s="21">
        <f t="shared" si="15"/>
        <v>1</v>
      </c>
      <c r="J82" s="631"/>
      <c r="K82" s="21">
        <f t="shared" si="16"/>
        <v>1</v>
      </c>
      <c r="L82" s="631"/>
      <c r="M82" s="21">
        <f t="shared" si="17"/>
        <v>1</v>
      </c>
      <c r="N82" s="631"/>
      <c r="O82" s="21">
        <f t="shared" si="18"/>
        <v>1</v>
      </c>
      <c r="P82" s="2566">
        <f>铂郡面积表!K19</f>
        <v>0</v>
      </c>
      <c r="Q82" s="21">
        <f t="shared" si="19"/>
        <v>1</v>
      </c>
      <c r="R82" s="21">
        <f t="shared" si="20"/>
        <v>0</v>
      </c>
      <c r="S82" s="307">
        <f t="shared" si="22"/>
        <v>0</v>
      </c>
    </row>
    <row r="83" spans="1:19">
      <c r="A83" s="629"/>
      <c r="B83" s="629"/>
      <c r="C83" s="21"/>
      <c r="D83" s="2566"/>
      <c r="E83" s="21">
        <f t="shared" si="13"/>
        <v>1</v>
      </c>
      <c r="F83" s="2566">
        <f>铂郡面积表!Q20</f>
        <v>0</v>
      </c>
      <c r="G83" s="21">
        <f t="shared" si="14"/>
        <v>0</v>
      </c>
      <c r="H83" s="631"/>
      <c r="I83" s="21">
        <f t="shared" si="15"/>
        <v>1</v>
      </c>
      <c r="J83" s="631"/>
      <c r="K83" s="21">
        <f t="shared" si="16"/>
        <v>1</v>
      </c>
      <c r="L83" s="631"/>
      <c r="M83" s="21">
        <f t="shared" si="17"/>
        <v>1</v>
      </c>
      <c r="N83" s="631"/>
      <c r="O83" s="21">
        <f t="shared" si="18"/>
        <v>1</v>
      </c>
      <c r="P83" s="2566" t="str">
        <f>铂郡面积表!K20</f>
        <v>400+</v>
      </c>
      <c r="Q83" s="21">
        <f t="shared" si="19"/>
        <v>1</v>
      </c>
      <c r="R83" s="21">
        <f t="shared" si="20"/>
        <v>0</v>
      </c>
      <c r="S83" s="307">
        <f t="shared" si="22"/>
        <v>0</v>
      </c>
    </row>
    <row r="84" spans="1:19">
      <c r="A84" s="629"/>
      <c r="B84" s="629"/>
      <c r="C84" s="21"/>
      <c r="D84" s="2566"/>
      <c r="E84" s="21">
        <f t="shared" si="13"/>
        <v>1</v>
      </c>
      <c r="F84" s="2566">
        <f>铂郡面积表!Q21</f>
        <v>0</v>
      </c>
      <c r="G84" s="21">
        <f t="shared" si="14"/>
        <v>0</v>
      </c>
      <c r="H84" s="631"/>
      <c r="I84" s="21">
        <f t="shared" si="15"/>
        <v>1</v>
      </c>
      <c r="J84" s="631"/>
      <c r="K84" s="21">
        <f t="shared" si="16"/>
        <v>1</v>
      </c>
      <c r="L84" s="631"/>
      <c r="M84" s="21">
        <f t="shared" si="17"/>
        <v>1</v>
      </c>
      <c r="N84" s="631"/>
      <c r="O84" s="21">
        <f t="shared" si="18"/>
        <v>1</v>
      </c>
      <c r="P84" s="2566"/>
      <c r="Q84" s="21">
        <f t="shared" si="19"/>
        <v>1</v>
      </c>
      <c r="R84" s="21">
        <f t="shared" si="20"/>
        <v>0</v>
      </c>
      <c r="S84" s="307">
        <f t="shared" si="22"/>
        <v>0</v>
      </c>
    </row>
    <row r="85" spans="1:19">
      <c r="A85" s="629"/>
      <c r="B85" s="629"/>
      <c r="C85" s="21"/>
      <c r="D85" s="2566"/>
      <c r="E85" s="21">
        <f t="shared" si="13"/>
        <v>1</v>
      </c>
      <c r="F85" s="2566">
        <f>铂郡面积表!Q22</f>
        <v>0</v>
      </c>
      <c r="G85" s="21">
        <f t="shared" si="14"/>
        <v>0</v>
      </c>
      <c r="H85" s="631"/>
      <c r="I85" s="21">
        <f t="shared" si="15"/>
        <v>1</v>
      </c>
      <c r="J85" s="631"/>
      <c r="K85" s="21">
        <f t="shared" si="16"/>
        <v>1</v>
      </c>
      <c r="L85" s="631"/>
      <c r="M85" s="21">
        <f t="shared" si="17"/>
        <v>1</v>
      </c>
      <c r="N85" s="631"/>
      <c r="O85" s="21">
        <f t="shared" si="18"/>
        <v>1</v>
      </c>
      <c r="P85" s="2566"/>
      <c r="Q85" s="21">
        <f t="shared" si="19"/>
        <v>1</v>
      </c>
      <c r="R85" s="21">
        <f t="shared" si="20"/>
        <v>0</v>
      </c>
      <c r="S85" s="307">
        <f t="shared" si="22"/>
        <v>0</v>
      </c>
    </row>
    <row r="86" spans="1:19">
      <c r="A86" s="629"/>
      <c r="B86" s="629"/>
      <c r="C86" s="21"/>
      <c r="D86" s="2566"/>
      <c r="E86" s="21">
        <f t="shared" si="13"/>
        <v>1</v>
      </c>
      <c r="F86" s="2566">
        <f>铂郡面积表!Q23</f>
        <v>0</v>
      </c>
      <c r="G86" s="21">
        <f t="shared" si="14"/>
        <v>0</v>
      </c>
      <c r="H86" s="631"/>
      <c r="I86" s="21">
        <f t="shared" si="15"/>
        <v>1</v>
      </c>
      <c r="J86" s="631"/>
      <c r="K86" s="21">
        <f t="shared" si="16"/>
        <v>1</v>
      </c>
      <c r="L86" s="631"/>
      <c r="M86" s="21">
        <f t="shared" si="17"/>
        <v>1</v>
      </c>
      <c r="N86" s="631"/>
      <c r="O86" s="21">
        <f t="shared" si="18"/>
        <v>1</v>
      </c>
      <c r="P86" s="2566"/>
      <c r="Q86" s="21">
        <f t="shared" si="19"/>
        <v>1</v>
      </c>
      <c r="R86" s="21">
        <f t="shared" si="20"/>
        <v>0</v>
      </c>
      <c r="S86" s="307">
        <f t="shared" si="22"/>
        <v>0</v>
      </c>
    </row>
    <row r="87" spans="1:19">
      <c r="A87" s="629"/>
      <c r="B87" s="629"/>
      <c r="C87" s="21"/>
      <c r="D87" s="2566"/>
      <c r="E87" s="21">
        <f t="shared" si="13"/>
        <v>1</v>
      </c>
      <c r="F87" s="2566">
        <f>铂郡面积表!Q24</f>
        <v>0</v>
      </c>
      <c r="G87" s="21">
        <f t="shared" si="14"/>
        <v>0</v>
      </c>
      <c r="H87" s="631"/>
      <c r="I87" s="21">
        <f t="shared" si="15"/>
        <v>1</v>
      </c>
      <c r="J87" s="631"/>
      <c r="K87" s="21">
        <f t="shared" si="16"/>
        <v>1</v>
      </c>
      <c r="L87" s="631"/>
      <c r="M87" s="21">
        <f t="shared" si="17"/>
        <v>1</v>
      </c>
      <c r="N87" s="631"/>
      <c r="O87" s="21">
        <f t="shared" si="18"/>
        <v>1</v>
      </c>
      <c r="P87" s="2566"/>
      <c r="Q87" s="21">
        <f t="shared" si="19"/>
        <v>1</v>
      </c>
      <c r="R87" s="21">
        <f t="shared" si="20"/>
        <v>0</v>
      </c>
      <c r="S87" s="307">
        <f t="shared" si="22"/>
        <v>0</v>
      </c>
    </row>
    <row r="88" spans="1:19">
      <c r="A88" s="629"/>
      <c r="B88" s="629"/>
      <c r="C88" s="21"/>
      <c r="D88" s="2566"/>
      <c r="E88" s="21">
        <f t="shared" si="13"/>
        <v>1</v>
      </c>
      <c r="F88" s="2566">
        <f>铂郡面积表!Q25</f>
        <v>0</v>
      </c>
      <c r="G88" s="21">
        <f t="shared" si="14"/>
        <v>0</v>
      </c>
      <c r="H88" s="631"/>
      <c r="I88" s="21">
        <f t="shared" si="15"/>
        <v>1</v>
      </c>
      <c r="J88" s="631"/>
      <c r="K88" s="21">
        <f t="shared" si="16"/>
        <v>1</v>
      </c>
      <c r="L88" s="631"/>
      <c r="M88" s="21">
        <f t="shared" si="17"/>
        <v>1</v>
      </c>
      <c r="N88" s="631"/>
      <c r="O88" s="21">
        <f t="shared" si="18"/>
        <v>1</v>
      </c>
      <c r="P88" s="2566"/>
      <c r="Q88" s="21">
        <f t="shared" si="19"/>
        <v>1</v>
      </c>
      <c r="R88" s="21">
        <f t="shared" si="20"/>
        <v>0</v>
      </c>
      <c r="S88" s="307">
        <f t="shared" si="22"/>
        <v>0</v>
      </c>
    </row>
    <row r="89" spans="1:19">
      <c r="A89" s="629"/>
      <c r="B89" s="629"/>
      <c r="C89" s="21"/>
      <c r="D89" s="2566"/>
      <c r="E89" s="21">
        <f t="shared" si="13"/>
        <v>1</v>
      </c>
      <c r="F89" s="2566">
        <f>铂郡面积表!Q26</f>
        <v>0</v>
      </c>
      <c r="G89" s="21">
        <f t="shared" si="14"/>
        <v>0</v>
      </c>
      <c r="H89" s="631"/>
      <c r="I89" s="21">
        <f t="shared" si="15"/>
        <v>1</v>
      </c>
      <c r="J89" s="631"/>
      <c r="K89" s="21">
        <f t="shared" si="16"/>
        <v>1</v>
      </c>
      <c r="L89" s="631"/>
      <c r="M89" s="21">
        <f t="shared" si="17"/>
        <v>1</v>
      </c>
      <c r="N89" s="631"/>
      <c r="O89" s="21">
        <f t="shared" si="18"/>
        <v>1</v>
      </c>
      <c r="P89" s="2566">
        <f>铂郡面积表!K26</f>
        <v>0</v>
      </c>
      <c r="Q89" s="21">
        <f t="shared" si="19"/>
        <v>1</v>
      </c>
      <c r="R89" s="21">
        <f t="shared" si="20"/>
        <v>0</v>
      </c>
      <c r="S89" s="307">
        <f t="shared" si="22"/>
        <v>0</v>
      </c>
    </row>
    <row r="90" spans="1:19">
      <c r="A90" s="629"/>
      <c r="B90" s="629"/>
      <c r="C90" s="21"/>
      <c r="D90" s="2566"/>
      <c r="E90" s="21">
        <f t="shared" ref="E90:E153" si="23">(SUMIF($5:$5,D90,$6:$6)-SUMIF($5:$5,$D$24,$6:$6)+100)/100</f>
        <v>1</v>
      </c>
      <c r="F90" s="2566">
        <f>铂郡面积表!Q27</f>
        <v>0</v>
      </c>
      <c r="G90" s="21">
        <f t="shared" ref="G90:G153" si="24">(SUMIF($7:$7,F90,$8:$8)-SUMIF($7:$7,$F$24,$8:$8)+100)/100</f>
        <v>0</v>
      </c>
      <c r="H90" s="631"/>
      <c r="I90" s="21">
        <f t="shared" ref="I90:I153" si="25">(SUMIF($9:$9,H90,$10:$10)-SUMIF($9:$9,$H$24,$10:$10)+100)/100</f>
        <v>1</v>
      </c>
      <c r="J90" s="631"/>
      <c r="K90" s="21">
        <f t="shared" ref="K90:K153" si="26">(SUMIF($11:$11,J90,$12:$12)-SUMIF($11:$11,$J$24,$12:$12)+100)/100</f>
        <v>1</v>
      </c>
      <c r="L90" s="631"/>
      <c r="M90" s="21">
        <f t="shared" ref="M90:M153" si="27">(SUMIF($13:$13,L90,$14:$14)-SUMIF($13:$13,$L$24,$14:$14)+100)/100</f>
        <v>1</v>
      </c>
      <c r="N90" s="631"/>
      <c r="O90" s="21">
        <f t="shared" ref="O90:O153" si="28">(SUMIF($15:$15,N90,$16:$16)-SUMIF($15:$15,$N$24,$16:$16)+100)/100</f>
        <v>1</v>
      </c>
      <c r="P90" s="2566">
        <f>铂郡面积表!K27</f>
        <v>0</v>
      </c>
      <c r="Q90" s="21">
        <f t="shared" ref="Q90:Q153" si="29">(SUMIF($17:$17,P90,$18:$18)-SUMIF($17:$17,$P$24,$18:$18)+100)/100</f>
        <v>1</v>
      </c>
      <c r="R90" s="21">
        <f t="shared" ref="R90:R153" si="30">IF(B90="",0,ROUND($R$24*C90*E90*G90*I90*K90*M90*O90*Q90,1))</f>
        <v>0</v>
      </c>
      <c r="S90" s="307">
        <f t="shared" si="22"/>
        <v>0</v>
      </c>
    </row>
    <row r="91" spans="1:19">
      <c r="A91" s="629"/>
      <c r="B91" s="629"/>
      <c r="C91" s="21"/>
      <c r="D91" s="2566"/>
      <c r="E91" s="21">
        <f t="shared" si="23"/>
        <v>1</v>
      </c>
      <c r="F91" s="2566">
        <f>铂郡面积表!Q28</f>
        <v>0</v>
      </c>
      <c r="G91" s="21">
        <f t="shared" si="24"/>
        <v>0</v>
      </c>
      <c r="H91" s="631"/>
      <c r="I91" s="21">
        <f t="shared" si="25"/>
        <v>1</v>
      </c>
      <c r="J91" s="631"/>
      <c r="K91" s="21">
        <f t="shared" si="26"/>
        <v>1</v>
      </c>
      <c r="L91" s="631"/>
      <c r="M91" s="21">
        <f t="shared" si="27"/>
        <v>1</v>
      </c>
      <c r="N91" s="631"/>
      <c r="O91" s="21">
        <f t="shared" si="28"/>
        <v>1</v>
      </c>
      <c r="P91" s="2566">
        <f>铂郡面积表!K28</f>
        <v>0</v>
      </c>
      <c r="Q91" s="21">
        <f t="shared" si="29"/>
        <v>1</v>
      </c>
      <c r="R91" s="21">
        <f t="shared" si="30"/>
        <v>0</v>
      </c>
      <c r="S91" s="307">
        <f t="shared" si="22"/>
        <v>0</v>
      </c>
    </row>
    <row r="92" spans="1:19">
      <c r="A92" s="629"/>
      <c r="B92" s="629"/>
      <c r="C92" s="21"/>
      <c r="D92" s="2566"/>
      <c r="E92" s="21">
        <f t="shared" si="23"/>
        <v>1</v>
      </c>
      <c r="F92" s="2566">
        <f>铂郡面积表!Q29</f>
        <v>0</v>
      </c>
      <c r="G92" s="21">
        <f t="shared" si="24"/>
        <v>0</v>
      </c>
      <c r="H92" s="631"/>
      <c r="I92" s="21">
        <f t="shared" si="25"/>
        <v>1</v>
      </c>
      <c r="J92" s="631"/>
      <c r="K92" s="21">
        <f t="shared" si="26"/>
        <v>1</v>
      </c>
      <c r="L92" s="631"/>
      <c r="M92" s="21">
        <f t="shared" si="27"/>
        <v>1</v>
      </c>
      <c r="N92" s="631"/>
      <c r="O92" s="21">
        <f t="shared" si="28"/>
        <v>1</v>
      </c>
      <c r="P92" s="2566">
        <f>铂郡面积表!K29</f>
        <v>0</v>
      </c>
      <c r="Q92" s="21">
        <f t="shared" si="29"/>
        <v>1</v>
      </c>
      <c r="R92" s="21">
        <f t="shared" si="30"/>
        <v>0</v>
      </c>
      <c r="S92" s="307">
        <f t="shared" si="22"/>
        <v>0</v>
      </c>
    </row>
    <row r="93" spans="1:19">
      <c r="A93" s="629"/>
      <c r="B93" s="629"/>
      <c r="C93" s="21"/>
      <c r="D93" s="2566"/>
      <c r="E93" s="21">
        <f t="shared" si="23"/>
        <v>1</v>
      </c>
      <c r="F93" s="2566">
        <f>铂郡面积表!Q30</f>
        <v>0</v>
      </c>
      <c r="G93" s="21">
        <f t="shared" si="24"/>
        <v>0</v>
      </c>
      <c r="H93" s="631"/>
      <c r="I93" s="21">
        <f t="shared" si="25"/>
        <v>1</v>
      </c>
      <c r="J93" s="631"/>
      <c r="K93" s="21">
        <f t="shared" si="26"/>
        <v>1</v>
      </c>
      <c r="L93" s="631"/>
      <c r="M93" s="21">
        <f t="shared" si="27"/>
        <v>1</v>
      </c>
      <c r="N93" s="631"/>
      <c r="O93" s="21">
        <f t="shared" si="28"/>
        <v>1</v>
      </c>
      <c r="P93" s="2566">
        <f>铂郡面积表!K30</f>
        <v>0</v>
      </c>
      <c r="Q93" s="21">
        <f t="shared" si="29"/>
        <v>1</v>
      </c>
      <c r="R93" s="21">
        <f t="shared" si="30"/>
        <v>0</v>
      </c>
      <c r="S93" s="307">
        <f t="shared" si="22"/>
        <v>0</v>
      </c>
    </row>
    <row r="94" spans="1:19">
      <c r="A94" s="629"/>
      <c r="B94" s="629"/>
      <c r="C94" s="21"/>
      <c r="D94" s="2566"/>
      <c r="E94" s="21">
        <f t="shared" si="23"/>
        <v>1</v>
      </c>
      <c r="F94" s="2566">
        <f>铂郡面积表!Q31</f>
        <v>0</v>
      </c>
      <c r="G94" s="21">
        <f t="shared" si="24"/>
        <v>0</v>
      </c>
      <c r="H94" s="631"/>
      <c r="I94" s="21">
        <f t="shared" si="25"/>
        <v>1</v>
      </c>
      <c r="J94" s="631"/>
      <c r="K94" s="21">
        <f t="shared" si="26"/>
        <v>1</v>
      </c>
      <c r="L94" s="631"/>
      <c r="M94" s="21">
        <f t="shared" si="27"/>
        <v>1</v>
      </c>
      <c r="N94" s="631"/>
      <c r="O94" s="21">
        <f t="shared" si="28"/>
        <v>1</v>
      </c>
      <c r="P94" s="2566">
        <f>铂郡面积表!K31</f>
        <v>0</v>
      </c>
      <c r="Q94" s="21">
        <f t="shared" si="29"/>
        <v>1</v>
      </c>
      <c r="R94" s="21">
        <f t="shared" si="30"/>
        <v>0</v>
      </c>
      <c r="S94" s="307">
        <f t="shared" si="22"/>
        <v>0</v>
      </c>
    </row>
    <row r="95" spans="1:19">
      <c r="A95" s="629"/>
      <c r="B95" s="629"/>
      <c r="C95" s="21"/>
      <c r="D95" s="2566"/>
      <c r="E95" s="21">
        <f t="shared" si="23"/>
        <v>1</v>
      </c>
      <c r="F95" s="2566">
        <f>铂郡面积表!Q32</f>
        <v>0</v>
      </c>
      <c r="G95" s="21">
        <f t="shared" si="24"/>
        <v>0</v>
      </c>
      <c r="H95" s="631"/>
      <c r="I95" s="21">
        <f t="shared" si="25"/>
        <v>1</v>
      </c>
      <c r="J95" s="631"/>
      <c r="K95" s="21">
        <f t="shared" si="26"/>
        <v>1</v>
      </c>
      <c r="L95" s="631"/>
      <c r="M95" s="21">
        <f t="shared" si="27"/>
        <v>1</v>
      </c>
      <c r="N95" s="631"/>
      <c r="O95" s="21">
        <f t="shared" si="28"/>
        <v>1</v>
      </c>
      <c r="P95" s="2566">
        <f>铂郡面积表!K32</f>
        <v>0</v>
      </c>
      <c r="Q95" s="21">
        <f t="shared" si="29"/>
        <v>1</v>
      </c>
      <c r="R95" s="21">
        <f t="shared" si="30"/>
        <v>0</v>
      </c>
      <c r="S95" s="307">
        <f t="shared" si="22"/>
        <v>0</v>
      </c>
    </row>
    <row r="96" spans="1:19">
      <c r="A96" s="629"/>
      <c r="B96" s="629"/>
      <c r="C96" s="21"/>
      <c r="D96" s="2566"/>
      <c r="E96" s="21">
        <f t="shared" si="23"/>
        <v>1</v>
      </c>
      <c r="F96" s="2566">
        <f>铂郡面积表!Q33</f>
        <v>0</v>
      </c>
      <c r="G96" s="21">
        <f t="shared" si="24"/>
        <v>0</v>
      </c>
      <c r="H96" s="631"/>
      <c r="I96" s="21">
        <f t="shared" si="25"/>
        <v>1</v>
      </c>
      <c r="J96" s="631"/>
      <c r="K96" s="21">
        <f t="shared" si="26"/>
        <v>1</v>
      </c>
      <c r="L96" s="631"/>
      <c r="M96" s="21">
        <f t="shared" si="27"/>
        <v>1</v>
      </c>
      <c r="N96" s="631"/>
      <c r="O96" s="21">
        <f t="shared" si="28"/>
        <v>1</v>
      </c>
      <c r="P96" s="2566">
        <f>铂郡面积表!K33</f>
        <v>0</v>
      </c>
      <c r="Q96" s="21">
        <f t="shared" si="29"/>
        <v>1</v>
      </c>
      <c r="R96" s="21">
        <f t="shared" si="30"/>
        <v>0</v>
      </c>
      <c r="S96" s="307">
        <f t="shared" si="22"/>
        <v>0</v>
      </c>
    </row>
    <row r="97" spans="1:19">
      <c r="A97" s="629"/>
      <c r="B97" s="629"/>
      <c r="C97" s="21"/>
      <c r="D97" s="2566"/>
      <c r="E97" s="21">
        <f t="shared" si="23"/>
        <v>1</v>
      </c>
      <c r="F97" s="2566">
        <f>铂郡面积表!Q34</f>
        <v>0</v>
      </c>
      <c r="G97" s="21">
        <f t="shared" si="24"/>
        <v>0</v>
      </c>
      <c r="H97" s="631"/>
      <c r="I97" s="21">
        <f t="shared" si="25"/>
        <v>1</v>
      </c>
      <c r="J97" s="631"/>
      <c r="K97" s="21">
        <f t="shared" si="26"/>
        <v>1</v>
      </c>
      <c r="L97" s="631"/>
      <c r="M97" s="21">
        <f t="shared" si="27"/>
        <v>1</v>
      </c>
      <c r="N97" s="631"/>
      <c r="O97" s="21">
        <f t="shared" si="28"/>
        <v>1</v>
      </c>
      <c r="P97" s="2566">
        <f>铂郡面积表!K34</f>
        <v>0</v>
      </c>
      <c r="Q97" s="21">
        <f t="shared" si="29"/>
        <v>1</v>
      </c>
      <c r="R97" s="21">
        <f t="shared" si="30"/>
        <v>0</v>
      </c>
      <c r="S97" s="307">
        <f t="shared" si="22"/>
        <v>0</v>
      </c>
    </row>
    <row r="98" spans="1:19">
      <c r="A98" s="629"/>
      <c r="B98" s="629"/>
      <c r="C98" s="21"/>
      <c r="D98" s="2566"/>
      <c r="E98" s="21">
        <f t="shared" si="23"/>
        <v>1</v>
      </c>
      <c r="F98" s="2566">
        <f>铂郡面积表!Q35</f>
        <v>0</v>
      </c>
      <c r="G98" s="21">
        <f t="shared" si="24"/>
        <v>0</v>
      </c>
      <c r="H98" s="631"/>
      <c r="I98" s="21">
        <f t="shared" si="25"/>
        <v>1</v>
      </c>
      <c r="J98" s="631"/>
      <c r="K98" s="21">
        <f t="shared" si="26"/>
        <v>1</v>
      </c>
      <c r="L98" s="631"/>
      <c r="M98" s="21">
        <f t="shared" si="27"/>
        <v>1</v>
      </c>
      <c r="N98" s="631"/>
      <c r="O98" s="21">
        <f t="shared" si="28"/>
        <v>1</v>
      </c>
      <c r="P98" s="2566">
        <f>铂郡面积表!K35</f>
        <v>0</v>
      </c>
      <c r="Q98" s="21">
        <f t="shared" si="29"/>
        <v>1</v>
      </c>
      <c r="R98" s="21">
        <f t="shared" si="30"/>
        <v>0</v>
      </c>
      <c r="S98" s="307">
        <f t="shared" si="22"/>
        <v>0</v>
      </c>
    </row>
    <row r="99" spans="1:19">
      <c r="A99" s="629"/>
      <c r="B99" s="629"/>
      <c r="C99" s="21"/>
      <c r="D99" s="2566"/>
      <c r="E99" s="21">
        <f t="shared" si="23"/>
        <v>1</v>
      </c>
      <c r="F99" s="2566">
        <f>铂郡面积表!Q36</f>
        <v>0</v>
      </c>
      <c r="G99" s="21">
        <f t="shared" si="24"/>
        <v>0</v>
      </c>
      <c r="H99" s="631"/>
      <c r="I99" s="21">
        <f t="shared" si="25"/>
        <v>1</v>
      </c>
      <c r="J99" s="631"/>
      <c r="K99" s="21">
        <f t="shared" si="26"/>
        <v>1</v>
      </c>
      <c r="L99" s="631"/>
      <c r="M99" s="21">
        <f t="shared" si="27"/>
        <v>1</v>
      </c>
      <c r="N99" s="631"/>
      <c r="O99" s="21">
        <f t="shared" si="28"/>
        <v>1</v>
      </c>
      <c r="P99" s="2566">
        <f>铂郡面积表!K36</f>
        <v>0</v>
      </c>
      <c r="Q99" s="21">
        <f t="shared" si="29"/>
        <v>1</v>
      </c>
      <c r="R99" s="21">
        <f t="shared" si="30"/>
        <v>0</v>
      </c>
      <c r="S99" s="307">
        <f t="shared" si="22"/>
        <v>0</v>
      </c>
    </row>
    <row r="100" spans="1:19">
      <c r="A100" s="629"/>
      <c r="B100" s="629"/>
      <c r="C100" s="21"/>
      <c r="D100" s="2566"/>
      <c r="E100" s="21">
        <f t="shared" si="23"/>
        <v>1</v>
      </c>
      <c r="F100" s="2566">
        <f>铂郡面积表!Q37</f>
        <v>0</v>
      </c>
      <c r="G100" s="21">
        <f t="shared" si="24"/>
        <v>0</v>
      </c>
      <c r="H100" s="631"/>
      <c r="I100" s="21">
        <f t="shared" si="25"/>
        <v>1</v>
      </c>
      <c r="J100" s="631"/>
      <c r="K100" s="21">
        <f t="shared" si="26"/>
        <v>1</v>
      </c>
      <c r="L100" s="631"/>
      <c r="M100" s="21">
        <f t="shared" si="27"/>
        <v>1</v>
      </c>
      <c r="N100" s="631"/>
      <c r="O100" s="21">
        <f t="shared" si="28"/>
        <v>1</v>
      </c>
      <c r="P100" s="2566">
        <f>铂郡面积表!K37</f>
        <v>0</v>
      </c>
      <c r="Q100" s="21">
        <f t="shared" si="29"/>
        <v>1</v>
      </c>
      <c r="R100" s="21">
        <f t="shared" si="30"/>
        <v>0</v>
      </c>
      <c r="S100" s="307">
        <f t="shared" si="22"/>
        <v>0</v>
      </c>
    </row>
    <row r="101" spans="1:19">
      <c r="A101" s="629"/>
      <c r="B101" s="629"/>
      <c r="C101" s="21"/>
      <c r="D101" s="2566"/>
      <c r="E101" s="21">
        <f t="shared" si="23"/>
        <v>1</v>
      </c>
      <c r="F101" s="2566">
        <f>铂郡面积表!Q38</f>
        <v>0</v>
      </c>
      <c r="G101" s="21">
        <f t="shared" si="24"/>
        <v>0</v>
      </c>
      <c r="H101" s="631"/>
      <c r="I101" s="21">
        <f t="shared" si="25"/>
        <v>1</v>
      </c>
      <c r="J101" s="631"/>
      <c r="K101" s="21">
        <f t="shared" si="26"/>
        <v>1</v>
      </c>
      <c r="L101" s="631"/>
      <c r="M101" s="21">
        <f t="shared" si="27"/>
        <v>1</v>
      </c>
      <c r="N101" s="631"/>
      <c r="O101" s="21">
        <f t="shared" si="28"/>
        <v>1</v>
      </c>
      <c r="P101" s="2566">
        <f>铂郡面积表!K38</f>
        <v>0</v>
      </c>
      <c r="Q101" s="21">
        <f t="shared" si="29"/>
        <v>1</v>
      </c>
      <c r="R101" s="21">
        <f t="shared" si="30"/>
        <v>0</v>
      </c>
      <c r="S101" s="307">
        <f t="shared" si="22"/>
        <v>0</v>
      </c>
    </row>
    <row r="102" spans="1:19">
      <c r="A102" s="629"/>
      <c r="B102" s="629"/>
      <c r="C102" s="21"/>
      <c r="D102" s="2566"/>
      <c r="E102" s="21">
        <f t="shared" si="23"/>
        <v>1</v>
      </c>
      <c r="F102" s="2566">
        <f>铂郡面积表!Q39</f>
        <v>0</v>
      </c>
      <c r="G102" s="21">
        <f t="shared" si="24"/>
        <v>0</v>
      </c>
      <c r="H102" s="631"/>
      <c r="I102" s="21">
        <f t="shared" si="25"/>
        <v>1</v>
      </c>
      <c r="J102" s="631"/>
      <c r="K102" s="21">
        <f t="shared" si="26"/>
        <v>1</v>
      </c>
      <c r="L102" s="631"/>
      <c r="M102" s="21">
        <f t="shared" si="27"/>
        <v>1</v>
      </c>
      <c r="N102" s="631"/>
      <c r="O102" s="21">
        <f t="shared" si="28"/>
        <v>1</v>
      </c>
      <c r="P102" s="2566">
        <f>铂郡面积表!K39</f>
        <v>0</v>
      </c>
      <c r="Q102" s="21">
        <f t="shared" si="29"/>
        <v>1</v>
      </c>
      <c r="R102" s="21">
        <f t="shared" si="30"/>
        <v>0</v>
      </c>
      <c r="S102" s="307">
        <f t="shared" si="22"/>
        <v>0</v>
      </c>
    </row>
    <row r="103" spans="1:19">
      <c r="A103" s="629"/>
      <c r="B103" s="629"/>
      <c r="C103" s="21"/>
      <c r="D103" s="2566"/>
      <c r="E103" s="21">
        <f t="shared" si="23"/>
        <v>1</v>
      </c>
      <c r="F103" s="2566">
        <f>铂郡面积表!Q40</f>
        <v>0</v>
      </c>
      <c r="G103" s="21">
        <f t="shared" si="24"/>
        <v>0</v>
      </c>
      <c r="H103" s="631"/>
      <c r="I103" s="21">
        <f t="shared" si="25"/>
        <v>1</v>
      </c>
      <c r="J103" s="631"/>
      <c r="K103" s="21">
        <f t="shared" si="26"/>
        <v>1</v>
      </c>
      <c r="L103" s="631"/>
      <c r="M103" s="21">
        <f t="shared" si="27"/>
        <v>1</v>
      </c>
      <c r="N103" s="631"/>
      <c r="O103" s="21">
        <f t="shared" si="28"/>
        <v>1</v>
      </c>
      <c r="P103" s="2566">
        <f>铂郡面积表!K40</f>
        <v>0</v>
      </c>
      <c r="Q103" s="21">
        <f t="shared" si="29"/>
        <v>1</v>
      </c>
      <c r="R103" s="21">
        <f t="shared" si="30"/>
        <v>0</v>
      </c>
      <c r="S103" s="307">
        <f t="shared" si="22"/>
        <v>0</v>
      </c>
    </row>
    <row r="104" spans="1:19">
      <c r="A104" s="629"/>
      <c r="B104" s="629"/>
      <c r="C104" s="21"/>
      <c r="D104" s="2566"/>
      <c r="E104" s="21">
        <f t="shared" si="23"/>
        <v>1</v>
      </c>
      <c r="F104" s="2566">
        <f>铂郡面积表!Q41</f>
        <v>0</v>
      </c>
      <c r="G104" s="21">
        <f t="shared" si="24"/>
        <v>0</v>
      </c>
      <c r="H104" s="631"/>
      <c r="I104" s="21">
        <f t="shared" si="25"/>
        <v>1</v>
      </c>
      <c r="J104" s="631"/>
      <c r="K104" s="21">
        <f t="shared" si="26"/>
        <v>1</v>
      </c>
      <c r="L104" s="631"/>
      <c r="M104" s="21">
        <f t="shared" si="27"/>
        <v>1</v>
      </c>
      <c r="N104" s="631"/>
      <c r="O104" s="21">
        <f t="shared" si="28"/>
        <v>1</v>
      </c>
      <c r="P104" s="2566">
        <f>铂郡面积表!K41</f>
        <v>0</v>
      </c>
      <c r="Q104" s="21">
        <f t="shared" si="29"/>
        <v>1</v>
      </c>
      <c r="R104" s="21">
        <f t="shared" si="30"/>
        <v>0</v>
      </c>
      <c r="S104" s="307">
        <f t="shared" si="22"/>
        <v>0</v>
      </c>
    </row>
    <row r="105" spans="1:19">
      <c r="A105" s="629"/>
      <c r="B105" s="629"/>
      <c r="C105" s="21"/>
      <c r="D105" s="2566"/>
      <c r="E105" s="21">
        <f t="shared" si="23"/>
        <v>1</v>
      </c>
      <c r="F105" s="2566">
        <f>铂郡面积表!Q42</f>
        <v>0</v>
      </c>
      <c r="G105" s="21">
        <f t="shared" si="24"/>
        <v>0</v>
      </c>
      <c r="H105" s="631"/>
      <c r="I105" s="21">
        <f t="shared" si="25"/>
        <v>1</v>
      </c>
      <c r="J105" s="631"/>
      <c r="K105" s="21">
        <f t="shared" si="26"/>
        <v>1</v>
      </c>
      <c r="L105" s="631"/>
      <c r="M105" s="21">
        <f t="shared" si="27"/>
        <v>1</v>
      </c>
      <c r="N105" s="631"/>
      <c r="O105" s="21">
        <f t="shared" si="28"/>
        <v>1</v>
      </c>
      <c r="P105" s="2566">
        <f>铂郡面积表!K42</f>
        <v>0</v>
      </c>
      <c r="Q105" s="21">
        <f t="shared" si="29"/>
        <v>1</v>
      </c>
      <c r="R105" s="21">
        <f t="shared" si="30"/>
        <v>0</v>
      </c>
      <c r="S105" s="307">
        <f t="shared" si="22"/>
        <v>0</v>
      </c>
    </row>
    <row r="106" spans="1:19">
      <c r="A106" s="629"/>
      <c r="B106" s="629"/>
      <c r="C106" s="21"/>
      <c r="D106" s="2566"/>
      <c r="E106" s="21">
        <f t="shared" si="23"/>
        <v>1</v>
      </c>
      <c r="F106" s="2566">
        <f>铂郡面积表!Q43</f>
        <v>0</v>
      </c>
      <c r="G106" s="21">
        <f t="shared" si="24"/>
        <v>0</v>
      </c>
      <c r="H106" s="631"/>
      <c r="I106" s="21">
        <f t="shared" si="25"/>
        <v>1</v>
      </c>
      <c r="J106" s="631"/>
      <c r="K106" s="21">
        <f t="shared" si="26"/>
        <v>1</v>
      </c>
      <c r="L106" s="631"/>
      <c r="M106" s="21">
        <f t="shared" si="27"/>
        <v>1</v>
      </c>
      <c r="N106" s="631"/>
      <c r="O106" s="21">
        <f t="shared" si="28"/>
        <v>1</v>
      </c>
      <c r="P106" s="2566">
        <f>铂郡面积表!K43</f>
        <v>0</v>
      </c>
      <c r="Q106" s="21">
        <f t="shared" si="29"/>
        <v>1</v>
      </c>
      <c r="R106" s="21">
        <f t="shared" si="30"/>
        <v>0</v>
      </c>
      <c r="S106" s="307">
        <f t="shared" si="22"/>
        <v>0</v>
      </c>
    </row>
    <row r="107" spans="1:19">
      <c r="A107" s="629"/>
      <c r="B107" s="629"/>
      <c r="C107" s="21"/>
      <c r="D107" s="2566"/>
      <c r="E107" s="21">
        <f t="shared" si="23"/>
        <v>1</v>
      </c>
      <c r="F107" s="2566">
        <f>铂郡面积表!Q44</f>
        <v>0</v>
      </c>
      <c r="G107" s="21">
        <f t="shared" si="24"/>
        <v>0</v>
      </c>
      <c r="H107" s="631"/>
      <c r="I107" s="21">
        <f t="shared" si="25"/>
        <v>1</v>
      </c>
      <c r="J107" s="631"/>
      <c r="K107" s="21">
        <f t="shared" si="26"/>
        <v>1</v>
      </c>
      <c r="L107" s="631"/>
      <c r="M107" s="21">
        <f t="shared" si="27"/>
        <v>1</v>
      </c>
      <c r="N107" s="631"/>
      <c r="O107" s="21">
        <f t="shared" si="28"/>
        <v>1</v>
      </c>
      <c r="P107" s="2566">
        <f>铂郡面积表!K44</f>
        <v>0</v>
      </c>
      <c r="Q107" s="21">
        <f t="shared" si="29"/>
        <v>1</v>
      </c>
      <c r="R107" s="21">
        <f t="shared" si="30"/>
        <v>0</v>
      </c>
      <c r="S107" s="307">
        <f t="shared" si="22"/>
        <v>0</v>
      </c>
    </row>
    <row r="108" spans="1:19">
      <c r="A108" s="629"/>
      <c r="B108" s="629"/>
      <c r="C108" s="21"/>
      <c r="D108" s="2566"/>
      <c r="E108" s="21">
        <f t="shared" si="23"/>
        <v>1</v>
      </c>
      <c r="F108" s="2566">
        <f>铂郡面积表!Q45</f>
        <v>0</v>
      </c>
      <c r="G108" s="21">
        <f t="shared" si="24"/>
        <v>0</v>
      </c>
      <c r="H108" s="631"/>
      <c r="I108" s="21">
        <f t="shared" si="25"/>
        <v>1</v>
      </c>
      <c r="J108" s="631"/>
      <c r="K108" s="21">
        <f t="shared" si="26"/>
        <v>1</v>
      </c>
      <c r="L108" s="631"/>
      <c r="M108" s="21">
        <f t="shared" si="27"/>
        <v>1</v>
      </c>
      <c r="N108" s="631"/>
      <c r="O108" s="21">
        <f t="shared" si="28"/>
        <v>1</v>
      </c>
      <c r="P108" s="2566">
        <f>铂郡面积表!K45</f>
        <v>0</v>
      </c>
      <c r="Q108" s="21">
        <f t="shared" si="29"/>
        <v>1</v>
      </c>
      <c r="R108" s="21">
        <f t="shared" si="30"/>
        <v>0</v>
      </c>
      <c r="S108" s="307">
        <f t="shared" si="22"/>
        <v>0</v>
      </c>
    </row>
    <row r="109" spans="1:19">
      <c r="A109" s="629"/>
      <c r="B109" s="629"/>
      <c r="C109" s="21"/>
      <c r="D109" s="2566"/>
      <c r="E109" s="21">
        <f t="shared" si="23"/>
        <v>1</v>
      </c>
      <c r="F109" s="2566">
        <f>铂郡面积表!Q46</f>
        <v>0</v>
      </c>
      <c r="G109" s="21">
        <f t="shared" si="24"/>
        <v>0</v>
      </c>
      <c r="H109" s="631"/>
      <c r="I109" s="21">
        <f t="shared" si="25"/>
        <v>1</v>
      </c>
      <c r="J109" s="631"/>
      <c r="K109" s="21">
        <f t="shared" si="26"/>
        <v>1</v>
      </c>
      <c r="L109" s="631"/>
      <c r="M109" s="21">
        <f t="shared" si="27"/>
        <v>1</v>
      </c>
      <c r="N109" s="631"/>
      <c r="O109" s="21">
        <f t="shared" si="28"/>
        <v>1</v>
      </c>
      <c r="P109" s="2566">
        <f>铂郡面积表!K46</f>
        <v>0</v>
      </c>
      <c r="Q109" s="21">
        <f t="shared" si="29"/>
        <v>1</v>
      </c>
      <c r="R109" s="21">
        <f t="shared" si="30"/>
        <v>0</v>
      </c>
      <c r="S109" s="307">
        <f t="shared" si="22"/>
        <v>0</v>
      </c>
    </row>
    <row r="110" spans="1:19">
      <c r="A110" s="629"/>
      <c r="B110" s="629"/>
      <c r="C110" s="21"/>
      <c r="D110" s="2566"/>
      <c r="E110" s="21">
        <f t="shared" si="23"/>
        <v>1</v>
      </c>
      <c r="F110" s="2566">
        <f>铂郡面积表!Q47</f>
        <v>0</v>
      </c>
      <c r="G110" s="21">
        <f t="shared" si="24"/>
        <v>0</v>
      </c>
      <c r="H110" s="631"/>
      <c r="I110" s="21">
        <f t="shared" si="25"/>
        <v>1</v>
      </c>
      <c r="J110" s="631"/>
      <c r="K110" s="21">
        <f t="shared" si="26"/>
        <v>1</v>
      </c>
      <c r="L110" s="631"/>
      <c r="M110" s="21">
        <f t="shared" si="27"/>
        <v>1</v>
      </c>
      <c r="N110" s="631"/>
      <c r="O110" s="21">
        <f t="shared" si="28"/>
        <v>1</v>
      </c>
      <c r="P110" s="2566">
        <f>铂郡面积表!K47</f>
        <v>0</v>
      </c>
      <c r="Q110" s="21">
        <f t="shared" si="29"/>
        <v>1</v>
      </c>
      <c r="R110" s="21">
        <f t="shared" si="30"/>
        <v>0</v>
      </c>
      <c r="S110" s="307">
        <f t="shared" si="22"/>
        <v>0</v>
      </c>
    </row>
    <row r="111" spans="1:19">
      <c r="A111" s="629"/>
      <c r="B111" s="629"/>
      <c r="C111" s="21"/>
      <c r="D111" s="2566"/>
      <c r="E111" s="21">
        <f t="shared" si="23"/>
        <v>1</v>
      </c>
      <c r="F111" s="2566">
        <f>铂郡面积表!Q48</f>
        <v>0</v>
      </c>
      <c r="G111" s="21">
        <f t="shared" si="24"/>
        <v>0</v>
      </c>
      <c r="H111" s="631"/>
      <c r="I111" s="21">
        <f t="shared" si="25"/>
        <v>1</v>
      </c>
      <c r="J111" s="631"/>
      <c r="K111" s="21">
        <f t="shared" si="26"/>
        <v>1</v>
      </c>
      <c r="L111" s="631"/>
      <c r="M111" s="21">
        <f t="shared" si="27"/>
        <v>1</v>
      </c>
      <c r="N111" s="631"/>
      <c r="O111" s="21">
        <f t="shared" si="28"/>
        <v>1</v>
      </c>
      <c r="P111" s="2566">
        <f>铂郡面积表!K48</f>
        <v>0</v>
      </c>
      <c r="Q111" s="21">
        <f t="shared" si="29"/>
        <v>1</v>
      </c>
      <c r="R111" s="21">
        <f t="shared" si="30"/>
        <v>0</v>
      </c>
      <c r="S111" s="307">
        <f t="shared" si="22"/>
        <v>0</v>
      </c>
    </row>
    <row r="112" spans="1:19">
      <c r="A112" s="629"/>
      <c r="B112" s="629"/>
      <c r="C112" s="21"/>
      <c r="D112" s="2566"/>
      <c r="E112" s="21">
        <f t="shared" si="23"/>
        <v>1</v>
      </c>
      <c r="F112" s="2566">
        <f>铂郡面积表!Q49</f>
        <v>0</v>
      </c>
      <c r="G112" s="21">
        <f t="shared" si="24"/>
        <v>0</v>
      </c>
      <c r="H112" s="631"/>
      <c r="I112" s="21">
        <f t="shared" si="25"/>
        <v>1</v>
      </c>
      <c r="J112" s="631"/>
      <c r="K112" s="21">
        <f t="shared" si="26"/>
        <v>1</v>
      </c>
      <c r="L112" s="631"/>
      <c r="M112" s="21">
        <f t="shared" si="27"/>
        <v>1</v>
      </c>
      <c r="N112" s="631"/>
      <c r="O112" s="21">
        <f t="shared" si="28"/>
        <v>1</v>
      </c>
      <c r="P112" s="2566">
        <f>铂郡面积表!K49</f>
        <v>0</v>
      </c>
      <c r="Q112" s="21">
        <f t="shared" si="29"/>
        <v>1</v>
      </c>
      <c r="R112" s="21">
        <f t="shared" si="30"/>
        <v>0</v>
      </c>
      <c r="S112" s="307">
        <f t="shared" si="22"/>
        <v>0</v>
      </c>
    </row>
    <row r="113" spans="1:19">
      <c r="A113" s="629"/>
      <c r="B113" s="629"/>
      <c r="C113" s="21"/>
      <c r="D113" s="2566"/>
      <c r="E113" s="21">
        <f t="shared" si="23"/>
        <v>1</v>
      </c>
      <c r="F113" s="2566">
        <f>铂郡面积表!Q50</f>
        <v>0</v>
      </c>
      <c r="G113" s="21">
        <f t="shared" si="24"/>
        <v>0</v>
      </c>
      <c r="H113" s="631"/>
      <c r="I113" s="21">
        <f t="shared" si="25"/>
        <v>1</v>
      </c>
      <c r="J113" s="631"/>
      <c r="K113" s="21">
        <f t="shared" si="26"/>
        <v>1</v>
      </c>
      <c r="L113" s="631"/>
      <c r="M113" s="21">
        <f t="shared" si="27"/>
        <v>1</v>
      </c>
      <c r="N113" s="631"/>
      <c r="O113" s="21">
        <f t="shared" si="28"/>
        <v>1</v>
      </c>
      <c r="P113" s="2566">
        <f>铂郡面积表!K50</f>
        <v>0</v>
      </c>
      <c r="Q113" s="21">
        <f t="shared" si="29"/>
        <v>1</v>
      </c>
      <c r="R113" s="21">
        <f t="shared" si="30"/>
        <v>0</v>
      </c>
      <c r="S113" s="307">
        <f t="shared" si="22"/>
        <v>0</v>
      </c>
    </row>
    <row r="114" spans="1:19">
      <c r="A114" s="629"/>
      <c r="B114" s="629"/>
      <c r="C114" s="21"/>
      <c r="D114" s="2566"/>
      <c r="E114" s="21">
        <f t="shared" si="23"/>
        <v>1</v>
      </c>
      <c r="F114" s="2566">
        <f>铂郡面积表!Q51</f>
        <v>0</v>
      </c>
      <c r="G114" s="21">
        <f t="shared" si="24"/>
        <v>0</v>
      </c>
      <c r="H114" s="631"/>
      <c r="I114" s="21">
        <f t="shared" si="25"/>
        <v>1</v>
      </c>
      <c r="J114" s="631"/>
      <c r="K114" s="21">
        <f t="shared" si="26"/>
        <v>1</v>
      </c>
      <c r="L114" s="631"/>
      <c r="M114" s="21">
        <f t="shared" si="27"/>
        <v>1</v>
      </c>
      <c r="N114" s="631"/>
      <c r="O114" s="21">
        <f t="shared" si="28"/>
        <v>1</v>
      </c>
      <c r="P114" s="2566">
        <f>铂郡面积表!K51</f>
        <v>0</v>
      </c>
      <c r="Q114" s="21">
        <f t="shared" si="29"/>
        <v>1</v>
      </c>
      <c r="R114" s="21">
        <f t="shared" si="30"/>
        <v>0</v>
      </c>
      <c r="S114" s="307">
        <f t="shared" si="22"/>
        <v>0</v>
      </c>
    </row>
    <row r="115" spans="1:19">
      <c r="A115" s="629"/>
      <c r="B115" s="629"/>
      <c r="C115" s="21"/>
      <c r="D115" s="2566"/>
      <c r="E115" s="21">
        <f t="shared" si="23"/>
        <v>1</v>
      </c>
      <c r="F115" s="2566">
        <f>铂郡面积表!Q52</f>
        <v>0</v>
      </c>
      <c r="G115" s="21">
        <f t="shared" si="24"/>
        <v>0</v>
      </c>
      <c r="H115" s="631"/>
      <c r="I115" s="21">
        <f t="shared" si="25"/>
        <v>1</v>
      </c>
      <c r="J115" s="631"/>
      <c r="K115" s="21">
        <f t="shared" si="26"/>
        <v>1</v>
      </c>
      <c r="L115" s="631"/>
      <c r="M115" s="21">
        <f t="shared" si="27"/>
        <v>1</v>
      </c>
      <c r="N115" s="631"/>
      <c r="O115" s="21">
        <f t="shared" si="28"/>
        <v>1</v>
      </c>
      <c r="P115" s="2566">
        <f>铂郡面积表!K52</f>
        <v>0</v>
      </c>
      <c r="Q115" s="21">
        <f t="shared" si="29"/>
        <v>1</v>
      </c>
      <c r="R115" s="21">
        <f t="shared" si="30"/>
        <v>0</v>
      </c>
      <c r="S115" s="307">
        <f t="shared" si="22"/>
        <v>0</v>
      </c>
    </row>
    <row r="116" spans="1:19">
      <c r="A116" s="629"/>
      <c r="B116" s="629"/>
      <c r="C116" s="21"/>
      <c r="D116" s="2566"/>
      <c r="E116" s="21">
        <f t="shared" si="23"/>
        <v>1</v>
      </c>
      <c r="F116" s="2566">
        <f>铂郡面积表!Q53</f>
        <v>0</v>
      </c>
      <c r="G116" s="21">
        <f t="shared" si="24"/>
        <v>0</v>
      </c>
      <c r="H116" s="631"/>
      <c r="I116" s="21">
        <f t="shared" si="25"/>
        <v>1</v>
      </c>
      <c r="J116" s="631"/>
      <c r="K116" s="21">
        <f t="shared" si="26"/>
        <v>1</v>
      </c>
      <c r="L116" s="631"/>
      <c r="M116" s="21">
        <f t="shared" si="27"/>
        <v>1</v>
      </c>
      <c r="N116" s="631"/>
      <c r="O116" s="21">
        <f t="shared" si="28"/>
        <v>1</v>
      </c>
      <c r="P116" s="2566">
        <f>铂郡面积表!K53</f>
        <v>0</v>
      </c>
      <c r="Q116" s="21">
        <f t="shared" si="29"/>
        <v>1</v>
      </c>
      <c r="R116" s="21">
        <f t="shared" si="30"/>
        <v>0</v>
      </c>
      <c r="S116" s="307">
        <f t="shared" si="22"/>
        <v>0</v>
      </c>
    </row>
    <row r="117" spans="1:19">
      <c r="A117" s="629"/>
      <c r="B117" s="629"/>
      <c r="C117" s="21"/>
      <c r="D117" s="2566"/>
      <c r="E117" s="21">
        <f t="shared" si="23"/>
        <v>1</v>
      </c>
      <c r="F117" s="2566">
        <f>铂郡面积表!Q54</f>
        <v>0</v>
      </c>
      <c r="G117" s="21">
        <f t="shared" si="24"/>
        <v>0</v>
      </c>
      <c r="H117" s="631"/>
      <c r="I117" s="21">
        <f t="shared" si="25"/>
        <v>1</v>
      </c>
      <c r="J117" s="631"/>
      <c r="K117" s="21">
        <f t="shared" si="26"/>
        <v>1</v>
      </c>
      <c r="L117" s="631"/>
      <c r="M117" s="21">
        <f t="shared" si="27"/>
        <v>1</v>
      </c>
      <c r="N117" s="631"/>
      <c r="O117" s="21">
        <f t="shared" si="28"/>
        <v>1</v>
      </c>
      <c r="P117" s="2566">
        <f>铂郡面积表!K54</f>
        <v>0</v>
      </c>
      <c r="Q117" s="21">
        <f t="shared" si="29"/>
        <v>1</v>
      </c>
      <c r="R117" s="21">
        <f t="shared" si="30"/>
        <v>0</v>
      </c>
      <c r="S117" s="307">
        <f t="shared" si="22"/>
        <v>0</v>
      </c>
    </row>
    <row r="118" spans="1:19">
      <c r="A118" s="629"/>
      <c r="B118" s="629"/>
      <c r="C118" s="21"/>
      <c r="D118" s="2566"/>
      <c r="E118" s="21">
        <f t="shared" si="23"/>
        <v>1</v>
      </c>
      <c r="F118" s="2566">
        <f>铂郡面积表!Q55</f>
        <v>0</v>
      </c>
      <c r="G118" s="21">
        <f t="shared" si="24"/>
        <v>0</v>
      </c>
      <c r="H118" s="631"/>
      <c r="I118" s="21">
        <f t="shared" si="25"/>
        <v>1</v>
      </c>
      <c r="J118" s="631"/>
      <c r="K118" s="21">
        <f t="shared" si="26"/>
        <v>1</v>
      </c>
      <c r="L118" s="631"/>
      <c r="M118" s="21">
        <f t="shared" si="27"/>
        <v>1</v>
      </c>
      <c r="N118" s="631"/>
      <c r="O118" s="21">
        <f t="shared" si="28"/>
        <v>1</v>
      </c>
      <c r="P118" s="2566">
        <f>铂郡面积表!K55</f>
        <v>0</v>
      </c>
      <c r="Q118" s="21">
        <f t="shared" si="29"/>
        <v>1</v>
      </c>
      <c r="R118" s="21">
        <f t="shared" si="30"/>
        <v>0</v>
      </c>
      <c r="S118" s="307">
        <f t="shared" si="22"/>
        <v>0</v>
      </c>
    </row>
    <row r="119" spans="1:19">
      <c r="A119" s="629"/>
      <c r="B119" s="629"/>
      <c r="C119" s="21"/>
      <c r="D119" s="2566"/>
      <c r="E119" s="21">
        <f t="shared" si="23"/>
        <v>1</v>
      </c>
      <c r="F119" s="2566">
        <f>铂郡面积表!Q56</f>
        <v>0</v>
      </c>
      <c r="G119" s="21">
        <f t="shared" si="24"/>
        <v>0</v>
      </c>
      <c r="H119" s="631"/>
      <c r="I119" s="21">
        <f t="shared" si="25"/>
        <v>1</v>
      </c>
      <c r="J119" s="631"/>
      <c r="K119" s="21">
        <f t="shared" si="26"/>
        <v>1</v>
      </c>
      <c r="L119" s="631"/>
      <c r="M119" s="21">
        <f t="shared" si="27"/>
        <v>1</v>
      </c>
      <c r="N119" s="631"/>
      <c r="O119" s="21">
        <f t="shared" si="28"/>
        <v>1</v>
      </c>
      <c r="P119" s="2566">
        <f>铂郡面积表!K56</f>
        <v>0</v>
      </c>
      <c r="Q119" s="21">
        <f t="shared" si="29"/>
        <v>1</v>
      </c>
      <c r="R119" s="21">
        <f t="shared" si="30"/>
        <v>0</v>
      </c>
      <c r="S119" s="307">
        <f t="shared" si="22"/>
        <v>0</v>
      </c>
    </row>
    <row r="120" spans="1:19">
      <c r="A120" s="629"/>
      <c r="B120" s="629"/>
      <c r="C120" s="21"/>
      <c r="D120" s="2566"/>
      <c r="E120" s="21">
        <f t="shared" si="23"/>
        <v>1</v>
      </c>
      <c r="F120" s="2566">
        <f>铂郡面积表!Q57</f>
        <v>0</v>
      </c>
      <c r="G120" s="21">
        <f t="shared" si="24"/>
        <v>0</v>
      </c>
      <c r="H120" s="631"/>
      <c r="I120" s="21">
        <f t="shared" si="25"/>
        <v>1</v>
      </c>
      <c r="J120" s="631"/>
      <c r="K120" s="21">
        <f t="shared" si="26"/>
        <v>1</v>
      </c>
      <c r="L120" s="631"/>
      <c r="M120" s="21">
        <f t="shared" si="27"/>
        <v>1</v>
      </c>
      <c r="N120" s="631"/>
      <c r="O120" s="21">
        <f t="shared" si="28"/>
        <v>1</v>
      </c>
      <c r="P120" s="2566">
        <f>铂郡面积表!K57</f>
        <v>0</v>
      </c>
      <c r="Q120" s="21">
        <f t="shared" si="29"/>
        <v>1</v>
      </c>
      <c r="R120" s="21">
        <f t="shared" si="30"/>
        <v>0</v>
      </c>
      <c r="S120" s="307">
        <f t="shared" si="22"/>
        <v>0</v>
      </c>
    </row>
    <row r="121" spans="1:19">
      <c r="A121" s="629"/>
      <c r="B121" s="629"/>
      <c r="C121" s="21"/>
      <c r="D121" s="2566"/>
      <c r="E121" s="21">
        <f t="shared" si="23"/>
        <v>1</v>
      </c>
      <c r="F121" s="2566">
        <f>铂郡面积表!Q58</f>
        <v>0</v>
      </c>
      <c r="G121" s="21">
        <f t="shared" si="24"/>
        <v>0</v>
      </c>
      <c r="H121" s="631"/>
      <c r="I121" s="21">
        <f t="shared" si="25"/>
        <v>1</v>
      </c>
      <c r="J121" s="631"/>
      <c r="K121" s="21">
        <f t="shared" si="26"/>
        <v>1</v>
      </c>
      <c r="L121" s="631"/>
      <c r="M121" s="21">
        <f t="shared" si="27"/>
        <v>1</v>
      </c>
      <c r="N121" s="631"/>
      <c r="O121" s="21">
        <f t="shared" si="28"/>
        <v>1</v>
      </c>
      <c r="P121" s="2566">
        <f>铂郡面积表!K58</f>
        <v>0</v>
      </c>
      <c r="Q121" s="21">
        <f t="shared" si="29"/>
        <v>1</v>
      </c>
      <c r="R121" s="21">
        <f t="shared" si="30"/>
        <v>0</v>
      </c>
      <c r="S121" s="307">
        <f t="shared" si="22"/>
        <v>0</v>
      </c>
    </row>
    <row r="122" spans="1:19">
      <c r="A122" s="629"/>
      <c r="B122" s="629"/>
      <c r="C122" s="21"/>
      <c r="D122" s="2566"/>
      <c r="E122" s="21">
        <f t="shared" si="23"/>
        <v>1</v>
      </c>
      <c r="F122" s="2566">
        <f>铂郡面积表!Q59</f>
        <v>0</v>
      </c>
      <c r="G122" s="21">
        <f t="shared" si="24"/>
        <v>0</v>
      </c>
      <c r="H122" s="631"/>
      <c r="I122" s="21">
        <f t="shared" si="25"/>
        <v>1</v>
      </c>
      <c r="J122" s="631"/>
      <c r="K122" s="21">
        <f t="shared" si="26"/>
        <v>1</v>
      </c>
      <c r="L122" s="631"/>
      <c r="M122" s="21">
        <f t="shared" si="27"/>
        <v>1</v>
      </c>
      <c r="N122" s="631"/>
      <c r="O122" s="21">
        <f t="shared" si="28"/>
        <v>1</v>
      </c>
      <c r="P122" s="2566">
        <f>铂郡面积表!K59</f>
        <v>0</v>
      </c>
      <c r="Q122" s="21">
        <f t="shared" si="29"/>
        <v>1</v>
      </c>
      <c r="R122" s="21">
        <f t="shared" si="30"/>
        <v>0</v>
      </c>
      <c r="S122" s="307">
        <f t="shared" si="22"/>
        <v>0</v>
      </c>
    </row>
    <row r="123" spans="1:19">
      <c r="A123" s="629"/>
      <c r="B123" s="629"/>
      <c r="C123" s="21"/>
      <c r="D123" s="2566"/>
      <c r="E123" s="21">
        <f t="shared" si="23"/>
        <v>1</v>
      </c>
      <c r="F123" s="2566">
        <f>铂郡面积表!Q60</f>
        <v>0</v>
      </c>
      <c r="G123" s="21">
        <f t="shared" si="24"/>
        <v>0</v>
      </c>
      <c r="H123" s="631"/>
      <c r="I123" s="21">
        <f t="shared" si="25"/>
        <v>1</v>
      </c>
      <c r="J123" s="631"/>
      <c r="K123" s="21">
        <f t="shared" si="26"/>
        <v>1</v>
      </c>
      <c r="L123" s="631"/>
      <c r="M123" s="21">
        <f t="shared" si="27"/>
        <v>1</v>
      </c>
      <c r="N123" s="631"/>
      <c r="O123" s="21">
        <f t="shared" si="28"/>
        <v>1</v>
      </c>
      <c r="P123" s="2566">
        <f>铂郡面积表!K60</f>
        <v>0</v>
      </c>
      <c r="Q123" s="21">
        <f t="shared" si="29"/>
        <v>1</v>
      </c>
      <c r="R123" s="21">
        <f t="shared" si="30"/>
        <v>0</v>
      </c>
      <c r="S123" s="307">
        <f t="shared" ref="S123:S186" si="31">ROUND(R123*B123/10000,0)</f>
        <v>0</v>
      </c>
    </row>
    <row r="124" spans="1:19">
      <c r="A124" s="629"/>
      <c r="B124" s="629"/>
      <c r="C124" s="21"/>
      <c r="D124" s="2566"/>
      <c r="E124" s="21">
        <f t="shared" si="23"/>
        <v>1</v>
      </c>
      <c r="F124" s="2566">
        <f>铂郡面积表!Q61</f>
        <v>0</v>
      </c>
      <c r="G124" s="21">
        <f t="shared" si="24"/>
        <v>0</v>
      </c>
      <c r="H124" s="631"/>
      <c r="I124" s="21">
        <f t="shared" si="25"/>
        <v>1</v>
      </c>
      <c r="J124" s="631"/>
      <c r="K124" s="21">
        <f t="shared" si="26"/>
        <v>1</v>
      </c>
      <c r="L124" s="631"/>
      <c r="M124" s="21">
        <f t="shared" si="27"/>
        <v>1</v>
      </c>
      <c r="N124" s="631"/>
      <c r="O124" s="21">
        <f t="shared" si="28"/>
        <v>1</v>
      </c>
      <c r="P124" s="2566">
        <f>铂郡面积表!K61</f>
        <v>0</v>
      </c>
      <c r="Q124" s="21">
        <f t="shared" si="29"/>
        <v>1</v>
      </c>
      <c r="R124" s="21">
        <f t="shared" si="30"/>
        <v>0</v>
      </c>
      <c r="S124" s="307">
        <f t="shared" si="31"/>
        <v>0</v>
      </c>
    </row>
    <row r="125" spans="1:19">
      <c r="A125" s="629"/>
      <c r="B125" s="629"/>
      <c r="C125" s="21"/>
      <c r="D125" s="2566"/>
      <c r="E125" s="21">
        <f t="shared" si="23"/>
        <v>1</v>
      </c>
      <c r="F125" s="2566">
        <f>铂郡面积表!Q62</f>
        <v>0</v>
      </c>
      <c r="G125" s="21">
        <f t="shared" si="24"/>
        <v>0</v>
      </c>
      <c r="H125" s="631"/>
      <c r="I125" s="21">
        <f t="shared" si="25"/>
        <v>1</v>
      </c>
      <c r="J125" s="631"/>
      <c r="K125" s="21">
        <f t="shared" si="26"/>
        <v>1</v>
      </c>
      <c r="L125" s="631"/>
      <c r="M125" s="21">
        <f t="shared" si="27"/>
        <v>1</v>
      </c>
      <c r="N125" s="631"/>
      <c r="O125" s="21">
        <f t="shared" si="28"/>
        <v>1</v>
      </c>
      <c r="P125" s="2566">
        <f>铂郡面积表!K62</f>
        <v>0</v>
      </c>
      <c r="Q125" s="21">
        <f t="shared" si="29"/>
        <v>1</v>
      </c>
      <c r="R125" s="21">
        <f t="shared" si="30"/>
        <v>0</v>
      </c>
      <c r="S125" s="307">
        <f t="shared" si="31"/>
        <v>0</v>
      </c>
    </row>
    <row r="126" spans="1:19">
      <c r="A126" s="629"/>
      <c r="B126" s="629"/>
      <c r="C126" s="21"/>
      <c r="D126" s="2566"/>
      <c r="E126" s="21">
        <f t="shared" si="23"/>
        <v>1</v>
      </c>
      <c r="F126" s="2566">
        <f>铂郡面积表!Q63</f>
        <v>0</v>
      </c>
      <c r="G126" s="21">
        <f t="shared" si="24"/>
        <v>0</v>
      </c>
      <c r="H126" s="631"/>
      <c r="I126" s="21">
        <f t="shared" si="25"/>
        <v>1</v>
      </c>
      <c r="J126" s="631"/>
      <c r="K126" s="21">
        <f t="shared" si="26"/>
        <v>1</v>
      </c>
      <c r="L126" s="631"/>
      <c r="M126" s="21">
        <f t="shared" si="27"/>
        <v>1</v>
      </c>
      <c r="N126" s="631"/>
      <c r="O126" s="21">
        <f t="shared" si="28"/>
        <v>1</v>
      </c>
      <c r="P126" s="2566">
        <f>铂郡面积表!K63</f>
        <v>0</v>
      </c>
      <c r="Q126" s="21">
        <f t="shared" si="29"/>
        <v>1</v>
      </c>
      <c r="R126" s="21">
        <f t="shared" si="30"/>
        <v>0</v>
      </c>
      <c r="S126" s="307">
        <f t="shared" si="31"/>
        <v>0</v>
      </c>
    </row>
    <row r="127" spans="1:19">
      <c r="A127" s="629"/>
      <c r="B127" s="629"/>
      <c r="C127" s="21"/>
      <c r="D127" s="2566"/>
      <c r="E127" s="21">
        <f t="shared" si="23"/>
        <v>1</v>
      </c>
      <c r="F127" s="2566">
        <f>铂郡面积表!Q64</f>
        <v>0</v>
      </c>
      <c r="G127" s="21">
        <f t="shared" si="24"/>
        <v>0</v>
      </c>
      <c r="H127" s="631"/>
      <c r="I127" s="21">
        <f t="shared" si="25"/>
        <v>1</v>
      </c>
      <c r="J127" s="631"/>
      <c r="K127" s="21">
        <f t="shared" si="26"/>
        <v>1</v>
      </c>
      <c r="L127" s="631"/>
      <c r="M127" s="21">
        <f t="shared" si="27"/>
        <v>1</v>
      </c>
      <c r="N127" s="631"/>
      <c r="O127" s="21">
        <f t="shared" si="28"/>
        <v>1</v>
      </c>
      <c r="P127" s="2566">
        <f>铂郡面积表!K64</f>
        <v>0</v>
      </c>
      <c r="Q127" s="21">
        <f t="shared" si="29"/>
        <v>1</v>
      </c>
      <c r="R127" s="21">
        <f t="shared" si="30"/>
        <v>0</v>
      </c>
      <c r="S127" s="307">
        <f t="shared" si="31"/>
        <v>0</v>
      </c>
    </row>
    <row r="128" spans="1:19">
      <c r="A128" s="629"/>
      <c r="B128" s="629"/>
      <c r="C128" s="21"/>
      <c r="D128" s="2566"/>
      <c r="E128" s="21">
        <f t="shared" si="23"/>
        <v>1</v>
      </c>
      <c r="F128" s="2566">
        <f>铂郡面积表!Q65</f>
        <v>0</v>
      </c>
      <c r="G128" s="21">
        <f t="shared" si="24"/>
        <v>0</v>
      </c>
      <c r="H128" s="631"/>
      <c r="I128" s="21">
        <f t="shared" si="25"/>
        <v>1</v>
      </c>
      <c r="J128" s="631"/>
      <c r="K128" s="21">
        <f t="shared" si="26"/>
        <v>1</v>
      </c>
      <c r="L128" s="631"/>
      <c r="M128" s="21">
        <f t="shared" si="27"/>
        <v>1</v>
      </c>
      <c r="N128" s="631"/>
      <c r="O128" s="21">
        <f t="shared" si="28"/>
        <v>1</v>
      </c>
      <c r="P128" s="2566">
        <f>铂郡面积表!K65</f>
        <v>0</v>
      </c>
      <c r="Q128" s="21">
        <f t="shared" si="29"/>
        <v>1</v>
      </c>
      <c r="R128" s="21">
        <f t="shared" si="30"/>
        <v>0</v>
      </c>
      <c r="S128" s="307">
        <f t="shared" si="31"/>
        <v>0</v>
      </c>
    </row>
    <row r="129" spans="1:19">
      <c r="A129" s="629"/>
      <c r="B129" s="629"/>
      <c r="C129" s="21"/>
      <c r="D129" s="2566"/>
      <c r="E129" s="21">
        <f t="shared" si="23"/>
        <v>1</v>
      </c>
      <c r="F129" s="2566">
        <f>铂郡面积表!Q66</f>
        <v>0</v>
      </c>
      <c r="G129" s="21">
        <f t="shared" si="24"/>
        <v>0</v>
      </c>
      <c r="H129" s="631"/>
      <c r="I129" s="21">
        <f t="shared" si="25"/>
        <v>1</v>
      </c>
      <c r="J129" s="631"/>
      <c r="K129" s="21">
        <f t="shared" si="26"/>
        <v>1</v>
      </c>
      <c r="L129" s="631"/>
      <c r="M129" s="21">
        <f t="shared" si="27"/>
        <v>1</v>
      </c>
      <c r="N129" s="631"/>
      <c r="O129" s="21">
        <f t="shared" si="28"/>
        <v>1</v>
      </c>
      <c r="P129" s="2566">
        <f>铂郡面积表!K66</f>
        <v>0</v>
      </c>
      <c r="Q129" s="21">
        <f t="shared" si="29"/>
        <v>1</v>
      </c>
      <c r="R129" s="21">
        <f t="shared" si="30"/>
        <v>0</v>
      </c>
      <c r="S129" s="307">
        <f t="shared" si="31"/>
        <v>0</v>
      </c>
    </row>
    <row r="130" spans="1:19">
      <c r="A130" s="629"/>
      <c r="B130" s="629"/>
      <c r="C130" s="21"/>
      <c r="D130" s="2566"/>
      <c r="E130" s="21">
        <f t="shared" si="23"/>
        <v>1</v>
      </c>
      <c r="F130" s="2566">
        <f>铂郡面积表!Q67</f>
        <v>0</v>
      </c>
      <c r="G130" s="21">
        <f t="shared" si="24"/>
        <v>0</v>
      </c>
      <c r="H130" s="631"/>
      <c r="I130" s="21">
        <f t="shared" si="25"/>
        <v>1</v>
      </c>
      <c r="J130" s="631"/>
      <c r="K130" s="21">
        <f t="shared" si="26"/>
        <v>1</v>
      </c>
      <c r="L130" s="631"/>
      <c r="M130" s="21">
        <f t="shared" si="27"/>
        <v>1</v>
      </c>
      <c r="N130" s="631"/>
      <c r="O130" s="21">
        <f t="shared" si="28"/>
        <v>1</v>
      </c>
      <c r="P130" s="2566">
        <f>铂郡面积表!K67</f>
        <v>0</v>
      </c>
      <c r="Q130" s="21">
        <f t="shared" si="29"/>
        <v>1</v>
      </c>
      <c r="R130" s="21">
        <f t="shared" si="30"/>
        <v>0</v>
      </c>
      <c r="S130" s="307">
        <f t="shared" si="31"/>
        <v>0</v>
      </c>
    </row>
    <row r="131" spans="1:19">
      <c r="A131" s="629"/>
      <c r="B131" s="629"/>
      <c r="C131" s="21"/>
      <c r="D131" s="2566"/>
      <c r="E131" s="21">
        <f t="shared" si="23"/>
        <v>1</v>
      </c>
      <c r="F131" s="2566">
        <f>铂郡面积表!Q68</f>
        <v>0</v>
      </c>
      <c r="G131" s="21">
        <f t="shared" si="24"/>
        <v>0</v>
      </c>
      <c r="H131" s="631"/>
      <c r="I131" s="21">
        <f t="shared" si="25"/>
        <v>1</v>
      </c>
      <c r="J131" s="631"/>
      <c r="K131" s="21">
        <f t="shared" si="26"/>
        <v>1</v>
      </c>
      <c r="L131" s="631"/>
      <c r="M131" s="21">
        <f t="shared" si="27"/>
        <v>1</v>
      </c>
      <c r="N131" s="631"/>
      <c r="O131" s="21">
        <f t="shared" si="28"/>
        <v>1</v>
      </c>
      <c r="P131" s="2566">
        <f>铂郡面积表!K68</f>
        <v>0</v>
      </c>
      <c r="Q131" s="21">
        <f t="shared" si="29"/>
        <v>1</v>
      </c>
      <c r="R131" s="21">
        <f t="shared" si="30"/>
        <v>0</v>
      </c>
      <c r="S131" s="307">
        <f t="shared" si="31"/>
        <v>0</v>
      </c>
    </row>
    <row r="132" spans="1:19">
      <c r="A132" s="629"/>
      <c r="B132" s="629"/>
      <c r="C132" s="21"/>
      <c r="D132" s="2566"/>
      <c r="E132" s="21">
        <f t="shared" si="23"/>
        <v>1</v>
      </c>
      <c r="F132" s="2566">
        <f>铂郡面积表!Q69</f>
        <v>0</v>
      </c>
      <c r="G132" s="21">
        <f t="shared" si="24"/>
        <v>0</v>
      </c>
      <c r="H132" s="631"/>
      <c r="I132" s="21">
        <f t="shared" si="25"/>
        <v>1</v>
      </c>
      <c r="J132" s="631"/>
      <c r="K132" s="21">
        <f t="shared" si="26"/>
        <v>1</v>
      </c>
      <c r="L132" s="631"/>
      <c r="M132" s="21">
        <f t="shared" si="27"/>
        <v>1</v>
      </c>
      <c r="N132" s="631"/>
      <c r="O132" s="21">
        <f t="shared" si="28"/>
        <v>1</v>
      </c>
      <c r="P132" s="2566">
        <f>铂郡面积表!K69</f>
        <v>0</v>
      </c>
      <c r="Q132" s="21">
        <f t="shared" si="29"/>
        <v>1</v>
      </c>
      <c r="R132" s="21">
        <f t="shared" si="30"/>
        <v>0</v>
      </c>
      <c r="S132" s="307">
        <f t="shared" si="31"/>
        <v>0</v>
      </c>
    </row>
    <row r="133" spans="1:19">
      <c r="A133" s="629"/>
      <c r="B133" s="629"/>
      <c r="C133" s="21"/>
      <c r="D133" s="2566"/>
      <c r="E133" s="21">
        <f t="shared" si="23"/>
        <v>1</v>
      </c>
      <c r="F133" s="2566">
        <f>铂郡面积表!Q70</f>
        <v>0</v>
      </c>
      <c r="G133" s="21">
        <f t="shared" si="24"/>
        <v>0</v>
      </c>
      <c r="H133" s="631"/>
      <c r="I133" s="21">
        <f t="shared" si="25"/>
        <v>1</v>
      </c>
      <c r="J133" s="631"/>
      <c r="K133" s="21">
        <f t="shared" si="26"/>
        <v>1</v>
      </c>
      <c r="L133" s="631"/>
      <c r="M133" s="21">
        <f t="shared" si="27"/>
        <v>1</v>
      </c>
      <c r="N133" s="631"/>
      <c r="O133" s="21">
        <f t="shared" si="28"/>
        <v>1</v>
      </c>
      <c r="P133" s="2566">
        <f>铂郡面积表!K70</f>
        <v>0</v>
      </c>
      <c r="Q133" s="21">
        <f t="shared" si="29"/>
        <v>1</v>
      </c>
      <c r="R133" s="21">
        <f t="shared" si="30"/>
        <v>0</v>
      </c>
      <c r="S133" s="307">
        <f t="shared" si="31"/>
        <v>0</v>
      </c>
    </row>
    <row r="134" spans="1:19">
      <c r="A134" s="629"/>
      <c r="B134" s="629"/>
      <c r="C134" s="21"/>
      <c r="D134" s="2566"/>
      <c r="E134" s="21">
        <f t="shared" si="23"/>
        <v>1</v>
      </c>
      <c r="F134" s="2566">
        <f>铂郡面积表!Q71</f>
        <v>0</v>
      </c>
      <c r="G134" s="21">
        <f t="shared" si="24"/>
        <v>0</v>
      </c>
      <c r="H134" s="631"/>
      <c r="I134" s="21">
        <f t="shared" si="25"/>
        <v>1</v>
      </c>
      <c r="J134" s="631"/>
      <c r="K134" s="21">
        <f t="shared" si="26"/>
        <v>1</v>
      </c>
      <c r="L134" s="631"/>
      <c r="M134" s="21">
        <f t="shared" si="27"/>
        <v>1</v>
      </c>
      <c r="N134" s="631"/>
      <c r="O134" s="21">
        <f t="shared" si="28"/>
        <v>1</v>
      </c>
      <c r="P134" s="2566">
        <f>铂郡面积表!K71</f>
        <v>0</v>
      </c>
      <c r="Q134" s="21">
        <f t="shared" si="29"/>
        <v>1</v>
      </c>
      <c r="R134" s="21">
        <f t="shared" si="30"/>
        <v>0</v>
      </c>
      <c r="S134" s="307">
        <f t="shared" si="31"/>
        <v>0</v>
      </c>
    </row>
    <row r="135" spans="1:19">
      <c r="A135" s="629"/>
      <c r="B135" s="629"/>
      <c r="C135" s="21"/>
      <c r="D135" s="2566"/>
      <c r="E135" s="21">
        <f t="shared" si="23"/>
        <v>1</v>
      </c>
      <c r="F135" s="2566">
        <f>铂郡面积表!Q72</f>
        <v>0</v>
      </c>
      <c r="G135" s="21">
        <f t="shared" si="24"/>
        <v>0</v>
      </c>
      <c r="H135" s="631"/>
      <c r="I135" s="21">
        <f t="shared" si="25"/>
        <v>1</v>
      </c>
      <c r="J135" s="631"/>
      <c r="K135" s="21">
        <f t="shared" si="26"/>
        <v>1</v>
      </c>
      <c r="L135" s="631"/>
      <c r="M135" s="21">
        <f t="shared" si="27"/>
        <v>1</v>
      </c>
      <c r="N135" s="631"/>
      <c r="O135" s="21">
        <f t="shared" si="28"/>
        <v>1</v>
      </c>
      <c r="P135" s="2566">
        <f>铂郡面积表!K72</f>
        <v>0</v>
      </c>
      <c r="Q135" s="21">
        <f t="shared" si="29"/>
        <v>1</v>
      </c>
      <c r="R135" s="21">
        <f t="shared" si="30"/>
        <v>0</v>
      </c>
      <c r="S135" s="307">
        <f t="shared" si="31"/>
        <v>0</v>
      </c>
    </row>
    <row r="136" spans="1:19">
      <c r="A136" s="629"/>
      <c r="B136" s="629"/>
      <c r="C136" s="21"/>
      <c r="D136" s="2566"/>
      <c r="E136" s="21">
        <f t="shared" si="23"/>
        <v>1</v>
      </c>
      <c r="F136" s="2566">
        <f>铂郡面积表!Q73</f>
        <v>0</v>
      </c>
      <c r="G136" s="21">
        <f t="shared" si="24"/>
        <v>0</v>
      </c>
      <c r="H136" s="631"/>
      <c r="I136" s="21">
        <f t="shared" si="25"/>
        <v>1</v>
      </c>
      <c r="J136" s="631"/>
      <c r="K136" s="21">
        <f t="shared" si="26"/>
        <v>1</v>
      </c>
      <c r="L136" s="631"/>
      <c r="M136" s="21">
        <f t="shared" si="27"/>
        <v>1</v>
      </c>
      <c r="N136" s="631"/>
      <c r="O136" s="21">
        <f t="shared" si="28"/>
        <v>1</v>
      </c>
      <c r="P136" s="2566">
        <f>铂郡面积表!K73</f>
        <v>0</v>
      </c>
      <c r="Q136" s="21">
        <f t="shared" si="29"/>
        <v>1</v>
      </c>
      <c r="R136" s="21">
        <f t="shared" si="30"/>
        <v>0</v>
      </c>
      <c r="S136" s="307">
        <f t="shared" si="31"/>
        <v>0</v>
      </c>
    </row>
    <row r="137" spans="1:19">
      <c r="A137" s="629"/>
      <c r="B137" s="629"/>
      <c r="C137" s="21"/>
      <c r="D137" s="2566"/>
      <c r="E137" s="21">
        <f t="shared" si="23"/>
        <v>1</v>
      </c>
      <c r="F137" s="2566">
        <f>铂郡面积表!Q74</f>
        <v>0</v>
      </c>
      <c r="G137" s="21">
        <f t="shared" si="24"/>
        <v>0</v>
      </c>
      <c r="H137" s="631"/>
      <c r="I137" s="21">
        <f t="shared" si="25"/>
        <v>1</v>
      </c>
      <c r="J137" s="631"/>
      <c r="K137" s="21">
        <f t="shared" si="26"/>
        <v>1</v>
      </c>
      <c r="L137" s="631"/>
      <c r="M137" s="21">
        <f t="shared" si="27"/>
        <v>1</v>
      </c>
      <c r="N137" s="631"/>
      <c r="O137" s="21">
        <f t="shared" si="28"/>
        <v>1</v>
      </c>
      <c r="P137" s="2566">
        <f>铂郡面积表!K74</f>
        <v>0</v>
      </c>
      <c r="Q137" s="21">
        <f t="shared" si="29"/>
        <v>1</v>
      </c>
      <c r="R137" s="21">
        <f t="shared" si="30"/>
        <v>0</v>
      </c>
      <c r="S137" s="307">
        <f t="shared" si="31"/>
        <v>0</v>
      </c>
    </row>
    <row r="138" spans="1:19">
      <c r="A138" s="629"/>
      <c r="B138" s="629"/>
      <c r="C138" s="21"/>
      <c r="D138" s="2566"/>
      <c r="E138" s="21">
        <f t="shared" si="23"/>
        <v>1</v>
      </c>
      <c r="F138" s="2566">
        <f>铂郡面积表!Q75</f>
        <v>0</v>
      </c>
      <c r="G138" s="21">
        <f t="shared" si="24"/>
        <v>0</v>
      </c>
      <c r="H138" s="631"/>
      <c r="I138" s="21">
        <f t="shared" si="25"/>
        <v>1</v>
      </c>
      <c r="J138" s="631"/>
      <c r="K138" s="21">
        <f t="shared" si="26"/>
        <v>1</v>
      </c>
      <c r="L138" s="631"/>
      <c r="M138" s="21">
        <f t="shared" si="27"/>
        <v>1</v>
      </c>
      <c r="N138" s="631"/>
      <c r="O138" s="21">
        <f t="shared" si="28"/>
        <v>1</v>
      </c>
      <c r="P138" s="2566">
        <f>铂郡面积表!K75</f>
        <v>0</v>
      </c>
      <c r="Q138" s="21">
        <f t="shared" si="29"/>
        <v>1</v>
      </c>
      <c r="R138" s="21">
        <f t="shared" si="30"/>
        <v>0</v>
      </c>
      <c r="S138" s="307">
        <f t="shared" si="31"/>
        <v>0</v>
      </c>
    </row>
    <row r="139" spans="1:19">
      <c r="A139" s="629"/>
      <c r="B139" s="629"/>
      <c r="C139" s="21"/>
      <c r="D139" s="2566"/>
      <c r="E139" s="21">
        <f t="shared" si="23"/>
        <v>1</v>
      </c>
      <c r="F139" s="2566">
        <f>铂郡面积表!Q76</f>
        <v>0</v>
      </c>
      <c r="G139" s="21">
        <f t="shared" si="24"/>
        <v>0</v>
      </c>
      <c r="H139" s="631"/>
      <c r="I139" s="21">
        <f t="shared" si="25"/>
        <v>1</v>
      </c>
      <c r="J139" s="631"/>
      <c r="K139" s="21">
        <f t="shared" si="26"/>
        <v>1</v>
      </c>
      <c r="L139" s="631"/>
      <c r="M139" s="21">
        <f t="shared" si="27"/>
        <v>1</v>
      </c>
      <c r="N139" s="631"/>
      <c r="O139" s="21">
        <f t="shared" si="28"/>
        <v>1</v>
      </c>
      <c r="P139" s="2566">
        <f>铂郡面积表!K76</f>
        <v>0</v>
      </c>
      <c r="Q139" s="21">
        <f t="shared" si="29"/>
        <v>1</v>
      </c>
      <c r="R139" s="21">
        <f t="shared" si="30"/>
        <v>0</v>
      </c>
      <c r="S139" s="307">
        <f t="shared" si="31"/>
        <v>0</v>
      </c>
    </row>
    <row r="140" spans="1:19">
      <c r="A140" s="629"/>
      <c r="B140" s="629"/>
      <c r="C140" s="21"/>
      <c r="D140" s="2566"/>
      <c r="E140" s="21">
        <f t="shared" si="23"/>
        <v>1</v>
      </c>
      <c r="F140" s="2566">
        <f>铂郡面积表!Q77</f>
        <v>0</v>
      </c>
      <c r="G140" s="21">
        <f t="shared" si="24"/>
        <v>0</v>
      </c>
      <c r="H140" s="631"/>
      <c r="I140" s="21">
        <f t="shared" si="25"/>
        <v>1</v>
      </c>
      <c r="J140" s="631"/>
      <c r="K140" s="21">
        <f t="shared" si="26"/>
        <v>1</v>
      </c>
      <c r="L140" s="631"/>
      <c r="M140" s="21">
        <f t="shared" si="27"/>
        <v>1</v>
      </c>
      <c r="N140" s="631"/>
      <c r="O140" s="21">
        <f t="shared" si="28"/>
        <v>1</v>
      </c>
      <c r="P140" s="2566">
        <f>铂郡面积表!K77</f>
        <v>0</v>
      </c>
      <c r="Q140" s="21">
        <f t="shared" si="29"/>
        <v>1</v>
      </c>
      <c r="R140" s="21">
        <f t="shared" si="30"/>
        <v>0</v>
      </c>
      <c r="S140" s="307">
        <f t="shared" si="31"/>
        <v>0</v>
      </c>
    </row>
    <row r="141" spans="1:19">
      <c r="A141" s="629"/>
      <c r="B141" s="629"/>
      <c r="C141" s="21"/>
      <c r="D141" s="2566"/>
      <c r="E141" s="21">
        <f t="shared" si="23"/>
        <v>1</v>
      </c>
      <c r="F141" s="2566">
        <f>铂郡面积表!Q78</f>
        <v>0</v>
      </c>
      <c r="G141" s="21">
        <f t="shared" si="24"/>
        <v>0</v>
      </c>
      <c r="H141" s="631"/>
      <c r="I141" s="21">
        <f t="shared" si="25"/>
        <v>1</v>
      </c>
      <c r="J141" s="631"/>
      <c r="K141" s="21">
        <f t="shared" si="26"/>
        <v>1</v>
      </c>
      <c r="L141" s="631"/>
      <c r="M141" s="21">
        <f t="shared" si="27"/>
        <v>1</v>
      </c>
      <c r="N141" s="631"/>
      <c r="O141" s="21">
        <f t="shared" si="28"/>
        <v>1</v>
      </c>
      <c r="P141" s="2566">
        <f>铂郡面积表!K78</f>
        <v>0</v>
      </c>
      <c r="Q141" s="21">
        <f t="shared" si="29"/>
        <v>1</v>
      </c>
      <c r="R141" s="21">
        <f t="shared" si="30"/>
        <v>0</v>
      </c>
      <c r="S141" s="307">
        <f t="shared" si="31"/>
        <v>0</v>
      </c>
    </row>
    <row r="142" spans="1:19">
      <c r="A142" s="629"/>
      <c r="B142" s="629"/>
      <c r="C142" s="21"/>
      <c r="D142" s="2566"/>
      <c r="E142" s="21">
        <f t="shared" si="23"/>
        <v>1</v>
      </c>
      <c r="F142" s="2566">
        <f>铂郡面积表!Q79</f>
        <v>0</v>
      </c>
      <c r="G142" s="21">
        <f t="shared" si="24"/>
        <v>0</v>
      </c>
      <c r="H142" s="631"/>
      <c r="I142" s="21">
        <f t="shared" si="25"/>
        <v>1</v>
      </c>
      <c r="J142" s="631"/>
      <c r="K142" s="21">
        <f t="shared" si="26"/>
        <v>1</v>
      </c>
      <c r="L142" s="631"/>
      <c r="M142" s="21">
        <f t="shared" si="27"/>
        <v>1</v>
      </c>
      <c r="N142" s="631"/>
      <c r="O142" s="21">
        <f t="shared" si="28"/>
        <v>1</v>
      </c>
      <c r="P142" s="2566">
        <f>铂郡面积表!K79</f>
        <v>0</v>
      </c>
      <c r="Q142" s="21">
        <f t="shared" si="29"/>
        <v>1</v>
      </c>
      <c r="R142" s="21">
        <f t="shared" si="30"/>
        <v>0</v>
      </c>
      <c r="S142" s="307">
        <f t="shared" si="31"/>
        <v>0</v>
      </c>
    </row>
    <row r="143" spans="1:19">
      <c r="A143" s="629"/>
      <c r="B143" s="629"/>
      <c r="C143" s="21"/>
      <c r="D143" s="2566"/>
      <c r="E143" s="21">
        <f t="shared" si="23"/>
        <v>1</v>
      </c>
      <c r="F143" s="2566">
        <f>铂郡面积表!Q80</f>
        <v>0</v>
      </c>
      <c r="G143" s="21">
        <f t="shared" si="24"/>
        <v>0</v>
      </c>
      <c r="H143" s="631"/>
      <c r="I143" s="21">
        <f t="shared" si="25"/>
        <v>1</v>
      </c>
      <c r="J143" s="631"/>
      <c r="K143" s="21">
        <f t="shared" si="26"/>
        <v>1</v>
      </c>
      <c r="L143" s="631"/>
      <c r="M143" s="21">
        <f t="shared" si="27"/>
        <v>1</v>
      </c>
      <c r="N143" s="631"/>
      <c r="O143" s="21">
        <f t="shared" si="28"/>
        <v>1</v>
      </c>
      <c r="P143" s="2566">
        <f>铂郡面积表!K80</f>
        <v>0</v>
      </c>
      <c r="Q143" s="21">
        <f t="shared" si="29"/>
        <v>1</v>
      </c>
      <c r="R143" s="21">
        <f t="shared" si="30"/>
        <v>0</v>
      </c>
      <c r="S143" s="307">
        <f t="shared" si="31"/>
        <v>0</v>
      </c>
    </row>
    <row r="144" spans="1:19">
      <c r="A144" s="629"/>
      <c r="B144" s="629"/>
      <c r="C144" s="21"/>
      <c r="D144" s="2566"/>
      <c r="E144" s="21">
        <f t="shared" si="23"/>
        <v>1</v>
      </c>
      <c r="F144" s="2566">
        <f>铂郡面积表!Q81</f>
        <v>0</v>
      </c>
      <c r="G144" s="21">
        <f t="shared" si="24"/>
        <v>0</v>
      </c>
      <c r="H144" s="631"/>
      <c r="I144" s="21">
        <f t="shared" si="25"/>
        <v>1</v>
      </c>
      <c r="J144" s="631"/>
      <c r="K144" s="21">
        <f t="shared" si="26"/>
        <v>1</v>
      </c>
      <c r="L144" s="631"/>
      <c r="M144" s="21">
        <f t="shared" si="27"/>
        <v>1</v>
      </c>
      <c r="N144" s="631"/>
      <c r="O144" s="21">
        <f t="shared" si="28"/>
        <v>1</v>
      </c>
      <c r="P144" s="2566">
        <f>铂郡面积表!K81</f>
        <v>0</v>
      </c>
      <c r="Q144" s="21">
        <f t="shared" si="29"/>
        <v>1</v>
      </c>
      <c r="R144" s="21">
        <f t="shared" si="30"/>
        <v>0</v>
      </c>
      <c r="S144" s="307">
        <f t="shared" si="31"/>
        <v>0</v>
      </c>
    </row>
    <row r="145" spans="1:19">
      <c r="A145" s="629"/>
      <c r="B145" s="629"/>
      <c r="C145" s="21"/>
      <c r="D145" s="2566"/>
      <c r="E145" s="21">
        <f t="shared" si="23"/>
        <v>1</v>
      </c>
      <c r="F145" s="2566">
        <f>铂郡面积表!Q82</f>
        <v>0</v>
      </c>
      <c r="G145" s="21">
        <f t="shared" si="24"/>
        <v>0</v>
      </c>
      <c r="H145" s="631"/>
      <c r="I145" s="21">
        <f t="shared" si="25"/>
        <v>1</v>
      </c>
      <c r="J145" s="631"/>
      <c r="K145" s="21">
        <f t="shared" si="26"/>
        <v>1</v>
      </c>
      <c r="L145" s="631"/>
      <c r="M145" s="21">
        <f t="shared" si="27"/>
        <v>1</v>
      </c>
      <c r="N145" s="631"/>
      <c r="O145" s="21">
        <f t="shared" si="28"/>
        <v>1</v>
      </c>
      <c r="P145" s="2566">
        <f>铂郡面积表!K82</f>
        <v>0</v>
      </c>
      <c r="Q145" s="21">
        <f t="shared" si="29"/>
        <v>1</v>
      </c>
      <c r="R145" s="21">
        <f t="shared" si="30"/>
        <v>0</v>
      </c>
      <c r="S145" s="307">
        <f t="shared" si="31"/>
        <v>0</v>
      </c>
    </row>
    <row r="146" spans="1:19">
      <c r="A146" s="629"/>
      <c r="B146" s="629"/>
      <c r="C146" s="21"/>
      <c r="D146" s="2566"/>
      <c r="E146" s="21">
        <f t="shared" si="23"/>
        <v>1</v>
      </c>
      <c r="F146" s="2566">
        <f>铂郡面积表!Q83</f>
        <v>0</v>
      </c>
      <c r="G146" s="21">
        <f t="shared" si="24"/>
        <v>0</v>
      </c>
      <c r="H146" s="631"/>
      <c r="I146" s="21">
        <f t="shared" si="25"/>
        <v>1</v>
      </c>
      <c r="J146" s="631"/>
      <c r="K146" s="21">
        <f t="shared" si="26"/>
        <v>1</v>
      </c>
      <c r="L146" s="631"/>
      <c r="M146" s="21">
        <f t="shared" si="27"/>
        <v>1</v>
      </c>
      <c r="N146" s="631"/>
      <c r="O146" s="21">
        <f t="shared" si="28"/>
        <v>1</v>
      </c>
      <c r="P146" s="2566">
        <f>铂郡面积表!K83</f>
        <v>0</v>
      </c>
      <c r="Q146" s="21">
        <f t="shared" si="29"/>
        <v>1</v>
      </c>
      <c r="R146" s="21">
        <f t="shared" si="30"/>
        <v>0</v>
      </c>
      <c r="S146" s="307">
        <f t="shared" si="31"/>
        <v>0</v>
      </c>
    </row>
    <row r="147" spans="1:19">
      <c r="A147" s="629"/>
      <c r="B147" s="629"/>
      <c r="C147" s="21"/>
      <c r="D147" s="2566"/>
      <c r="E147" s="21">
        <f t="shared" si="23"/>
        <v>1</v>
      </c>
      <c r="F147" s="2566">
        <f>铂郡面积表!Q84</f>
        <v>0</v>
      </c>
      <c r="G147" s="21">
        <f t="shared" si="24"/>
        <v>0</v>
      </c>
      <c r="H147" s="631"/>
      <c r="I147" s="21">
        <f t="shared" si="25"/>
        <v>1</v>
      </c>
      <c r="J147" s="631"/>
      <c r="K147" s="21">
        <f t="shared" si="26"/>
        <v>1</v>
      </c>
      <c r="L147" s="631"/>
      <c r="M147" s="21">
        <f t="shared" si="27"/>
        <v>1</v>
      </c>
      <c r="N147" s="631"/>
      <c r="O147" s="21">
        <f t="shared" si="28"/>
        <v>1</v>
      </c>
      <c r="P147" s="2566">
        <f>铂郡面积表!K84</f>
        <v>0</v>
      </c>
      <c r="Q147" s="21">
        <f t="shared" si="29"/>
        <v>1</v>
      </c>
      <c r="R147" s="21">
        <f t="shared" si="30"/>
        <v>0</v>
      </c>
      <c r="S147" s="307">
        <f t="shared" si="31"/>
        <v>0</v>
      </c>
    </row>
    <row r="148" spans="1:19">
      <c r="A148" s="629"/>
      <c r="B148" s="629"/>
      <c r="C148" s="21"/>
      <c r="D148" s="2566"/>
      <c r="E148" s="21">
        <f t="shared" si="23"/>
        <v>1</v>
      </c>
      <c r="F148" s="2566">
        <f>铂郡面积表!Q85</f>
        <v>0</v>
      </c>
      <c r="G148" s="21">
        <f t="shared" si="24"/>
        <v>0</v>
      </c>
      <c r="H148" s="631"/>
      <c r="I148" s="21">
        <f t="shared" si="25"/>
        <v>1</v>
      </c>
      <c r="J148" s="631"/>
      <c r="K148" s="21">
        <f t="shared" si="26"/>
        <v>1</v>
      </c>
      <c r="L148" s="631"/>
      <c r="M148" s="21">
        <f t="shared" si="27"/>
        <v>1</v>
      </c>
      <c r="N148" s="631"/>
      <c r="O148" s="21">
        <f t="shared" si="28"/>
        <v>1</v>
      </c>
      <c r="P148" s="2566">
        <f>铂郡面积表!K85</f>
        <v>0</v>
      </c>
      <c r="Q148" s="21">
        <f t="shared" si="29"/>
        <v>1</v>
      </c>
      <c r="R148" s="21">
        <f t="shared" si="30"/>
        <v>0</v>
      </c>
      <c r="S148" s="307">
        <f t="shared" si="31"/>
        <v>0</v>
      </c>
    </row>
    <row r="149" spans="1:19">
      <c r="A149" s="629"/>
      <c r="B149" s="629"/>
      <c r="C149" s="21"/>
      <c r="D149" s="2566"/>
      <c r="E149" s="21">
        <f t="shared" si="23"/>
        <v>1</v>
      </c>
      <c r="F149" s="2566">
        <f>铂郡面积表!Q86</f>
        <v>0</v>
      </c>
      <c r="G149" s="21">
        <f t="shared" si="24"/>
        <v>0</v>
      </c>
      <c r="H149" s="631"/>
      <c r="I149" s="21">
        <f t="shared" si="25"/>
        <v>1</v>
      </c>
      <c r="J149" s="631"/>
      <c r="K149" s="21">
        <f t="shared" si="26"/>
        <v>1</v>
      </c>
      <c r="L149" s="631"/>
      <c r="M149" s="21">
        <f t="shared" si="27"/>
        <v>1</v>
      </c>
      <c r="N149" s="631"/>
      <c r="O149" s="21">
        <f t="shared" si="28"/>
        <v>1</v>
      </c>
      <c r="P149" s="2566">
        <f>铂郡面积表!K86</f>
        <v>0</v>
      </c>
      <c r="Q149" s="21">
        <f t="shared" si="29"/>
        <v>1</v>
      </c>
      <c r="R149" s="21">
        <f t="shared" si="30"/>
        <v>0</v>
      </c>
      <c r="S149" s="307">
        <f t="shared" si="31"/>
        <v>0</v>
      </c>
    </row>
    <row r="150" spans="1:19">
      <c r="A150" s="629"/>
      <c r="B150" s="629"/>
      <c r="C150" s="21"/>
      <c r="D150" s="2566"/>
      <c r="E150" s="21">
        <f t="shared" si="23"/>
        <v>1</v>
      </c>
      <c r="F150" s="2566">
        <f>铂郡面积表!Q87</f>
        <v>0</v>
      </c>
      <c r="G150" s="21">
        <f t="shared" si="24"/>
        <v>0</v>
      </c>
      <c r="H150" s="631"/>
      <c r="I150" s="21">
        <f t="shared" si="25"/>
        <v>1</v>
      </c>
      <c r="J150" s="631"/>
      <c r="K150" s="21">
        <f t="shared" si="26"/>
        <v>1</v>
      </c>
      <c r="L150" s="631"/>
      <c r="M150" s="21">
        <f t="shared" si="27"/>
        <v>1</v>
      </c>
      <c r="N150" s="631"/>
      <c r="O150" s="21">
        <f t="shared" si="28"/>
        <v>1</v>
      </c>
      <c r="P150" s="2566">
        <f>铂郡面积表!K87</f>
        <v>0</v>
      </c>
      <c r="Q150" s="21">
        <f t="shared" si="29"/>
        <v>1</v>
      </c>
      <c r="R150" s="21">
        <f t="shared" si="30"/>
        <v>0</v>
      </c>
      <c r="S150" s="307">
        <f t="shared" si="31"/>
        <v>0</v>
      </c>
    </row>
    <row r="151" spans="1:19">
      <c r="A151" s="629"/>
      <c r="B151" s="629"/>
      <c r="C151" s="21"/>
      <c r="D151" s="2566"/>
      <c r="E151" s="21">
        <f t="shared" si="23"/>
        <v>1</v>
      </c>
      <c r="F151" s="2566">
        <f>铂郡面积表!Q88</f>
        <v>0</v>
      </c>
      <c r="G151" s="21">
        <f t="shared" si="24"/>
        <v>0</v>
      </c>
      <c r="H151" s="631"/>
      <c r="I151" s="21">
        <f t="shared" si="25"/>
        <v>1</v>
      </c>
      <c r="J151" s="631"/>
      <c r="K151" s="21">
        <f t="shared" si="26"/>
        <v>1</v>
      </c>
      <c r="L151" s="631"/>
      <c r="M151" s="21">
        <f t="shared" si="27"/>
        <v>1</v>
      </c>
      <c r="N151" s="631"/>
      <c r="O151" s="21">
        <f t="shared" si="28"/>
        <v>1</v>
      </c>
      <c r="P151" s="2566">
        <f>铂郡面积表!K88</f>
        <v>0</v>
      </c>
      <c r="Q151" s="21">
        <f t="shared" si="29"/>
        <v>1</v>
      </c>
      <c r="R151" s="21">
        <f t="shared" si="30"/>
        <v>0</v>
      </c>
      <c r="S151" s="307">
        <f t="shared" si="31"/>
        <v>0</v>
      </c>
    </row>
    <row r="152" spans="1:19">
      <c r="A152" s="629"/>
      <c r="B152" s="629"/>
      <c r="C152" s="21"/>
      <c r="D152" s="2566"/>
      <c r="E152" s="21">
        <f t="shared" si="23"/>
        <v>1</v>
      </c>
      <c r="F152" s="2566">
        <f>铂郡面积表!Q89</f>
        <v>0</v>
      </c>
      <c r="G152" s="21">
        <f t="shared" si="24"/>
        <v>0</v>
      </c>
      <c r="H152" s="631"/>
      <c r="I152" s="21">
        <f t="shared" si="25"/>
        <v>1</v>
      </c>
      <c r="J152" s="631"/>
      <c r="K152" s="21">
        <f t="shared" si="26"/>
        <v>1</v>
      </c>
      <c r="L152" s="631"/>
      <c r="M152" s="21">
        <f t="shared" si="27"/>
        <v>1</v>
      </c>
      <c r="N152" s="631"/>
      <c r="O152" s="21">
        <f t="shared" si="28"/>
        <v>1</v>
      </c>
      <c r="P152" s="2566">
        <f>铂郡面积表!K89</f>
        <v>0</v>
      </c>
      <c r="Q152" s="21">
        <f t="shared" si="29"/>
        <v>1</v>
      </c>
      <c r="R152" s="21">
        <f t="shared" si="30"/>
        <v>0</v>
      </c>
      <c r="S152" s="307">
        <f t="shared" si="31"/>
        <v>0</v>
      </c>
    </row>
    <row r="153" spans="1:19">
      <c r="A153" s="629"/>
      <c r="B153" s="629"/>
      <c r="C153" s="21"/>
      <c r="D153" s="2566"/>
      <c r="E153" s="21">
        <f t="shared" si="23"/>
        <v>1</v>
      </c>
      <c r="F153" s="2566">
        <f>铂郡面积表!Q90</f>
        <v>0</v>
      </c>
      <c r="G153" s="21">
        <f t="shared" si="24"/>
        <v>0</v>
      </c>
      <c r="H153" s="631"/>
      <c r="I153" s="21">
        <f t="shared" si="25"/>
        <v>1</v>
      </c>
      <c r="J153" s="631"/>
      <c r="K153" s="21">
        <f t="shared" si="26"/>
        <v>1</v>
      </c>
      <c r="L153" s="631"/>
      <c r="M153" s="21">
        <f t="shared" si="27"/>
        <v>1</v>
      </c>
      <c r="N153" s="631"/>
      <c r="O153" s="21">
        <f t="shared" si="28"/>
        <v>1</v>
      </c>
      <c r="P153" s="2566">
        <f>铂郡面积表!K90</f>
        <v>0</v>
      </c>
      <c r="Q153" s="21">
        <f t="shared" si="29"/>
        <v>1</v>
      </c>
      <c r="R153" s="21">
        <f t="shared" si="30"/>
        <v>0</v>
      </c>
      <c r="S153" s="307">
        <f t="shared" si="31"/>
        <v>0</v>
      </c>
    </row>
    <row r="154" spans="1:19">
      <c r="A154" s="629"/>
      <c r="B154" s="629"/>
      <c r="C154" s="21"/>
      <c r="D154" s="2566"/>
      <c r="E154" s="21">
        <f t="shared" ref="E154:E217" si="32">(SUMIF($5:$5,D154,$6:$6)-SUMIF($5:$5,$D$24,$6:$6)+100)/100</f>
        <v>1</v>
      </c>
      <c r="F154" s="2566">
        <f>铂郡面积表!Q91</f>
        <v>0</v>
      </c>
      <c r="G154" s="21">
        <f t="shared" ref="G154:G217" si="33">(SUMIF($7:$7,F154,$8:$8)-SUMIF($7:$7,$F$24,$8:$8)+100)/100</f>
        <v>0</v>
      </c>
      <c r="H154" s="631"/>
      <c r="I154" s="21">
        <f t="shared" ref="I154:I217" si="34">(SUMIF($9:$9,H154,$10:$10)-SUMIF($9:$9,$H$24,$10:$10)+100)/100</f>
        <v>1</v>
      </c>
      <c r="J154" s="631"/>
      <c r="K154" s="21">
        <f t="shared" ref="K154:K217" si="35">(SUMIF($11:$11,J154,$12:$12)-SUMIF($11:$11,$J$24,$12:$12)+100)/100</f>
        <v>1</v>
      </c>
      <c r="L154" s="631"/>
      <c r="M154" s="21">
        <f t="shared" ref="M154:M217" si="36">(SUMIF($13:$13,L154,$14:$14)-SUMIF($13:$13,$L$24,$14:$14)+100)/100</f>
        <v>1</v>
      </c>
      <c r="N154" s="631"/>
      <c r="O154" s="21">
        <f t="shared" ref="O154:O217" si="37">(SUMIF($15:$15,N154,$16:$16)-SUMIF($15:$15,$N$24,$16:$16)+100)/100</f>
        <v>1</v>
      </c>
      <c r="P154" s="2566">
        <f>铂郡面积表!K91</f>
        <v>0</v>
      </c>
      <c r="Q154" s="21">
        <f t="shared" ref="Q154:Q217" si="38">(SUMIF($17:$17,P154,$18:$18)-SUMIF($17:$17,$P$24,$18:$18)+100)/100</f>
        <v>1</v>
      </c>
      <c r="R154" s="21">
        <f t="shared" ref="R154:R217" si="39">IF(B154="",0,ROUND($R$24*C154*E154*G154*I154*K154*M154*O154*Q154,1))</f>
        <v>0</v>
      </c>
      <c r="S154" s="307">
        <f t="shared" si="31"/>
        <v>0</v>
      </c>
    </row>
    <row r="155" spans="1:19">
      <c r="A155" s="629"/>
      <c r="B155" s="629"/>
      <c r="C155" s="21"/>
      <c r="D155" s="2566"/>
      <c r="E155" s="21">
        <f t="shared" si="32"/>
        <v>1</v>
      </c>
      <c r="F155" s="2566">
        <f>铂郡面积表!Q92</f>
        <v>0</v>
      </c>
      <c r="G155" s="21">
        <f t="shared" si="33"/>
        <v>0</v>
      </c>
      <c r="H155" s="631"/>
      <c r="I155" s="21">
        <f t="shared" si="34"/>
        <v>1</v>
      </c>
      <c r="J155" s="631"/>
      <c r="K155" s="21">
        <f t="shared" si="35"/>
        <v>1</v>
      </c>
      <c r="L155" s="631"/>
      <c r="M155" s="21">
        <f t="shared" si="36"/>
        <v>1</v>
      </c>
      <c r="N155" s="631"/>
      <c r="O155" s="21">
        <f t="shared" si="37"/>
        <v>1</v>
      </c>
      <c r="P155" s="2566">
        <f>铂郡面积表!K92</f>
        <v>0</v>
      </c>
      <c r="Q155" s="21">
        <f t="shared" si="38"/>
        <v>1</v>
      </c>
      <c r="R155" s="21">
        <f t="shared" si="39"/>
        <v>0</v>
      </c>
      <c r="S155" s="307">
        <f t="shared" si="31"/>
        <v>0</v>
      </c>
    </row>
    <row r="156" spans="1:19">
      <c r="A156" s="629"/>
      <c r="B156" s="629"/>
      <c r="C156" s="21"/>
      <c r="D156" s="2566"/>
      <c r="E156" s="21">
        <f t="shared" si="32"/>
        <v>1</v>
      </c>
      <c r="F156" s="2566">
        <f>铂郡面积表!Q93</f>
        <v>0</v>
      </c>
      <c r="G156" s="21">
        <f t="shared" si="33"/>
        <v>0</v>
      </c>
      <c r="H156" s="631"/>
      <c r="I156" s="21">
        <f t="shared" si="34"/>
        <v>1</v>
      </c>
      <c r="J156" s="631"/>
      <c r="K156" s="21">
        <f t="shared" si="35"/>
        <v>1</v>
      </c>
      <c r="L156" s="631"/>
      <c r="M156" s="21">
        <f t="shared" si="36"/>
        <v>1</v>
      </c>
      <c r="N156" s="631"/>
      <c r="O156" s="21">
        <f t="shared" si="37"/>
        <v>1</v>
      </c>
      <c r="P156" s="2566">
        <f>铂郡面积表!K93</f>
        <v>0</v>
      </c>
      <c r="Q156" s="21">
        <f t="shared" si="38"/>
        <v>1</v>
      </c>
      <c r="R156" s="21">
        <f t="shared" si="39"/>
        <v>0</v>
      </c>
      <c r="S156" s="307">
        <f t="shared" si="31"/>
        <v>0</v>
      </c>
    </row>
    <row r="157" spans="1:19">
      <c r="A157" s="629"/>
      <c r="B157" s="629"/>
      <c r="C157" s="21"/>
      <c r="D157" s="2566"/>
      <c r="E157" s="21">
        <f t="shared" si="32"/>
        <v>1</v>
      </c>
      <c r="F157" s="2566">
        <f>铂郡面积表!Q94</f>
        <v>0</v>
      </c>
      <c r="G157" s="21">
        <f t="shared" si="33"/>
        <v>0</v>
      </c>
      <c r="H157" s="631"/>
      <c r="I157" s="21">
        <f t="shared" si="34"/>
        <v>1</v>
      </c>
      <c r="J157" s="631"/>
      <c r="K157" s="21">
        <f t="shared" si="35"/>
        <v>1</v>
      </c>
      <c r="L157" s="631"/>
      <c r="M157" s="21">
        <f t="shared" si="36"/>
        <v>1</v>
      </c>
      <c r="N157" s="631"/>
      <c r="O157" s="21">
        <f t="shared" si="37"/>
        <v>1</v>
      </c>
      <c r="P157" s="2566">
        <f>铂郡面积表!K94</f>
        <v>0</v>
      </c>
      <c r="Q157" s="21">
        <f t="shared" si="38"/>
        <v>1</v>
      </c>
      <c r="R157" s="21">
        <f t="shared" si="39"/>
        <v>0</v>
      </c>
      <c r="S157" s="307">
        <f t="shared" si="31"/>
        <v>0</v>
      </c>
    </row>
    <row r="158" spans="1:19">
      <c r="A158" s="629"/>
      <c r="B158" s="629"/>
      <c r="C158" s="21"/>
      <c r="D158" s="2566"/>
      <c r="E158" s="21">
        <f t="shared" si="32"/>
        <v>1</v>
      </c>
      <c r="F158" s="2566">
        <f>铂郡面积表!Q95</f>
        <v>0</v>
      </c>
      <c r="G158" s="21">
        <f t="shared" si="33"/>
        <v>0</v>
      </c>
      <c r="H158" s="631"/>
      <c r="I158" s="21">
        <f t="shared" si="34"/>
        <v>1</v>
      </c>
      <c r="J158" s="631"/>
      <c r="K158" s="21">
        <f t="shared" si="35"/>
        <v>1</v>
      </c>
      <c r="L158" s="631"/>
      <c r="M158" s="21">
        <f t="shared" si="36"/>
        <v>1</v>
      </c>
      <c r="N158" s="631"/>
      <c r="O158" s="21">
        <f t="shared" si="37"/>
        <v>1</v>
      </c>
      <c r="P158" s="2566">
        <f>铂郡面积表!K95</f>
        <v>0</v>
      </c>
      <c r="Q158" s="21">
        <f t="shared" si="38"/>
        <v>1</v>
      </c>
      <c r="R158" s="21">
        <f t="shared" si="39"/>
        <v>0</v>
      </c>
      <c r="S158" s="307">
        <f t="shared" si="31"/>
        <v>0</v>
      </c>
    </row>
    <row r="159" spans="1:19">
      <c r="A159" s="629"/>
      <c r="B159" s="629"/>
      <c r="C159" s="21"/>
      <c r="D159" s="2566"/>
      <c r="E159" s="21">
        <f t="shared" si="32"/>
        <v>1</v>
      </c>
      <c r="F159" s="2566">
        <f>铂郡面积表!Q96</f>
        <v>0</v>
      </c>
      <c r="G159" s="21">
        <f t="shared" si="33"/>
        <v>0</v>
      </c>
      <c r="H159" s="631"/>
      <c r="I159" s="21">
        <f t="shared" si="34"/>
        <v>1</v>
      </c>
      <c r="J159" s="631"/>
      <c r="K159" s="21">
        <f t="shared" si="35"/>
        <v>1</v>
      </c>
      <c r="L159" s="631"/>
      <c r="M159" s="21">
        <f t="shared" si="36"/>
        <v>1</v>
      </c>
      <c r="N159" s="631"/>
      <c r="O159" s="21">
        <f t="shared" si="37"/>
        <v>1</v>
      </c>
      <c r="P159" s="2566">
        <f>铂郡面积表!K96</f>
        <v>0</v>
      </c>
      <c r="Q159" s="21">
        <f t="shared" si="38"/>
        <v>1</v>
      </c>
      <c r="R159" s="21">
        <f t="shared" si="39"/>
        <v>0</v>
      </c>
      <c r="S159" s="307">
        <f t="shared" si="31"/>
        <v>0</v>
      </c>
    </row>
    <row r="160" spans="1:19">
      <c r="A160" s="629"/>
      <c r="B160" s="629"/>
      <c r="C160" s="21"/>
      <c r="D160" s="2566"/>
      <c r="E160" s="21">
        <f t="shared" si="32"/>
        <v>1</v>
      </c>
      <c r="F160" s="2566">
        <f>铂郡面积表!Q97</f>
        <v>0</v>
      </c>
      <c r="G160" s="21">
        <f t="shared" si="33"/>
        <v>0</v>
      </c>
      <c r="H160" s="631"/>
      <c r="I160" s="21">
        <f t="shared" si="34"/>
        <v>1</v>
      </c>
      <c r="J160" s="631"/>
      <c r="K160" s="21">
        <f t="shared" si="35"/>
        <v>1</v>
      </c>
      <c r="L160" s="631"/>
      <c r="M160" s="21">
        <f t="shared" si="36"/>
        <v>1</v>
      </c>
      <c r="N160" s="631"/>
      <c r="O160" s="21">
        <f t="shared" si="37"/>
        <v>1</v>
      </c>
      <c r="P160" s="2566">
        <f>铂郡面积表!K97</f>
        <v>0</v>
      </c>
      <c r="Q160" s="21">
        <f t="shared" si="38"/>
        <v>1</v>
      </c>
      <c r="R160" s="21">
        <f t="shared" si="39"/>
        <v>0</v>
      </c>
      <c r="S160" s="307">
        <f t="shared" si="31"/>
        <v>0</v>
      </c>
    </row>
    <row r="161" spans="1:19">
      <c r="A161" s="629"/>
      <c r="B161" s="629"/>
      <c r="C161" s="21"/>
      <c r="D161" s="2566"/>
      <c r="E161" s="21">
        <f t="shared" si="32"/>
        <v>1</v>
      </c>
      <c r="F161" s="2566">
        <f>铂郡面积表!Q98</f>
        <v>0</v>
      </c>
      <c r="G161" s="21">
        <f t="shared" si="33"/>
        <v>0</v>
      </c>
      <c r="H161" s="631"/>
      <c r="I161" s="21">
        <f t="shared" si="34"/>
        <v>1</v>
      </c>
      <c r="J161" s="631"/>
      <c r="K161" s="21">
        <f t="shared" si="35"/>
        <v>1</v>
      </c>
      <c r="L161" s="631"/>
      <c r="M161" s="21">
        <f t="shared" si="36"/>
        <v>1</v>
      </c>
      <c r="N161" s="631"/>
      <c r="O161" s="21">
        <f t="shared" si="37"/>
        <v>1</v>
      </c>
      <c r="P161" s="2566">
        <f>铂郡面积表!K98</f>
        <v>0</v>
      </c>
      <c r="Q161" s="21">
        <f t="shared" si="38"/>
        <v>1</v>
      </c>
      <c r="R161" s="21">
        <f t="shared" si="39"/>
        <v>0</v>
      </c>
      <c r="S161" s="307">
        <f t="shared" si="31"/>
        <v>0</v>
      </c>
    </row>
    <row r="162" spans="1:19">
      <c r="A162" s="629"/>
      <c r="B162" s="629"/>
      <c r="C162" s="21"/>
      <c r="D162" s="2566"/>
      <c r="E162" s="21">
        <f t="shared" si="32"/>
        <v>1</v>
      </c>
      <c r="F162" s="2566">
        <f>铂郡面积表!Q99</f>
        <v>0</v>
      </c>
      <c r="G162" s="21">
        <f t="shared" si="33"/>
        <v>0</v>
      </c>
      <c r="H162" s="631"/>
      <c r="I162" s="21">
        <f t="shared" si="34"/>
        <v>1</v>
      </c>
      <c r="J162" s="631"/>
      <c r="K162" s="21">
        <f t="shared" si="35"/>
        <v>1</v>
      </c>
      <c r="L162" s="631"/>
      <c r="M162" s="21">
        <f t="shared" si="36"/>
        <v>1</v>
      </c>
      <c r="N162" s="631"/>
      <c r="O162" s="21">
        <f t="shared" si="37"/>
        <v>1</v>
      </c>
      <c r="P162" s="2566">
        <f>铂郡面积表!K99</f>
        <v>0</v>
      </c>
      <c r="Q162" s="21">
        <f t="shared" si="38"/>
        <v>1</v>
      </c>
      <c r="R162" s="21">
        <f t="shared" si="39"/>
        <v>0</v>
      </c>
      <c r="S162" s="307">
        <f t="shared" si="31"/>
        <v>0</v>
      </c>
    </row>
    <row r="163" spans="1:19">
      <c r="A163" s="629"/>
      <c r="B163" s="629"/>
      <c r="C163" s="21"/>
      <c r="D163" s="2566"/>
      <c r="E163" s="21">
        <f t="shared" si="32"/>
        <v>1</v>
      </c>
      <c r="F163" s="2566">
        <f>铂郡面积表!Q100</f>
        <v>0</v>
      </c>
      <c r="G163" s="21">
        <f t="shared" si="33"/>
        <v>0</v>
      </c>
      <c r="H163" s="631"/>
      <c r="I163" s="21">
        <f t="shared" si="34"/>
        <v>1</v>
      </c>
      <c r="J163" s="631"/>
      <c r="K163" s="21">
        <f t="shared" si="35"/>
        <v>1</v>
      </c>
      <c r="L163" s="631"/>
      <c r="M163" s="21">
        <f t="shared" si="36"/>
        <v>1</v>
      </c>
      <c r="N163" s="631"/>
      <c r="O163" s="21">
        <f t="shared" si="37"/>
        <v>1</v>
      </c>
      <c r="P163" s="2566">
        <f>铂郡面积表!K100</f>
        <v>0</v>
      </c>
      <c r="Q163" s="21">
        <f t="shared" si="38"/>
        <v>1</v>
      </c>
      <c r="R163" s="21">
        <f t="shared" si="39"/>
        <v>0</v>
      </c>
      <c r="S163" s="307">
        <f t="shared" si="31"/>
        <v>0</v>
      </c>
    </row>
    <row r="164" spans="1:19">
      <c r="A164" s="629"/>
      <c r="B164" s="629"/>
      <c r="C164" s="21"/>
      <c r="D164" s="2566"/>
      <c r="E164" s="21">
        <f t="shared" si="32"/>
        <v>1</v>
      </c>
      <c r="F164" s="2566">
        <f>铂郡面积表!Q101</f>
        <v>0</v>
      </c>
      <c r="G164" s="21">
        <f t="shared" si="33"/>
        <v>0</v>
      </c>
      <c r="H164" s="631"/>
      <c r="I164" s="21">
        <f t="shared" si="34"/>
        <v>1</v>
      </c>
      <c r="J164" s="631"/>
      <c r="K164" s="21">
        <f t="shared" si="35"/>
        <v>1</v>
      </c>
      <c r="L164" s="631"/>
      <c r="M164" s="21">
        <f t="shared" si="36"/>
        <v>1</v>
      </c>
      <c r="N164" s="631"/>
      <c r="O164" s="21">
        <f t="shared" si="37"/>
        <v>1</v>
      </c>
      <c r="P164" s="2566">
        <f>铂郡面积表!K101</f>
        <v>0</v>
      </c>
      <c r="Q164" s="21">
        <f t="shared" si="38"/>
        <v>1</v>
      </c>
      <c r="R164" s="21">
        <f t="shared" si="39"/>
        <v>0</v>
      </c>
      <c r="S164" s="307">
        <f t="shared" si="31"/>
        <v>0</v>
      </c>
    </row>
    <row r="165" spans="1:19">
      <c r="A165" s="629"/>
      <c r="B165" s="629"/>
      <c r="C165" s="21"/>
      <c r="D165" s="2566"/>
      <c r="E165" s="21">
        <f t="shared" si="32"/>
        <v>1</v>
      </c>
      <c r="F165" s="2566">
        <f>铂郡面积表!Q102</f>
        <v>0</v>
      </c>
      <c r="G165" s="21">
        <f t="shared" si="33"/>
        <v>0</v>
      </c>
      <c r="H165" s="631"/>
      <c r="I165" s="21">
        <f t="shared" si="34"/>
        <v>1</v>
      </c>
      <c r="J165" s="631"/>
      <c r="K165" s="21">
        <f t="shared" si="35"/>
        <v>1</v>
      </c>
      <c r="L165" s="631"/>
      <c r="M165" s="21">
        <f t="shared" si="36"/>
        <v>1</v>
      </c>
      <c r="N165" s="631"/>
      <c r="O165" s="21">
        <f t="shared" si="37"/>
        <v>1</v>
      </c>
      <c r="P165" s="2566">
        <f>铂郡面积表!K102</f>
        <v>0</v>
      </c>
      <c r="Q165" s="21">
        <f t="shared" si="38"/>
        <v>1</v>
      </c>
      <c r="R165" s="21">
        <f t="shared" si="39"/>
        <v>0</v>
      </c>
      <c r="S165" s="307">
        <f t="shared" si="31"/>
        <v>0</v>
      </c>
    </row>
    <row r="166" spans="1:19">
      <c r="A166" s="629"/>
      <c r="B166" s="629"/>
      <c r="C166" s="21"/>
      <c r="D166" s="2566"/>
      <c r="E166" s="21">
        <f t="shared" si="32"/>
        <v>1</v>
      </c>
      <c r="F166" s="2566">
        <f>铂郡面积表!Q103</f>
        <v>0</v>
      </c>
      <c r="G166" s="21">
        <f t="shared" si="33"/>
        <v>0</v>
      </c>
      <c r="H166" s="631"/>
      <c r="I166" s="21">
        <f t="shared" si="34"/>
        <v>1</v>
      </c>
      <c r="J166" s="631"/>
      <c r="K166" s="21">
        <f t="shared" si="35"/>
        <v>1</v>
      </c>
      <c r="L166" s="631"/>
      <c r="M166" s="21">
        <f t="shared" si="36"/>
        <v>1</v>
      </c>
      <c r="N166" s="631"/>
      <c r="O166" s="21">
        <f t="shared" si="37"/>
        <v>1</v>
      </c>
      <c r="P166" s="2566">
        <f>铂郡面积表!K103</f>
        <v>0</v>
      </c>
      <c r="Q166" s="21">
        <f t="shared" si="38"/>
        <v>1</v>
      </c>
      <c r="R166" s="21">
        <f t="shared" si="39"/>
        <v>0</v>
      </c>
      <c r="S166" s="307">
        <f t="shared" si="31"/>
        <v>0</v>
      </c>
    </row>
    <row r="167" spans="1:19">
      <c r="A167" s="629"/>
      <c r="B167" s="629"/>
      <c r="C167" s="21"/>
      <c r="D167" s="2566"/>
      <c r="E167" s="21">
        <f t="shared" si="32"/>
        <v>1</v>
      </c>
      <c r="F167" s="2566">
        <f>铂郡面积表!Q104</f>
        <v>0</v>
      </c>
      <c r="G167" s="21">
        <f t="shared" si="33"/>
        <v>0</v>
      </c>
      <c r="H167" s="631"/>
      <c r="I167" s="21">
        <f t="shared" si="34"/>
        <v>1</v>
      </c>
      <c r="J167" s="631"/>
      <c r="K167" s="21">
        <f t="shared" si="35"/>
        <v>1</v>
      </c>
      <c r="L167" s="631"/>
      <c r="M167" s="21">
        <f t="shared" si="36"/>
        <v>1</v>
      </c>
      <c r="N167" s="631"/>
      <c r="O167" s="21">
        <f t="shared" si="37"/>
        <v>1</v>
      </c>
      <c r="P167" s="2566">
        <f>铂郡面积表!K104</f>
        <v>0</v>
      </c>
      <c r="Q167" s="21">
        <f t="shared" si="38"/>
        <v>1</v>
      </c>
      <c r="R167" s="21">
        <f t="shared" si="39"/>
        <v>0</v>
      </c>
      <c r="S167" s="307">
        <f t="shared" si="31"/>
        <v>0</v>
      </c>
    </row>
    <row r="168" spans="1:19">
      <c r="A168" s="629"/>
      <c r="B168" s="629"/>
      <c r="C168" s="21"/>
      <c r="D168" s="2566"/>
      <c r="E168" s="21">
        <f t="shared" si="32"/>
        <v>1</v>
      </c>
      <c r="F168" s="2566">
        <f>铂郡面积表!Q105</f>
        <v>0</v>
      </c>
      <c r="G168" s="21">
        <f t="shared" si="33"/>
        <v>0</v>
      </c>
      <c r="H168" s="631"/>
      <c r="I168" s="21">
        <f t="shared" si="34"/>
        <v>1</v>
      </c>
      <c r="J168" s="631"/>
      <c r="K168" s="21">
        <f t="shared" si="35"/>
        <v>1</v>
      </c>
      <c r="L168" s="631"/>
      <c r="M168" s="21">
        <f t="shared" si="36"/>
        <v>1</v>
      </c>
      <c r="N168" s="631"/>
      <c r="O168" s="21">
        <f t="shared" si="37"/>
        <v>1</v>
      </c>
      <c r="P168" s="2566">
        <f>铂郡面积表!K105</f>
        <v>0</v>
      </c>
      <c r="Q168" s="21">
        <f t="shared" si="38"/>
        <v>1</v>
      </c>
      <c r="R168" s="21">
        <f t="shared" si="39"/>
        <v>0</v>
      </c>
      <c r="S168" s="307">
        <f t="shared" si="31"/>
        <v>0</v>
      </c>
    </row>
    <row r="169" spans="1:19">
      <c r="A169" s="629"/>
      <c r="B169" s="629"/>
      <c r="C169" s="21"/>
      <c r="D169" s="2566"/>
      <c r="E169" s="21">
        <f t="shared" si="32"/>
        <v>1</v>
      </c>
      <c r="F169" s="2566">
        <f>铂郡面积表!Q106</f>
        <v>0</v>
      </c>
      <c r="G169" s="21">
        <f t="shared" si="33"/>
        <v>0</v>
      </c>
      <c r="H169" s="631"/>
      <c r="I169" s="21">
        <f t="shared" si="34"/>
        <v>1</v>
      </c>
      <c r="J169" s="631"/>
      <c r="K169" s="21">
        <f t="shared" si="35"/>
        <v>1</v>
      </c>
      <c r="L169" s="631"/>
      <c r="M169" s="21">
        <f t="shared" si="36"/>
        <v>1</v>
      </c>
      <c r="N169" s="631"/>
      <c r="O169" s="21">
        <f t="shared" si="37"/>
        <v>1</v>
      </c>
      <c r="P169" s="2566">
        <f>铂郡面积表!K106</f>
        <v>0</v>
      </c>
      <c r="Q169" s="21">
        <f t="shared" si="38"/>
        <v>1</v>
      </c>
      <c r="R169" s="21">
        <f t="shared" si="39"/>
        <v>0</v>
      </c>
      <c r="S169" s="307">
        <f t="shared" si="31"/>
        <v>0</v>
      </c>
    </row>
    <row r="170" spans="1:19">
      <c r="A170" s="629"/>
      <c r="B170" s="629"/>
      <c r="C170" s="21"/>
      <c r="D170" s="2566"/>
      <c r="E170" s="21">
        <f t="shared" si="32"/>
        <v>1</v>
      </c>
      <c r="F170" s="2566">
        <f>铂郡面积表!Q107</f>
        <v>0</v>
      </c>
      <c r="G170" s="21">
        <f t="shared" si="33"/>
        <v>0</v>
      </c>
      <c r="H170" s="631"/>
      <c r="I170" s="21">
        <f t="shared" si="34"/>
        <v>1</v>
      </c>
      <c r="J170" s="631"/>
      <c r="K170" s="21">
        <f t="shared" si="35"/>
        <v>1</v>
      </c>
      <c r="L170" s="631"/>
      <c r="M170" s="21">
        <f t="shared" si="36"/>
        <v>1</v>
      </c>
      <c r="N170" s="631"/>
      <c r="O170" s="21">
        <f t="shared" si="37"/>
        <v>1</v>
      </c>
      <c r="P170" s="2566">
        <f>铂郡面积表!K107</f>
        <v>0</v>
      </c>
      <c r="Q170" s="21">
        <f t="shared" si="38"/>
        <v>1</v>
      </c>
      <c r="R170" s="21">
        <f t="shared" si="39"/>
        <v>0</v>
      </c>
      <c r="S170" s="307">
        <f t="shared" si="31"/>
        <v>0</v>
      </c>
    </row>
    <row r="171" spans="1:19">
      <c r="A171" s="629"/>
      <c r="B171" s="629"/>
      <c r="C171" s="21"/>
      <c r="D171" s="2566"/>
      <c r="E171" s="21">
        <f t="shared" si="32"/>
        <v>1</v>
      </c>
      <c r="F171" s="2566">
        <f>铂郡面积表!Q108</f>
        <v>0</v>
      </c>
      <c r="G171" s="21">
        <f t="shared" si="33"/>
        <v>0</v>
      </c>
      <c r="H171" s="631"/>
      <c r="I171" s="21">
        <f t="shared" si="34"/>
        <v>1</v>
      </c>
      <c r="J171" s="631"/>
      <c r="K171" s="21">
        <f t="shared" si="35"/>
        <v>1</v>
      </c>
      <c r="L171" s="631"/>
      <c r="M171" s="21">
        <f t="shared" si="36"/>
        <v>1</v>
      </c>
      <c r="N171" s="631"/>
      <c r="O171" s="21">
        <f t="shared" si="37"/>
        <v>1</v>
      </c>
      <c r="P171" s="2566">
        <f>铂郡面积表!K108</f>
        <v>0</v>
      </c>
      <c r="Q171" s="21">
        <f t="shared" si="38"/>
        <v>1</v>
      </c>
      <c r="R171" s="21">
        <f t="shared" si="39"/>
        <v>0</v>
      </c>
      <c r="S171" s="307">
        <f t="shared" si="31"/>
        <v>0</v>
      </c>
    </row>
    <row r="172" spans="1:19">
      <c r="A172" s="629"/>
      <c r="B172" s="629"/>
      <c r="C172" s="21"/>
      <c r="D172" s="2566"/>
      <c r="E172" s="21">
        <f t="shared" si="32"/>
        <v>1</v>
      </c>
      <c r="F172" s="2566">
        <f>铂郡面积表!Q109</f>
        <v>0</v>
      </c>
      <c r="G172" s="21">
        <f t="shared" si="33"/>
        <v>0</v>
      </c>
      <c r="H172" s="631"/>
      <c r="I172" s="21">
        <f t="shared" si="34"/>
        <v>1</v>
      </c>
      <c r="J172" s="631"/>
      <c r="K172" s="21">
        <f t="shared" si="35"/>
        <v>1</v>
      </c>
      <c r="L172" s="631"/>
      <c r="M172" s="21">
        <f t="shared" si="36"/>
        <v>1</v>
      </c>
      <c r="N172" s="631"/>
      <c r="O172" s="21">
        <f t="shared" si="37"/>
        <v>1</v>
      </c>
      <c r="P172" s="2566">
        <f>铂郡面积表!K109</f>
        <v>0</v>
      </c>
      <c r="Q172" s="21">
        <f t="shared" si="38"/>
        <v>1</v>
      </c>
      <c r="R172" s="21">
        <f t="shared" si="39"/>
        <v>0</v>
      </c>
      <c r="S172" s="307">
        <f t="shared" si="31"/>
        <v>0</v>
      </c>
    </row>
    <row r="173" spans="1:19">
      <c r="A173" s="629"/>
      <c r="B173" s="629"/>
      <c r="C173" s="21"/>
      <c r="D173" s="2566"/>
      <c r="E173" s="21">
        <f t="shared" si="32"/>
        <v>1</v>
      </c>
      <c r="F173" s="2566">
        <f>铂郡面积表!Q110</f>
        <v>0</v>
      </c>
      <c r="G173" s="21">
        <f t="shared" si="33"/>
        <v>0</v>
      </c>
      <c r="H173" s="631"/>
      <c r="I173" s="21">
        <f t="shared" si="34"/>
        <v>1</v>
      </c>
      <c r="J173" s="631"/>
      <c r="K173" s="21">
        <f t="shared" si="35"/>
        <v>1</v>
      </c>
      <c r="L173" s="631"/>
      <c r="M173" s="21">
        <f t="shared" si="36"/>
        <v>1</v>
      </c>
      <c r="N173" s="631"/>
      <c r="O173" s="21">
        <f t="shared" si="37"/>
        <v>1</v>
      </c>
      <c r="P173" s="2566">
        <f>铂郡面积表!K110</f>
        <v>0</v>
      </c>
      <c r="Q173" s="21">
        <f t="shared" si="38"/>
        <v>1</v>
      </c>
      <c r="R173" s="21">
        <f t="shared" si="39"/>
        <v>0</v>
      </c>
      <c r="S173" s="307">
        <f t="shared" si="31"/>
        <v>0</v>
      </c>
    </row>
    <row r="174" spans="1:19">
      <c r="A174" s="629"/>
      <c r="B174" s="629"/>
      <c r="C174" s="21"/>
      <c r="D174" s="2566"/>
      <c r="E174" s="21">
        <f t="shared" si="32"/>
        <v>1</v>
      </c>
      <c r="F174" s="2566">
        <f>铂郡面积表!Q111</f>
        <v>0</v>
      </c>
      <c r="G174" s="21">
        <f t="shared" si="33"/>
        <v>0</v>
      </c>
      <c r="H174" s="631"/>
      <c r="I174" s="21">
        <f t="shared" si="34"/>
        <v>1</v>
      </c>
      <c r="J174" s="631"/>
      <c r="K174" s="21">
        <f t="shared" si="35"/>
        <v>1</v>
      </c>
      <c r="L174" s="631"/>
      <c r="M174" s="21">
        <f t="shared" si="36"/>
        <v>1</v>
      </c>
      <c r="N174" s="631"/>
      <c r="O174" s="21">
        <f t="shared" si="37"/>
        <v>1</v>
      </c>
      <c r="P174" s="2566">
        <f>铂郡面积表!K111</f>
        <v>0</v>
      </c>
      <c r="Q174" s="21">
        <f t="shared" si="38"/>
        <v>1</v>
      </c>
      <c r="R174" s="21">
        <f t="shared" si="39"/>
        <v>0</v>
      </c>
      <c r="S174" s="307">
        <f t="shared" si="31"/>
        <v>0</v>
      </c>
    </row>
    <row r="175" spans="1:19">
      <c r="A175" s="629"/>
      <c r="B175" s="629"/>
      <c r="C175" s="21"/>
      <c r="D175" s="2566"/>
      <c r="E175" s="21">
        <f t="shared" si="32"/>
        <v>1</v>
      </c>
      <c r="F175" s="2566">
        <f>铂郡面积表!Q112</f>
        <v>0</v>
      </c>
      <c r="G175" s="21">
        <f t="shared" si="33"/>
        <v>0</v>
      </c>
      <c r="H175" s="631"/>
      <c r="I175" s="21">
        <f t="shared" si="34"/>
        <v>1</v>
      </c>
      <c r="J175" s="631"/>
      <c r="K175" s="21">
        <f t="shared" si="35"/>
        <v>1</v>
      </c>
      <c r="L175" s="631"/>
      <c r="M175" s="21">
        <f t="shared" si="36"/>
        <v>1</v>
      </c>
      <c r="N175" s="631"/>
      <c r="O175" s="21">
        <f t="shared" si="37"/>
        <v>1</v>
      </c>
      <c r="P175" s="2566">
        <f>铂郡面积表!K112</f>
        <v>0</v>
      </c>
      <c r="Q175" s="21">
        <f t="shared" si="38"/>
        <v>1</v>
      </c>
      <c r="R175" s="21">
        <f t="shared" si="39"/>
        <v>0</v>
      </c>
      <c r="S175" s="307">
        <f t="shared" si="31"/>
        <v>0</v>
      </c>
    </row>
    <row r="176" spans="1:19">
      <c r="A176" s="629"/>
      <c r="B176" s="629"/>
      <c r="C176" s="21"/>
      <c r="D176" s="2566"/>
      <c r="E176" s="21">
        <f t="shared" si="32"/>
        <v>1</v>
      </c>
      <c r="F176" s="2566">
        <f>铂郡面积表!Q113</f>
        <v>0</v>
      </c>
      <c r="G176" s="21">
        <f t="shared" si="33"/>
        <v>0</v>
      </c>
      <c r="H176" s="631"/>
      <c r="I176" s="21">
        <f t="shared" si="34"/>
        <v>1</v>
      </c>
      <c r="J176" s="631"/>
      <c r="K176" s="21">
        <f t="shared" si="35"/>
        <v>1</v>
      </c>
      <c r="L176" s="631"/>
      <c r="M176" s="21">
        <f t="shared" si="36"/>
        <v>1</v>
      </c>
      <c r="N176" s="631"/>
      <c r="O176" s="21">
        <f t="shared" si="37"/>
        <v>1</v>
      </c>
      <c r="P176" s="2566">
        <f>铂郡面积表!K113</f>
        <v>0</v>
      </c>
      <c r="Q176" s="21">
        <f t="shared" si="38"/>
        <v>1</v>
      </c>
      <c r="R176" s="21">
        <f t="shared" si="39"/>
        <v>0</v>
      </c>
      <c r="S176" s="307">
        <f t="shared" si="31"/>
        <v>0</v>
      </c>
    </row>
    <row r="177" spans="1:19">
      <c r="A177" s="629"/>
      <c r="B177" s="629"/>
      <c r="C177" s="21"/>
      <c r="D177" s="2566"/>
      <c r="E177" s="21">
        <f t="shared" si="32"/>
        <v>1</v>
      </c>
      <c r="F177" s="2566">
        <f>铂郡面积表!Q114</f>
        <v>0</v>
      </c>
      <c r="G177" s="21">
        <f t="shared" si="33"/>
        <v>0</v>
      </c>
      <c r="H177" s="631"/>
      <c r="I177" s="21">
        <f t="shared" si="34"/>
        <v>1</v>
      </c>
      <c r="J177" s="631"/>
      <c r="K177" s="21">
        <f t="shared" si="35"/>
        <v>1</v>
      </c>
      <c r="L177" s="631"/>
      <c r="M177" s="21">
        <f t="shared" si="36"/>
        <v>1</v>
      </c>
      <c r="N177" s="631"/>
      <c r="O177" s="21">
        <f t="shared" si="37"/>
        <v>1</v>
      </c>
      <c r="P177" s="2566">
        <f>铂郡面积表!K114</f>
        <v>0</v>
      </c>
      <c r="Q177" s="21">
        <f t="shared" si="38"/>
        <v>1</v>
      </c>
      <c r="R177" s="21">
        <f t="shared" si="39"/>
        <v>0</v>
      </c>
      <c r="S177" s="307">
        <f t="shared" si="31"/>
        <v>0</v>
      </c>
    </row>
    <row r="178" spans="1:19">
      <c r="A178" s="629"/>
      <c r="B178" s="629"/>
      <c r="C178" s="21"/>
      <c r="D178" s="2566"/>
      <c r="E178" s="21">
        <f t="shared" si="32"/>
        <v>1</v>
      </c>
      <c r="F178" s="2566">
        <f>铂郡面积表!Q115</f>
        <v>0</v>
      </c>
      <c r="G178" s="21">
        <f t="shared" si="33"/>
        <v>0</v>
      </c>
      <c r="H178" s="631"/>
      <c r="I178" s="21">
        <f t="shared" si="34"/>
        <v>1</v>
      </c>
      <c r="J178" s="631"/>
      <c r="K178" s="21">
        <f t="shared" si="35"/>
        <v>1</v>
      </c>
      <c r="L178" s="631"/>
      <c r="M178" s="21">
        <f t="shared" si="36"/>
        <v>1</v>
      </c>
      <c r="N178" s="631"/>
      <c r="O178" s="21">
        <f t="shared" si="37"/>
        <v>1</v>
      </c>
      <c r="P178" s="2566">
        <f>铂郡面积表!K115</f>
        <v>0</v>
      </c>
      <c r="Q178" s="21">
        <f t="shared" si="38"/>
        <v>1</v>
      </c>
      <c r="R178" s="21">
        <f t="shared" si="39"/>
        <v>0</v>
      </c>
      <c r="S178" s="307">
        <f t="shared" si="31"/>
        <v>0</v>
      </c>
    </row>
    <row r="179" spans="1:19">
      <c r="A179" s="629"/>
      <c r="B179" s="629"/>
      <c r="C179" s="21"/>
      <c r="D179" s="2566"/>
      <c r="E179" s="21">
        <f t="shared" si="32"/>
        <v>1</v>
      </c>
      <c r="F179" s="2566">
        <f>铂郡面积表!Q116</f>
        <v>0</v>
      </c>
      <c r="G179" s="21">
        <f t="shared" si="33"/>
        <v>0</v>
      </c>
      <c r="H179" s="631"/>
      <c r="I179" s="21">
        <f t="shared" si="34"/>
        <v>1</v>
      </c>
      <c r="J179" s="631"/>
      <c r="K179" s="21">
        <f t="shared" si="35"/>
        <v>1</v>
      </c>
      <c r="L179" s="631"/>
      <c r="M179" s="21">
        <f t="shared" si="36"/>
        <v>1</v>
      </c>
      <c r="N179" s="631"/>
      <c r="O179" s="21">
        <f t="shared" si="37"/>
        <v>1</v>
      </c>
      <c r="P179" s="2566">
        <f>铂郡面积表!K116</f>
        <v>0</v>
      </c>
      <c r="Q179" s="21">
        <f t="shared" si="38"/>
        <v>1</v>
      </c>
      <c r="R179" s="21">
        <f t="shared" si="39"/>
        <v>0</v>
      </c>
      <c r="S179" s="307">
        <f t="shared" si="31"/>
        <v>0</v>
      </c>
    </row>
    <row r="180" spans="1:19">
      <c r="A180" s="629"/>
      <c r="B180" s="629"/>
      <c r="C180" s="21"/>
      <c r="D180" s="2566"/>
      <c r="E180" s="21">
        <f t="shared" si="32"/>
        <v>1</v>
      </c>
      <c r="F180" s="2566">
        <f>铂郡面积表!Q117</f>
        <v>0</v>
      </c>
      <c r="G180" s="21">
        <f t="shared" si="33"/>
        <v>0</v>
      </c>
      <c r="H180" s="631"/>
      <c r="I180" s="21">
        <f t="shared" si="34"/>
        <v>1</v>
      </c>
      <c r="J180" s="631"/>
      <c r="K180" s="21">
        <f t="shared" si="35"/>
        <v>1</v>
      </c>
      <c r="L180" s="631"/>
      <c r="M180" s="21">
        <f t="shared" si="36"/>
        <v>1</v>
      </c>
      <c r="N180" s="631"/>
      <c r="O180" s="21">
        <f t="shared" si="37"/>
        <v>1</v>
      </c>
      <c r="P180" s="2566">
        <f>铂郡面积表!K117</f>
        <v>0</v>
      </c>
      <c r="Q180" s="21">
        <f t="shared" si="38"/>
        <v>1</v>
      </c>
      <c r="R180" s="21">
        <f t="shared" si="39"/>
        <v>0</v>
      </c>
      <c r="S180" s="307">
        <f t="shared" si="31"/>
        <v>0</v>
      </c>
    </row>
    <row r="181" spans="1:19">
      <c r="A181" s="629"/>
      <c r="B181" s="629"/>
      <c r="C181" s="21"/>
      <c r="D181" s="2566"/>
      <c r="E181" s="21">
        <f t="shared" si="32"/>
        <v>1</v>
      </c>
      <c r="F181" s="2566">
        <f>铂郡面积表!Q118</f>
        <v>0</v>
      </c>
      <c r="G181" s="21">
        <f t="shared" si="33"/>
        <v>0</v>
      </c>
      <c r="H181" s="631"/>
      <c r="I181" s="21">
        <f t="shared" si="34"/>
        <v>1</v>
      </c>
      <c r="J181" s="631"/>
      <c r="K181" s="21">
        <f t="shared" si="35"/>
        <v>1</v>
      </c>
      <c r="L181" s="631"/>
      <c r="M181" s="21">
        <f t="shared" si="36"/>
        <v>1</v>
      </c>
      <c r="N181" s="631"/>
      <c r="O181" s="21">
        <f t="shared" si="37"/>
        <v>1</v>
      </c>
      <c r="P181" s="2566">
        <f>铂郡面积表!K118</f>
        <v>0</v>
      </c>
      <c r="Q181" s="21">
        <f t="shared" si="38"/>
        <v>1</v>
      </c>
      <c r="R181" s="21">
        <f t="shared" si="39"/>
        <v>0</v>
      </c>
      <c r="S181" s="307">
        <f t="shared" si="31"/>
        <v>0</v>
      </c>
    </row>
    <row r="182" spans="1:19">
      <c r="A182" s="629"/>
      <c r="B182" s="629"/>
      <c r="C182" s="21"/>
      <c r="D182" s="2566"/>
      <c r="E182" s="21">
        <f t="shared" si="32"/>
        <v>1</v>
      </c>
      <c r="F182" s="2566">
        <f>铂郡面积表!Q119</f>
        <v>0</v>
      </c>
      <c r="G182" s="21">
        <f t="shared" si="33"/>
        <v>0</v>
      </c>
      <c r="H182" s="631"/>
      <c r="I182" s="21">
        <f t="shared" si="34"/>
        <v>1</v>
      </c>
      <c r="J182" s="631"/>
      <c r="K182" s="21">
        <f t="shared" si="35"/>
        <v>1</v>
      </c>
      <c r="L182" s="631"/>
      <c r="M182" s="21">
        <f t="shared" si="36"/>
        <v>1</v>
      </c>
      <c r="N182" s="631"/>
      <c r="O182" s="21">
        <f t="shared" si="37"/>
        <v>1</v>
      </c>
      <c r="P182" s="2566">
        <f>铂郡面积表!K119</f>
        <v>0</v>
      </c>
      <c r="Q182" s="21">
        <f t="shared" si="38"/>
        <v>1</v>
      </c>
      <c r="R182" s="21">
        <f t="shared" si="39"/>
        <v>0</v>
      </c>
      <c r="S182" s="307">
        <f t="shared" si="31"/>
        <v>0</v>
      </c>
    </row>
    <row r="183" spans="1:19">
      <c r="A183" s="629"/>
      <c r="B183" s="629"/>
      <c r="C183" s="21"/>
      <c r="D183" s="2566"/>
      <c r="E183" s="21">
        <f t="shared" si="32"/>
        <v>1</v>
      </c>
      <c r="F183" s="2566">
        <f>铂郡面积表!Q120</f>
        <v>0</v>
      </c>
      <c r="G183" s="21">
        <f t="shared" si="33"/>
        <v>0</v>
      </c>
      <c r="H183" s="631"/>
      <c r="I183" s="21">
        <f t="shared" si="34"/>
        <v>1</v>
      </c>
      <c r="J183" s="631"/>
      <c r="K183" s="21">
        <f t="shared" si="35"/>
        <v>1</v>
      </c>
      <c r="L183" s="631"/>
      <c r="M183" s="21">
        <f t="shared" si="36"/>
        <v>1</v>
      </c>
      <c r="N183" s="631"/>
      <c r="O183" s="21">
        <f t="shared" si="37"/>
        <v>1</v>
      </c>
      <c r="P183" s="2566">
        <f>铂郡面积表!K120</f>
        <v>0</v>
      </c>
      <c r="Q183" s="21">
        <f t="shared" si="38"/>
        <v>1</v>
      </c>
      <c r="R183" s="21">
        <f t="shared" si="39"/>
        <v>0</v>
      </c>
      <c r="S183" s="307">
        <f t="shared" si="31"/>
        <v>0</v>
      </c>
    </row>
    <row r="184" spans="1:19">
      <c r="A184" s="629"/>
      <c r="B184" s="629"/>
      <c r="C184" s="21"/>
      <c r="D184" s="2566"/>
      <c r="E184" s="21">
        <f t="shared" si="32"/>
        <v>1</v>
      </c>
      <c r="F184" s="2566">
        <f>铂郡面积表!Q121</f>
        <v>0</v>
      </c>
      <c r="G184" s="21">
        <f t="shared" si="33"/>
        <v>0</v>
      </c>
      <c r="H184" s="631"/>
      <c r="I184" s="21">
        <f t="shared" si="34"/>
        <v>1</v>
      </c>
      <c r="J184" s="631"/>
      <c r="K184" s="21">
        <f t="shared" si="35"/>
        <v>1</v>
      </c>
      <c r="L184" s="631"/>
      <c r="M184" s="21">
        <f t="shared" si="36"/>
        <v>1</v>
      </c>
      <c r="N184" s="631"/>
      <c r="O184" s="21">
        <f t="shared" si="37"/>
        <v>1</v>
      </c>
      <c r="P184" s="2566">
        <f>铂郡面积表!K121</f>
        <v>0</v>
      </c>
      <c r="Q184" s="21">
        <f t="shared" si="38"/>
        <v>1</v>
      </c>
      <c r="R184" s="21">
        <f t="shared" si="39"/>
        <v>0</v>
      </c>
      <c r="S184" s="307">
        <f t="shared" si="31"/>
        <v>0</v>
      </c>
    </row>
    <row r="185" spans="1:19">
      <c r="A185" s="629"/>
      <c r="B185" s="629"/>
      <c r="C185" s="21"/>
      <c r="D185" s="2566"/>
      <c r="E185" s="21">
        <f t="shared" si="32"/>
        <v>1</v>
      </c>
      <c r="F185" s="2566">
        <f>铂郡面积表!Q122</f>
        <v>0</v>
      </c>
      <c r="G185" s="21">
        <f t="shared" si="33"/>
        <v>0</v>
      </c>
      <c r="H185" s="631"/>
      <c r="I185" s="21">
        <f t="shared" si="34"/>
        <v>1</v>
      </c>
      <c r="J185" s="631"/>
      <c r="K185" s="21">
        <f t="shared" si="35"/>
        <v>1</v>
      </c>
      <c r="L185" s="631"/>
      <c r="M185" s="21">
        <f t="shared" si="36"/>
        <v>1</v>
      </c>
      <c r="N185" s="631"/>
      <c r="O185" s="21">
        <f t="shared" si="37"/>
        <v>1</v>
      </c>
      <c r="P185" s="2566">
        <f>铂郡面积表!K122</f>
        <v>0</v>
      </c>
      <c r="Q185" s="21">
        <f t="shared" si="38"/>
        <v>1</v>
      </c>
      <c r="R185" s="21">
        <f t="shared" si="39"/>
        <v>0</v>
      </c>
      <c r="S185" s="307">
        <f t="shared" si="31"/>
        <v>0</v>
      </c>
    </row>
    <row r="186" spans="1:19">
      <c r="A186" s="629"/>
      <c r="B186" s="629"/>
      <c r="C186" s="21"/>
      <c r="D186" s="2566"/>
      <c r="E186" s="21">
        <f t="shared" si="32"/>
        <v>1</v>
      </c>
      <c r="F186" s="2566">
        <f>铂郡面积表!Q123</f>
        <v>0</v>
      </c>
      <c r="G186" s="21">
        <f t="shared" si="33"/>
        <v>0</v>
      </c>
      <c r="H186" s="631"/>
      <c r="I186" s="21">
        <f t="shared" si="34"/>
        <v>1</v>
      </c>
      <c r="J186" s="631"/>
      <c r="K186" s="21">
        <f t="shared" si="35"/>
        <v>1</v>
      </c>
      <c r="L186" s="631"/>
      <c r="M186" s="21">
        <f t="shared" si="36"/>
        <v>1</v>
      </c>
      <c r="N186" s="631"/>
      <c r="O186" s="21">
        <f t="shared" si="37"/>
        <v>1</v>
      </c>
      <c r="P186" s="2566">
        <f>铂郡面积表!K123</f>
        <v>0</v>
      </c>
      <c r="Q186" s="21">
        <f t="shared" si="38"/>
        <v>1</v>
      </c>
      <c r="R186" s="21">
        <f t="shared" si="39"/>
        <v>0</v>
      </c>
      <c r="S186" s="307">
        <f t="shared" si="31"/>
        <v>0</v>
      </c>
    </row>
    <row r="187" spans="1:19">
      <c r="A187" s="629"/>
      <c r="B187" s="629"/>
      <c r="C187" s="21"/>
      <c r="D187" s="2566"/>
      <c r="E187" s="21">
        <f t="shared" si="32"/>
        <v>1</v>
      </c>
      <c r="F187" s="2566">
        <f>铂郡面积表!Q124</f>
        <v>0</v>
      </c>
      <c r="G187" s="21">
        <f t="shared" si="33"/>
        <v>0</v>
      </c>
      <c r="H187" s="631"/>
      <c r="I187" s="21">
        <f t="shared" si="34"/>
        <v>1</v>
      </c>
      <c r="J187" s="631"/>
      <c r="K187" s="21">
        <f t="shared" si="35"/>
        <v>1</v>
      </c>
      <c r="L187" s="631"/>
      <c r="M187" s="21">
        <f t="shared" si="36"/>
        <v>1</v>
      </c>
      <c r="N187" s="631"/>
      <c r="O187" s="21">
        <f t="shared" si="37"/>
        <v>1</v>
      </c>
      <c r="P187" s="2566">
        <f>铂郡面积表!K124</f>
        <v>0</v>
      </c>
      <c r="Q187" s="21">
        <f t="shared" si="38"/>
        <v>1</v>
      </c>
      <c r="R187" s="21">
        <f t="shared" si="39"/>
        <v>0</v>
      </c>
      <c r="S187" s="307">
        <f t="shared" ref="S187:S222" si="40">ROUND(R187*B187/10000,0)</f>
        <v>0</v>
      </c>
    </row>
    <row r="188" spans="1:19">
      <c r="A188" s="629"/>
      <c r="B188" s="629"/>
      <c r="C188" s="21"/>
      <c r="D188" s="2566"/>
      <c r="E188" s="21">
        <f t="shared" si="32"/>
        <v>1</v>
      </c>
      <c r="F188" s="2566">
        <f>铂郡面积表!Q125</f>
        <v>0</v>
      </c>
      <c r="G188" s="21">
        <f t="shared" si="33"/>
        <v>0</v>
      </c>
      <c r="H188" s="631"/>
      <c r="I188" s="21">
        <f t="shared" si="34"/>
        <v>1</v>
      </c>
      <c r="J188" s="631"/>
      <c r="K188" s="21">
        <f t="shared" si="35"/>
        <v>1</v>
      </c>
      <c r="L188" s="631"/>
      <c r="M188" s="21">
        <f t="shared" si="36"/>
        <v>1</v>
      </c>
      <c r="N188" s="631"/>
      <c r="O188" s="21">
        <f t="shared" si="37"/>
        <v>1</v>
      </c>
      <c r="P188" s="2566">
        <f>铂郡面积表!K125</f>
        <v>0</v>
      </c>
      <c r="Q188" s="21">
        <f t="shared" si="38"/>
        <v>1</v>
      </c>
      <c r="R188" s="21">
        <f t="shared" si="39"/>
        <v>0</v>
      </c>
      <c r="S188" s="307">
        <f t="shared" si="40"/>
        <v>0</v>
      </c>
    </row>
    <row r="189" spans="1:19">
      <c r="A189" s="629"/>
      <c r="B189" s="629"/>
      <c r="C189" s="21"/>
      <c r="D189" s="2566"/>
      <c r="E189" s="21">
        <f t="shared" si="32"/>
        <v>1</v>
      </c>
      <c r="F189" s="2566">
        <f>铂郡面积表!Q126</f>
        <v>0</v>
      </c>
      <c r="G189" s="21">
        <f t="shared" si="33"/>
        <v>0</v>
      </c>
      <c r="H189" s="631"/>
      <c r="I189" s="21">
        <f t="shared" si="34"/>
        <v>1</v>
      </c>
      <c r="J189" s="631"/>
      <c r="K189" s="21">
        <f t="shared" si="35"/>
        <v>1</v>
      </c>
      <c r="L189" s="631"/>
      <c r="M189" s="21">
        <f t="shared" si="36"/>
        <v>1</v>
      </c>
      <c r="N189" s="631"/>
      <c r="O189" s="21">
        <f t="shared" si="37"/>
        <v>1</v>
      </c>
      <c r="P189" s="2566">
        <f>铂郡面积表!K126</f>
        <v>0</v>
      </c>
      <c r="Q189" s="21">
        <f t="shared" si="38"/>
        <v>1</v>
      </c>
      <c r="R189" s="21">
        <f t="shared" si="39"/>
        <v>0</v>
      </c>
      <c r="S189" s="307">
        <f t="shared" si="40"/>
        <v>0</v>
      </c>
    </row>
    <row r="190" spans="1:19">
      <c r="A190" s="629"/>
      <c r="B190" s="629"/>
      <c r="C190" s="21"/>
      <c r="D190" s="2566"/>
      <c r="E190" s="21">
        <f t="shared" si="32"/>
        <v>1</v>
      </c>
      <c r="F190" s="2566">
        <f>铂郡面积表!Q127</f>
        <v>0</v>
      </c>
      <c r="G190" s="21">
        <f t="shared" si="33"/>
        <v>0</v>
      </c>
      <c r="H190" s="631"/>
      <c r="I190" s="21">
        <f t="shared" si="34"/>
        <v>1</v>
      </c>
      <c r="J190" s="631"/>
      <c r="K190" s="21">
        <f t="shared" si="35"/>
        <v>1</v>
      </c>
      <c r="L190" s="631"/>
      <c r="M190" s="21">
        <f t="shared" si="36"/>
        <v>1</v>
      </c>
      <c r="N190" s="631"/>
      <c r="O190" s="21">
        <f t="shared" si="37"/>
        <v>1</v>
      </c>
      <c r="P190" s="2566">
        <f>铂郡面积表!K127</f>
        <v>0</v>
      </c>
      <c r="Q190" s="21">
        <f t="shared" si="38"/>
        <v>1</v>
      </c>
      <c r="R190" s="21">
        <f t="shared" si="39"/>
        <v>0</v>
      </c>
      <c r="S190" s="307">
        <f t="shared" si="40"/>
        <v>0</v>
      </c>
    </row>
    <row r="191" spans="1:19">
      <c r="A191" s="629"/>
      <c r="B191" s="629"/>
      <c r="C191" s="21"/>
      <c r="D191" s="2566"/>
      <c r="E191" s="21">
        <f t="shared" si="32"/>
        <v>1</v>
      </c>
      <c r="F191" s="2566">
        <f>铂郡面积表!Q128</f>
        <v>0</v>
      </c>
      <c r="G191" s="21">
        <f t="shared" si="33"/>
        <v>0</v>
      </c>
      <c r="H191" s="631"/>
      <c r="I191" s="21">
        <f t="shared" si="34"/>
        <v>1</v>
      </c>
      <c r="J191" s="631"/>
      <c r="K191" s="21">
        <f t="shared" si="35"/>
        <v>1</v>
      </c>
      <c r="L191" s="631"/>
      <c r="M191" s="21">
        <f t="shared" si="36"/>
        <v>1</v>
      </c>
      <c r="N191" s="631"/>
      <c r="O191" s="21">
        <f t="shared" si="37"/>
        <v>1</v>
      </c>
      <c r="P191" s="2566">
        <f>铂郡面积表!K128</f>
        <v>0</v>
      </c>
      <c r="Q191" s="21">
        <f t="shared" si="38"/>
        <v>1</v>
      </c>
      <c r="R191" s="21">
        <f t="shared" si="39"/>
        <v>0</v>
      </c>
      <c r="S191" s="307">
        <f t="shared" si="40"/>
        <v>0</v>
      </c>
    </row>
    <row r="192" spans="1:19">
      <c r="A192" s="629"/>
      <c r="B192" s="629"/>
      <c r="C192" s="21"/>
      <c r="D192" s="2566"/>
      <c r="E192" s="21">
        <f t="shared" si="32"/>
        <v>1</v>
      </c>
      <c r="F192" s="2566">
        <f>铂郡面积表!Q129</f>
        <v>0</v>
      </c>
      <c r="G192" s="21">
        <f t="shared" si="33"/>
        <v>0</v>
      </c>
      <c r="H192" s="631"/>
      <c r="I192" s="21">
        <f t="shared" si="34"/>
        <v>1</v>
      </c>
      <c r="J192" s="631"/>
      <c r="K192" s="21">
        <f t="shared" si="35"/>
        <v>1</v>
      </c>
      <c r="L192" s="631"/>
      <c r="M192" s="21">
        <f t="shared" si="36"/>
        <v>1</v>
      </c>
      <c r="N192" s="631"/>
      <c r="O192" s="21">
        <f t="shared" si="37"/>
        <v>1</v>
      </c>
      <c r="P192" s="2566">
        <f>铂郡面积表!K129</f>
        <v>0</v>
      </c>
      <c r="Q192" s="21">
        <f t="shared" si="38"/>
        <v>1</v>
      </c>
      <c r="R192" s="21">
        <f t="shared" si="39"/>
        <v>0</v>
      </c>
      <c r="S192" s="307">
        <f t="shared" si="40"/>
        <v>0</v>
      </c>
    </row>
    <row r="193" spans="1:19">
      <c r="A193" s="629"/>
      <c r="B193" s="629"/>
      <c r="C193" s="21"/>
      <c r="D193" s="2566"/>
      <c r="E193" s="21">
        <f t="shared" si="32"/>
        <v>1</v>
      </c>
      <c r="F193" s="2566">
        <f>铂郡面积表!Q130</f>
        <v>0</v>
      </c>
      <c r="G193" s="21">
        <f t="shared" si="33"/>
        <v>0</v>
      </c>
      <c r="H193" s="631"/>
      <c r="I193" s="21">
        <f t="shared" si="34"/>
        <v>1</v>
      </c>
      <c r="J193" s="631"/>
      <c r="K193" s="21">
        <f t="shared" si="35"/>
        <v>1</v>
      </c>
      <c r="L193" s="631"/>
      <c r="M193" s="21">
        <f t="shared" si="36"/>
        <v>1</v>
      </c>
      <c r="N193" s="631"/>
      <c r="O193" s="21">
        <f t="shared" si="37"/>
        <v>1</v>
      </c>
      <c r="P193" s="2566">
        <f>铂郡面积表!K130</f>
        <v>0</v>
      </c>
      <c r="Q193" s="21">
        <f t="shared" si="38"/>
        <v>1</v>
      </c>
      <c r="R193" s="21">
        <f t="shared" si="39"/>
        <v>0</v>
      </c>
      <c r="S193" s="307">
        <f t="shared" si="40"/>
        <v>0</v>
      </c>
    </row>
    <row r="194" spans="1:19">
      <c r="A194" s="629"/>
      <c r="B194" s="629"/>
      <c r="C194" s="21"/>
      <c r="D194" s="2566"/>
      <c r="E194" s="21">
        <f t="shared" si="32"/>
        <v>1</v>
      </c>
      <c r="F194" s="2566">
        <f>铂郡面积表!Q131</f>
        <v>0</v>
      </c>
      <c r="G194" s="21">
        <f t="shared" si="33"/>
        <v>0</v>
      </c>
      <c r="H194" s="631"/>
      <c r="I194" s="21">
        <f t="shared" si="34"/>
        <v>1</v>
      </c>
      <c r="J194" s="631"/>
      <c r="K194" s="21">
        <f t="shared" si="35"/>
        <v>1</v>
      </c>
      <c r="L194" s="631"/>
      <c r="M194" s="21">
        <f t="shared" si="36"/>
        <v>1</v>
      </c>
      <c r="N194" s="631"/>
      <c r="O194" s="21">
        <f t="shared" si="37"/>
        <v>1</v>
      </c>
      <c r="P194" s="2566">
        <f>铂郡面积表!K131</f>
        <v>0</v>
      </c>
      <c r="Q194" s="21">
        <f t="shared" si="38"/>
        <v>1</v>
      </c>
      <c r="R194" s="21">
        <f t="shared" si="39"/>
        <v>0</v>
      </c>
      <c r="S194" s="307">
        <f t="shared" si="40"/>
        <v>0</v>
      </c>
    </row>
    <row r="195" spans="1:19">
      <c r="A195" s="629"/>
      <c r="B195" s="629"/>
      <c r="C195" s="21"/>
      <c r="D195" s="2566"/>
      <c r="E195" s="21">
        <f t="shared" si="32"/>
        <v>1</v>
      </c>
      <c r="F195" s="2566">
        <f>铂郡面积表!Q132</f>
        <v>0</v>
      </c>
      <c r="G195" s="21">
        <f t="shared" si="33"/>
        <v>0</v>
      </c>
      <c r="H195" s="631"/>
      <c r="I195" s="21">
        <f t="shared" si="34"/>
        <v>1</v>
      </c>
      <c r="J195" s="631"/>
      <c r="K195" s="21">
        <f t="shared" si="35"/>
        <v>1</v>
      </c>
      <c r="L195" s="631"/>
      <c r="M195" s="21">
        <f t="shared" si="36"/>
        <v>1</v>
      </c>
      <c r="N195" s="631"/>
      <c r="O195" s="21">
        <f t="shared" si="37"/>
        <v>1</v>
      </c>
      <c r="P195" s="2566">
        <f>铂郡面积表!K132</f>
        <v>0</v>
      </c>
      <c r="Q195" s="21">
        <f t="shared" si="38"/>
        <v>1</v>
      </c>
      <c r="R195" s="21">
        <f t="shared" si="39"/>
        <v>0</v>
      </c>
      <c r="S195" s="307">
        <f t="shared" si="40"/>
        <v>0</v>
      </c>
    </row>
    <row r="196" spans="1:19">
      <c r="A196" s="629"/>
      <c r="B196" s="629"/>
      <c r="C196" s="21"/>
      <c r="D196" s="2566"/>
      <c r="E196" s="21">
        <f t="shared" si="32"/>
        <v>1</v>
      </c>
      <c r="F196" s="2566">
        <f>铂郡面积表!Q133</f>
        <v>0</v>
      </c>
      <c r="G196" s="21">
        <f t="shared" si="33"/>
        <v>0</v>
      </c>
      <c r="H196" s="631"/>
      <c r="I196" s="21">
        <f t="shared" si="34"/>
        <v>1</v>
      </c>
      <c r="J196" s="631"/>
      <c r="K196" s="21">
        <f t="shared" si="35"/>
        <v>1</v>
      </c>
      <c r="L196" s="631"/>
      <c r="M196" s="21">
        <f t="shared" si="36"/>
        <v>1</v>
      </c>
      <c r="N196" s="631"/>
      <c r="O196" s="21">
        <f t="shared" si="37"/>
        <v>1</v>
      </c>
      <c r="P196" s="2566">
        <f>铂郡面积表!K133</f>
        <v>0</v>
      </c>
      <c r="Q196" s="21">
        <f t="shared" si="38"/>
        <v>1</v>
      </c>
      <c r="R196" s="21">
        <f t="shared" si="39"/>
        <v>0</v>
      </c>
      <c r="S196" s="307">
        <f t="shared" si="40"/>
        <v>0</v>
      </c>
    </row>
    <row r="197" spans="1:19">
      <c r="A197" s="629"/>
      <c r="B197" s="629"/>
      <c r="C197" s="21"/>
      <c r="D197" s="2566"/>
      <c r="E197" s="21">
        <f t="shared" si="32"/>
        <v>1</v>
      </c>
      <c r="F197" s="2566">
        <f>铂郡面积表!Q134</f>
        <v>0</v>
      </c>
      <c r="G197" s="21">
        <f t="shared" si="33"/>
        <v>0</v>
      </c>
      <c r="H197" s="631"/>
      <c r="I197" s="21">
        <f t="shared" si="34"/>
        <v>1</v>
      </c>
      <c r="J197" s="631"/>
      <c r="K197" s="21">
        <f t="shared" si="35"/>
        <v>1</v>
      </c>
      <c r="L197" s="631"/>
      <c r="M197" s="21">
        <f t="shared" si="36"/>
        <v>1</v>
      </c>
      <c r="N197" s="631"/>
      <c r="O197" s="21">
        <f t="shared" si="37"/>
        <v>1</v>
      </c>
      <c r="P197" s="2566">
        <f>铂郡面积表!K134</f>
        <v>0</v>
      </c>
      <c r="Q197" s="21">
        <f t="shared" si="38"/>
        <v>1</v>
      </c>
      <c r="R197" s="21">
        <f t="shared" si="39"/>
        <v>0</v>
      </c>
      <c r="S197" s="307">
        <f t="shared" si="40"/>
        <v>0</v>
      </c>
    </row>
    <row r="198" spans="1:19">
      <c r="A198" s="629"/>
      <c r="B198" s="629"/>
      <c r="C198" s="21"/>
      <c r="D198" s="2566"/>
      <c r="E198" s="21">
        <f t="shared" si="32"/>
        <v>1</v>
      </c>
      <c r="F198" s="2566">
        <f>铂郡面积表!Q135</f>
        <v>0</v>
      </c>
      <c r="G198" s="21">
        <f t="shared" si="33"/>
        <v>0</v>
      </c>
      <c r="H198" s="631"/>
      <c r="I198" s="21">
        <f t="shared" si="34"/>
        <v>1</v>
      </c>
      <c r="J198" s="631"/>
      <c r="K198" s="21">
        <f t="shared" si="35"/>
        <v>1</v>
      </c>
      <c r="L198" s="631"/>
      <c r="M198" s="21">
        <f t="shared" si="36"/>
        <v>1</v>
      </c>
      <c r="N198" s="631"/>
      <c r="O198" s="21">
        <f t="shared" si="37"/>
        <v>1</v>
      </c>
      <c r="P198" s="2566">
        <f>铂郡面积表!K135</f>
        <v>0</v>
      </c>
      <c r="Q198" s="21">
        <f t="shared" si="38"/>
        <v>1</v>
      </c>
      <c r="R198" s="21">
        <f t="shared" si="39"/>
        <v>0</v>
      </c>
      <c r="S198" s="307">
        <f t="shared" si="40"/>
        <v>0</v>
      </c>
    </row>
    <row r="199" spans="1:19">
      <c r="A199" s="629"/>
      <c r="B199" s="629"/>
      <c r="C199" s="21"/>
      <c r="D199" s="2566"/>
      <c r="E199" s="21">
        <f t="shared" si="32"/>
        <v>1</v>
      </c>
      <c r="F199" s="2566">
        <f>铂郡面积表!Q136</f>
        <v>0</v>
      </c>
      <c r="G199" s="21">
        <f t="shared" si="33"/>
        <v>0</v>
      </c>
      <c r="H199" s="631"/>
      <c r="I199" s="21">
        <f t="shared" si="34"/>
        <v>1</v>
      </c>
      <c r="J199" s="631"/>
      <c r="K199" s="21">
        <f t="shared" si="35"/>
        <v>1</v>
      </c>
      <c r="L199" s="631"/>
      <c r="M199" s="21">
        <f t="shared" si="36"/>
        <v>1</v>
      </c>
      <c r="N199" s="631"/>
      <c r="O199" s="21">
        <f t="shared" si="37"/>
        <v>1</v>
      </c>
      <c r="P199" s="2566">
        <f>铂郡面积表!K136</f>
        <v>0</v>
      </c>
      <c r="Q199" s="21">
        <f t="shared" si="38"/>
        <v>1</v>
      </c>
      <c r="R199" s="21">
        <f t="shared" si="39"/>
        <v>0</v>
      </c>
      <c r="S199" s="307">
        <f t="shared" si="40"/>
        <v>0</v>
      </c>
    </row>
    <row r="200" spans="1:19">
      <c r="A200" s="629"/>
      <c r="B200" s="629"/>
      <c r="C200" s="21"/>
      <c r="D200" s="2566"/>
      <c r="E200" s="21">
        <f t="shared" si="32"/>
        <v>1</v>
      </c>
      <c r="F200" s="2566">
        <f>铂郡面积表!Q137</f>
        <v>0</v>
      </c>
      <c r="G200" s="21">
        <f t="shared" si="33"/>
        <v>0</v>
      </c>
      <c r="H200" s="631"/>
      <c r="I200" s="21">
        <f t="shared" si="34"/>
        <v>1</v>
      </c>
      <c r="J200" s="631"/>
      <c r="K200" s="21">
        <f t="shared" si="35"/>
        <v>1</v>
      </c>
      <c r="L200" s="631"/>
      <c r="M200" s="21">
        <f t="shared" si="36"/>
        <v>1</v>
      </c>
      <c r="N200" s="631"/>
      <c r="O200" s="21">
        <f t="shared" si="37"/>
        <v>1</v>
      </c>
      <c r="P200" s="2566">
        <f>铂郡面积表!K137</f>
        <v>0</v>
      </c>
      <c r="Q200" s="21">
        <f t="shared" si="38"/>
        <v>1</v>
      </c>
      <c r="R200" s="21">
        <f t="shared" si="39"/>
        <v>0</v>
      </c>
      <c r="S200" s="307">
        <f t="shared" si="40"/>
        <v>0</v>
      </c>
    </row>
    <row r="201" spans="1:19">
      <c r="A201" s="629"/>
      <c r="B201" s="629"/>
      <c r="C201" s="21"/>
      <c r="D201" s="2566"/>
      <c r="E201" s="21">
        <f t="shared" si="32"/>
        <v>1</v>
      </c>
      <c r="F201" s="2566">
        <f>铂郡面积表!Q138</f>
        <v>0</v>
      </c>
      <c r="G201" s="21">
        <f t="shared" si="33"/>
        <v>0</v>
      </c>
      <c r="H201" s="631"/>
      <c r="I201" s="21">
        <f t="shared" si="34"/>
        <v>1</v>
      </c>
      <c r="J201" s="631"/>
      <c r="K201" s="21">
        <f t="shared" si="35"/>
        <v>1</v>
      </c>
      <c r="L201" s="631"/>
      <c r="M201" s="21">
        <f t="shared" si="36"/>
        <v>1</v>
      </c>
      <c r="N201" s="631"/>
      <c r="O201" s="21">
        <f t="shared" si="37"/>
        <v>1</v>
      </c>
      <c r="P201" s="2566">
        <f>铂郡面积表!K138</f>
        <v>0</v>
      </c>
      <c r="Q201" s="21">
        <f t="shared" si="38"/>
        <v>1</v>
      </c>
      <c r="R201" s="21">
        <f t="shared" si="39"/>
        <v>0</v>
      </c>
      <c r="S201" s="307">
        <f t="shared" si="40"/>
        <v>0</v>
      </c>
    </row>
    <row r="202" spans="1:19">
      <c r="A202" s="629"/>
      <c r="B202" s="629"/>
      <c r="C202" s="21"/>
      <c r="D202" s="2566"/>
      <c r="E202" s="21">
        <f t="shared" si="32"/>
        <v>1</v>
      </c>
      <c r="F202" s="2566">
        <f>铂郡面积表!Q139</f>
        <v>0</v>
      </c>
      <c r="G202" s="21">
        <f t="shared" si="33"/>
        <v>0</v>
      </c>
      <c r="H202" s="631"/>
      <c r="I202" s="21">
        <f t="shared" si="34"/>
        <v>1</v>
      </c>
      <c r="J202" s="631"/>
      <c r="K202" s="21">
        <f t="shared" si="35"/>
        <v>1</v>
      </c>
      <c r="L202" s="631"/>
      <c r="M202" s="21">
        <f t="shared" si="36"/>
        <v>1</v>
      </c>
      <c r="N202" s="631"/>
      <c r="O202" s="21">
        <f t="shared" si="37"/>
        <v>1</v>
      </c>
      <c r="P202" s="2566">
        <f>铂郡面积表!K139</f>
        <v>0</v>
      </c>
      <c r="Q202" s="21">
        <f t="shared" si="38"/>
        <v>1</v>
      </c>
      <c r="R202" s="21">
        <f t="shared" si="39"/>
        <v>0</v>
      </c>
      <c r="S202" s="307">
        <f t="shared" si="40"/>
        <v>0</v>
      </c>
    </row>
    <row r="203" spans="1:19">
      <c r="A203" s="629"/>
      <c r="B203" s="629"/>
      <c r="C203" s="21"/>
      <c r="D203" s="2566"/>
      <c r="E203" s="21">
        <f t="shared" si="32"/>
        <v>1</v>
      </c>
      <c r="F203" s="2566">
        <f>铂郡面积表!Q140</f>
        <v>0</v>
      </c>
      <c r="G203" s="21">
        <f t="shared" si="33"/>
        <v>0</v>
      </c>
      <c r="H203" s="631"/>
      <c r="I203" s="21">
        <f t="shared" si="34"/>
        <v>1</v>
      </c>
      <c r="J203" s="631"/>
      <c r="K203" s="21">
        <f t="shared" si="35"/>
        <v>1</v>
      </c>
      <c r="L203" s="631"/>
      <c r="M203" s="21">
        <f t="shared" si="36"/>
        <v>1</v>
      </c>
      <c r="N203" s="631"/>
      <c r="O203" s="21">
        <f t="shared" si="37"/>
        <v>1</v>
      </c>
      <c r="P203" s="2566">
        <f>铂郡面积表!K140</f>
        <v>0</v>
      </c>
      <c r="Q203" s="21">
        <f t="shared" si="38"/>
        <v>1</v>
      </c>
      <c r="R203" s="21">
        <f t="shared" si="39"/>
        <v>0</v>
      </c>
      <c r="S203" s="307">
        <f t="shared" si="40"/>
        <v>0</v>
      </c>
    </row>
    <row r="204" spans="1:19">
      <c r="A204" s="629"/>
      <c r="B204" s="629"/>
      <c r="C204" s="21"/>
      <c r="D204" s="2566"/>
      <c r="E204" s="21">
        <f t="shared" si="32"/>
        <v>1</v>
      </c>
      <c r="F204" s="2566">
        <f>铂郡面积表!Q141</f>
        <v>0</v>
      </c>
      <c r="G204" s="21">
        <f t="shared" si="33"/>
        <v>0</v>
      </c>
      <c r="H204" s="631"/>
      <c r="I204" s="21">
        <f t="shared" si="34"/>
        <v>1</v>
      </c>
      <c r="J204" s="631"/>
      <c r="K204" s="21">
        <f t="shared" si="35"/>
        <v>1</v>
      </c>
      <c r="L204" s="631"/>
      <c r="M204" s="21">
        <f t="shared" si="36"/>
        <v>1</v>
      </c>
      <c r="N204" s="631"/>
      <c r="O204" s="21">
        <f t="shared" si="37"/>
        <v>1</v>
      </c>
      <c r="P204" s="2566">
        <f>铂郡面积表!K141</f>
        <v>0</v>
      </c>
      <c r="Q204" s="21">
        <f t="shared" si="38"/>
        <v>1</v>
      </c>
      <c r="R204" s="21">
        <f t="shared" si="39"/>
        <v>0</v>
      </c>
      <c r="S204" s="307">
        <f t="shared" si="40"/>
        <v>0</v>
      </c>
    </row>
    <row r="205" spans="1:19">
      <c r="A205" s="629"/>
      <c r="B205" s="629"/>
      <c r="C205" s="21"/>
      <c r="D205" s="2566"/>
      <c r="E205" s="21">
        <f t="shared" si="32"/>
        <v>1</v>
      </c>
      <c r="F205" s="2566">
        <f>铂郡面积表!Q142</f>
        <v>0</v>
      </c>
      <c r="G205" s="21">
        <f t="shared" si="33"/>
        <v>0</v>
      </c>
      <c r="H205" s="631"/>
      <c r="I205" s="21">
        <f t="shared" si="34"/>
        <v>1</v>
      </c>
      <c r="J205" s="631"/>
      <c r="K205" s="21">
        <f t="shared" si="35"/>
        <v>1</v>
      </c>
      <c r="L205" s="631"/>
      <c r="M205" s="21">
        <f t="shared" si="36"/>
        <v>1</v>
      </c>
      <c r="N205" s="631"/>
      <c r="O205" s="21">
        <f t="shared" si="37"/>
        <v>1</v>
      </c>
      <c r="P205" s="2566">
        <f>铂郡面积表!K142</f>
        <v>0</v>
      </c>
      <c r="Q205" s="21">
        <f t="shared" si="38"/>
        <v>1</v>
      </c>
      <c r="R205" s="21">
        <f t="shared" si="39"/>
        <v>0</v>
      </c>
      <c r="S205" s="307">
        <f t="shared" si="40"/>
        <v>0</v>
      </c>
    </row>
    <row r="206" spans="1:19">
      <c r="A206" s="629"/>
      <c r="B206" s="629"/>
      <c r="C206" s="21"/>
      <c r="D206" s="2566"/>
      <c r="E206" s="21">
        <f t="shared" si="32"/>
        <v>1</v>
      </c>
      <c r="F206" s="2566">
        <f>铂郡面积表!Q143</f>
        <v>0</v>
      </c>
      <c r="G206" s="21">
        <f t="shared" si="33"/>
        <v>0</v>
      </c>
      <c r="H206" s="631"/>
      <c r="I206" s="21">
        <f t="shared" si="34"/>
        <v>1</v>
      </c>
      <c r="J206" s="631"/>
      <c r="K206" s="21">
        <f t="shared" si="35"/>
        <v>1</v>
      </c>
      <c r="L206" s="631"/>
      <c r="M206" s="21">
        <f t="shared" si="36"/>
        <v>1</v>
      </c>
      <c r="N206" s="631"/>
      <c r="O206" s="21">
        <f t="shared" si="37"/>
        <v>1</v>
      </c>
      <c r="P206" s="2566">
        <f>铂郡面积表!K143</f>
        <v>0</v>
      </c>
      <c r="Q206" s="21">
        <f t="shared" si="38"/>
        <v>1</v>
      </c>
      <c r="R206" s="21">
        <f t="shared" si="39"/>
        <v>0</v>
      </c>
      <c r="S206" s="307">
        <f t="shared" si="40"/>
        <v>0</v>
      </c>
    </row>
    <row r="207" spans="1:19">
      <c r="A207" s="629"/>
      <c r="B207" s="629"/>
      <c r="C207" s="21"/>
      <c r="D207" s="2566"/>
      <c r="E207" s="21">
        <f t="shared" si="32"/>
        <v>1</v>
      </c>
      <c r="F207" s="2566">
        <f>铂郡面积表!Q144</f>
        <v>0</v>
      </c>
      <c r="G207" s="21">
        <f t="shared" si="33"/>
        <v>0</v>
      </c>
      <c r="H207" s="631"/>
      <c r="I207" s="21">
        <f t="shared" si="34"/>
        <v>1</v>
      </c>
      <c r="J207" s="631"/>
      <c r="K207" s="21">
        <f t="shared" si="35"/>
        <v>1</v>
      </c>
      <c r="L207" s="631"/>
      <c r="M207" s="21">
        <f t="shared" si="36"/>
        <v>1</v>
      </c>
      <c r="N207" s="631"/>
      <c r="O207" s="21">
        <f t="shared" si="37"/>
        <v>1</v>
      </c>
      <c r="P207" s="2566">
        <f>铂郡面积表!K144</f>
        <v>0</v>
      </c>
      <c r="Q207" s="21">
        <f t="shared" si="38"/>
        <v>1</v>
      </c>
      <c r="R207" s="21">
        <f t="shared" si="39"/>
        <v>0</v>
      </c>
      <c r="S207" s="307">
        <f t="shared" si="40"/>
        <v>0</v>
      </c>
    </row>
    <row r="208" spans="1:19">
      <c r="A208" s="629"/>
      <c r="B208" s="629"/>
      <c r="C208" s="21"/>
      <c r="D208" s="2566"/>
      <c r="E208" s="21">
        <f t="shared" si="32"/>
        <v>1</v>
      </c>
      <c r="F208" s="2566">
        <f>铂郡面积表!Q145</f>
        <v>0</v>
      </c>
      <c r="G208" s="21">
        <f t="shared" si="33"/>
        <v>0</v>
      </c>
      <c r="H208" s="631"/>
      <c r="I208" s="21">
        <f t="shared" si="34"/>
        <v>1</v>
      </c>
      <c r="J208" s="631"/>
      <c r="K208" s="21">
        <f t="shared" si="35"/>
        <v>1</v>
      </c>
      <c r="L208" s="631"/>
      <c r="M208" s="21">
        <f t="shared" si="36"/>
        <v>1</v>
      </c>
      <c r="N208" s="631"/>
      <c r="O208" s="21">
        <f t="shared" si="37"/>
        <v>1</v>
      </c>
      <c r="P208" s="2566">
        <f>铂郡面积表!K145</f>
        <v>0</v>
      </c>
      <c r="Q208" s="21">
        <f t="shared" si="38"/>
        <v>1</v>
      </c>
      <c r="R208" s="21">
        <f t="shared" si="39"/>
        <v>0</v>
      </c>
      <c r="S208" s="307">
        <f t="shared" si="40"/>
        <v>0</v>
      </c>
    </row>
    <row r="209" spans="1:19">
      <c r="A209" s="629"/>
      <c r="B209" s="629"/>
      <c r="C209" s="21"/>
      <c r="D209" s="2566"/>
      <c r="E209" s="21">
        <f t="shared" si="32"/>
        <v>1</v>
      </c>
      <c r="F209" s="2566">
        <f>铂郡面积表!Q146</f>
        <v>0</v>
      </c>
      <c r="G209" s="21">
        <f t="shared" si="33"/>
        <v>0</v>
      </c>
      <c r="H209" s="631"/>
      <c r="I209" s="21">
        <f t="shared" si="34"/>
        <v>1</v>
      </c>
      <c r="J209" s="631"/>
      <c r="K209" s="21">
        <f t="shared" si="35"/>
        <v>1</v>
      </c>
      <c r="L209" s="631"/>
      <c r="M209" s="21">
        <f t="shared" si="36"/>
        <v>1</v>
      </c>
      <c r="N209" s="631"/>
      <c r="O209" s="21">
        <f t="shared" si="37"/>
        <v>1</v>
      </c>
      <c r="P209" s="2566">
        <f>铂郡面积表!K146</f>
        <v>0</v>
      </c>
      <c r="Q209" s="21">
        <f t="shared" si="38"/>
        <v>1</v>
      </c>
      <c r="R209" s="21">
        <f t="shared" si="39"/>
        <v>0</v>
      </c>
      <c r="S209" s="307">
        <f t="shared" si="40"/>
        <v>0</v>
      </c>
    </row>
    <row r="210" spans="1:19">
      <c r="A210" s="629"/>
      <c r="B210" s="629"/>
      <c r="C210" s="21"/>
      <c r="D210" s="2566"/>
      <c r="E210" s="21">
        <f t="shared" si="32"/>
        <v>1</v>
      </c>
      <c r="F210" s="2566">
        <f>铂郡面积表!Q147</f>
        <v>0</v>
      </c>
      <c r="G210" s="21">
        <f t="shared" si="33"/>
        <v>0</v>
      </c>
      <c r="H210" s="631"/>
      <c r="I210" s="21">
        <f t="shared" si="34"/>
        <v>1</v>
      </c>
      <c r="J210" s="631"/>
      <c r="K210" s="21">
        <f t="shared" si="35"/>
        <v>1</v>
      </c>
      <c r="L210" s="631"/>
      <c r="M210" s="21">
        <f t="shared" si="36"/>
        <v>1</v>
      </c>
      <c r="N210" s="631"/>
      <c r="O210" s="21">
        <f t="shared" si="37"/>
        <v>1</v>
      </c>
      <c r="P210" s="2566">
        <f>铂郡面积表!K147</f>
        <v>0</v>
      </c>
      <c r="Q210" s="21">
        <f t="shared" si="38"/>
        <v>1</v>
      </c>
      <c r="R210" s="21">
        <f t="shared" si="39"/>
        <v>0</v>
      </c>
      <c r="S210" s="307">
        <f t="shared" si="40"/>
        <v>0</v>
      </c>
    </row>
    <row r="211" spans="1:19">
      <c r="A211" s="629"/>
      <c r="B211" s="629"/>
      <c r="C211" s="21"/>
      <c r="D211" s="2566"/>
      <c r="E211" s="21">
        <f t="shared" si="32"/>
        <v>1</v>
      </c>
      <c r="F211" s="2566">
        <f>铂郡面积表!Q148</f>
        <v>0</v>
      </c>
      <c r="G211" s="21">
        <f t="shared" si="33"/>
        <v>0</v>
      </c>
      <c r="H211" s="631"/>
      <c r="I211" s="21">
        <f t="shared" si="34"/>
        <v>1</v>
      </c>
      <c r="J211" s="631"/>
      <c r="K211" s="21">
        <f t="shared" si="35"/>
        <v>1</v>
      </c>
      <c r="L211" s="631"/>
      <c r="M211" s="21">
        <f t="shared" si="36"/>
        <v>1</v>
      </c>
      <c r="N211" s="631"/>
      <c r="O211" s="21">
        <f t="shared" si="37"/>
        <v>1</v>
      </c>
      <c r="P211" s="2566">
        <f>铂郡面积表!K148</f>
        <v>0</v>
      </c>
      <c r="Q211" s="21">
        <f t="shared" si="38"/>
        <v>1</v>
      </c>
      <c r="R211" s="21">
        <f t="shared" si="39"/>
        <v>0</v>
      </c>
      <c r="S211" s="307">
        <f t="shared" si="40"/>
        <v>0</v>
      </c>
    </row>
    <row r="212" spans="1:19">
      <c r="A212" s="629"/>
      <c r="B212" s="629"/>
      <c r="C212" s="21"/>
      <c r="D212" s="2566"/>
      <c r="E212" s="21">
        <f t="shared" si="32"/>
        <v>1</v>
      </c>
      <c r="F212" s="2566">
        <f>铂郡面积表!Q149</f>
        <v>0</v>
      </c>
      <c r="G212" s="21">
        <f t="shared" si="33"/>
        <v>0</v>
      </c>
      <c r="H212" s="631"/>
      <c r="I212" s="21">
        <f t="shared" si="34"/>
        <v>1</v>
      </c>
      <c r="J212" s="631"/>
      <c r="K212" s="21">
        <f t="shared" si="35"/>
        <v>1</v>
      </c>
      <c r="L212" s="631"/>
      <c r="M212" s="21">
        <f t="shared" si="36"/>
        <v>1</v>
      </c>
      <c r="N212" s="631"/>
      <c r="O212" s="21">
        <f t="shared" si="37"/>
        <v>1</v>
      </c>
      <c r="P212" s="2566">
        <f>铂郡面积表!K149</f>
        <v>0</v>
      </c>
      <c r="Q212" s="21">
        <f t="shared" si="38"/>
        <v>1</v>
      </c>
      <c r="R212" s="21">
        <f t="shared" si="39"/>
        <v>0</v>
      </c>
      <c r="S212" s="307">
        <f t="shared" si="40"/>
        <v>0</v>
      </c>
    </row>
    <row r="213" spans="1:19">
      <c r="A213" s="629"/>
      <c r="B213" s="629"/>
      <c r="C213" s="21"/>
      <c r="D213" s="2566"/>
      <c r="E213" s="21">
        <f t="shared" si="32"/>
        <v>1</v>
      </c>
      <c r="F213" s="2566">
        <f>铂郡面积表!Q150</f>
        <v>0</v>
      </c>
      <c r="G213" s="21">
        <f t="shared" si="33"/>
        <v>0</v>
      </c>
      <c r="H213" s="631"/>
      <c r="I213" s="21">
        <f t="shared" si="34"/>
        <v>1</v>
      </c>
      <c r="J213" s="631"/>
      <c r="K213" s="21">
        <f t="shared" si="35"/>
        <v>1</v>
      </c>
      <c r="L213" s="631"/>
      <c r="M213" s="21">
        <f t="shared" si="36"/>
        <v>1</v>
      </c>
      <c r="N213" s="631"/>
      <c r="O213" s="21">
        <f t="shared" si="37"/>
        <v>1</v>
      </c>
      <c r="P213" s="2566">
        <f>铂郡面积表!K150</f>
        <v>0</v>
      </c>
      <c r="Q213" s="21">
        <f t="shared" si="38"/>
        <v>1</v>
      </c>
      <c r="R213" s="21">
        <f t="shared" si="39"/>
        <v>0</v>
      </c>
      <c r="S213" s="307">
        <f t="shared" si="40"/>
        <v>0</v>
      </c>
    </row>
    <row r="214" spans="1:19">
      <c r="A214" s="629"/>
      <c r="B214" s="629"/>
      <c r="C214" s="21"/>
      <c r="D214" s="2566"/>
      <c r="E214" s="21">
        <f t="shared" si="32"/>
        <v>1</v>
      </c>
      <c r="F214" s="2566">
        <f>铂郡面积表!Q151</f>
        <v>0</v>
      </c>
      <c r="G214" s="21">
        <f t="shared" si="33"/>
        <v>0</v>
      </c>
      <c r="H214" s="631"/>
      <c r="I214" s="21">
        <f t="shared" si="34"/>
        <v>1</v>
      </c>
      <c r="J214" s="631"/>
      <c r="K214" s="21">
        <f t="shared" si="35"/>
        <v>1</v>
      </c>
      <c r="L214" s="631"/>
      <c r="M214" s="21">
        <f t="shared" si="36"/>
        <v>1</v>
      </c>
      <c r="N214" s="631"/>
      <c r="O214" s="21">
        <f t="shared" si="37"/>
        <v>1</v>
      </c>
      <c r="P214" s="2566">
        <f>铂郡面积表!K151</f>
        <v>0</v>
      </c>
      <c r="Q214" s="21">
        <f t="shared" si="38"/>
        <v>1</v>
      </c>
      <c r="R214" s="21">
        <f t="shared" si="39"/>
        <v>0</v>
      </c>
      <c r="S214" s="307">
        <f t="shared" si="40"/>
        <v>0</v>
      </c>
    </row>
    <row r="215" spans="1:19">
      <c r="A215" s="629"/>
      <c r="B215" s="629"/>
      <c r="C215" s="21"/>
      <c r="D215" s="2566"/>
      <c r="E215" s="21">
        <f t="shared" si="32"/>
        <v>1</v>
      </c>
      <c r="F215" s="2566">
        <f>铂郡面积表!Q152</f>
        <v>0</v>
      </c>
      <c r="G215" s="21">
        <f t="shared" si="33"/>
        <v>0</v>
      </c>
      <c r="H215" s="631"/>
      <c r="I215" s="21">
        <f t="shared" si="34"/>
        <v>1</v>
      </c>
      <c r="J215" s="631"/>
      <c r="K215" s="21">
        <f t="shared" si="35"/>
        <v>1</v>
      </c>
      <c r="L215" s="631"/>
      <c r="M215" s="21">
        <f t="shared" si="36"/>
        <v>1</v>
      </c>
      <c r="N215" s="631"/>
      <c r="O215" s="21">
        <f t="shared" si="37"/>
        <v>1</v>
      </c>
      <c r="P215" s="2566">
        <f>铂郡面积表!K152</f>
        <v>0</v>
      </c>
      <c r="Q215" s="21">
        <f t="shared" si="38"/>
        <v>1</v>
      </c>
      <c r="R215" s="21">
        <f t="shared" si="39"/>
        <v>0</v>
      </c>
      <c r="S215" s="307">
        <f t="shared" si="40"/>
        <v>0</v>
      </c>
    </row>
    <row r="216" spans="1:19">
      <c r="A216" s="629"/>
      <c r="B216" s="629"/>
      <c r="C216" s="21"/>
      <c r="D216" s="2566"/>
      <c r="E216" s="21">
        <f t="shared" si="32"/>
        <v>1</v>
      </c>
      <c r="F216" s="2566">
        <f>铂郡面积表!Q153</f>
        <v>0</v>
      </c>
      <c r="G216" s="21">
        <f t="shared" si="33"/>
        <v>0</v>
      </c>
      <c r="H216" s="631"/>
      <c r="I216" s="21">
        <f t="shared" si="34"/>
        <v>1</v>
      </c>
      <c r="J216" s="631"/>
      <c r="K216" s="21">
        <f t="shared" si="35"/>
        <v>1</v>
      </c>
      <c r="L216" s="631"/>
      <c r="M216" s="21">
        <f t="shared" si="36"/>
        <v>1</v>
      </c>
      <c r="N216" s="631"/>
      <c r="O216" s="21">
        <f t="shared" si="37"/>
        <v>1</v>
      </c>
      <c r="P216" s="2566">
        <f>铂郡面积表!K153</f>
        <v>0</v>
      </c>
      <c r="Q216" s="21">
        <f t="shared" si="38"/>
        <v>1</v>
      </c>
      <c r="R216" s="21">
        <f t="shared" si="39"/>
        <v>0</v>
      </c>
      <c r="S216" s="307">
        <f t="shared" si="40"/>
        <v>0</v>
      </c>
    </row>
    <row r="217" spans="1:19">
      <c r="A217" s="629"/>
      <c r="B217" s="629"/>
      <c r="C217" s="21"/>
      <c r="D217" s="2566"/>
      <c r="E217" s="21">
        <f t="shared" si="32"/>
        <v>1</v>
      </c>
      <c r="F217" s="2566">
        <f>铂郡面积表!Q154</f>
        <v>0</v>
      </c>
      <c r="G217" s="21">
        <f t="shared" si="33"/>
        <v>0</v>
      </c>
      <c r="H217" s="631"/>
      <c r="I217" s="21">
        <f t="shared" si="34"/>
        <v>1</v>
      </c>
      <c r="J217" s="631"/>
      <c r="K217" s="21">
        <f t="shared" si="35"/>
        <v>1</v>
      </c>
      <c r="L217" s="631"/>
      <c r="M217" s="21">
        <f t="shared" si="36"/>
        <v>1</v>
      </c>
      <c r="N217" s="631"/>
      <c r="O217" s="21">
        <f t="shared" si="37"/>
        <v>1</v>
      </c>
      <c r="P217" s="2566">
        <f>铂郡面积表!K154</f>
        <v>0</v>
      </c>
      <c r="Q217" s="21">
        <f t="shared" si="38"/>
        <v>1</v>
      </c>
      <c r="R217" s="21">
        <f t="shared" si="39"/>
        <v>0</v>
      </c>
      <c r="S217" s="307">
        <f t="shared" si="40"/>
        <v>0</v>
      </c>
    </row>
    <row r="218" spans="1:19">
      <c r="A218" s="629"/>
      <c r="B218" s="629"/>
      <c r="C218" s="21"/>
      <c r="D218" s="2566"/>
      <c r="E218" s="21">
        <f t="shared" ref="E218:E281" si="41">(SUMIF($5:$5,D218,$6:$6)-SUMIF($5:$5,$D$24,$6:$6)+100)/100</f>
        <v>1</v>
      </c>
      <c r="F218" s="2566">
        <f>铂郡面积表!Q155</f>
        <v>0</v>
      </c>
      <c r="G218" s="21">
        <f t="shared" ref="G218:G281" si="42">(SUMIF($7:$7,F218,$8:$8)-SUMIF($7:$7,$F$24,$8:$8)+100)/100</f>
        <v>0</v>
      </c>
      <c r="H218" s="631"/>
      <c r="I218" s="21">
        <f t="shared" ref="I218:I281" si="43">(SUMIF($9:$9,H218,$10:$10)-SUMIF($9:$9,$H$24,$10:$10)+100)/100</f>
        <v>1</v>
      </c>
      <c r="J218" s="631"/>
      <c r="K218" s="21">
        <f t="shared" ref="K218:K281" si="44">(SUMIF($11:$11,J218,$12:$12)-SUMIF($11:$11,$J$24,$12:$12)+100)/100</f>
        <v>1</v>
      </c>
      <c r="L218" s="631"/>
      <c r="M218" s="21">
        <f t="shared" ref="M218:M281" si="45">(SUMIF($13:$13,L218,$14:$14)-SUMIF($13:$13,$L$24,$14:$14)+100)/100</f>
        <v>1</v>
      </c>
      <c r="N218" s="631"/>
      <c r="O218" s="21">
        <f t="shared" ref="O218:O281" si="46">(SUMIF($15:$15,N218,$16:$16)-SUMIF($15:$15,$N$24,$16:$16)+100)/100</f>
        <v>1</v>
      </c>
      <c r="P218" s="2566">
        <f>铂郡面积表!K155</f>
        <v>0</v>
      </c>
      <c r="Q218" s="21">
        <f t="shared" ref="Q218:Q281" si="47">(SUMIF($17:$17,P218,$18:$18)-SUMIF($17:$17,$P$24,$18:$18)+100)/100</f>
        <v>1</v>
      </c>
      <c r="R218" s="21">
        <f t="shared" ref="R218:R281" si="48">IF(B218="",0,ROUND($R$24*C218*E218*G218*I218*K218*M218*O218*Q218,1))</f>
        <v>0</v>
      </c>
      <c r="S218" s="307">
        <f t="shared" si="40"/>
        <v>0</v>
      </c>
    </row>
    <row r="219" spans="1:19">
      <c r="A219" s="629"/>
      <c r="B219" s="629"/>
      <c r="C219" s="21"/>
      <c r="D219" s="2566"/>
      <c r="E219" s="21">
        <f t="shared" si="41"/>
        <v>1</v>
      </c>
      <c r="F219" s="2566">
        <f>铂郡面积表!Q156</f>
        <v>0</v>
      </c>
      <c r="G219" s="21">
        <f t="shared" si="42"/>
        <v>0</v>
      </c>
      <c r="H219" s="631"/>
      <c r="I219" s="21">
        <f t="shared" si="43"/>
        <v>1</v>
      </c>
      <c r="J219" s="631"/>
      <c r="K219" s="21">
        <f t="shared" si="44"/>
        <v>1</v>
      </c>
      <c r="L219" s="631"/>
      <c r="M219" s="21">
        <f t="shared" si="45"/>
        <v>1</v>
      </c>
      <c r="N219" s="631"/>
      <c r="O219" s="21">
        <f t="shared" si="46"/>
        <v>1</v>
      </c>
      <c r="P219" s="2566">
        <f>铂郡面积表!K156</f>
        <v>0</v>
      </c>
      <c r="Q219" s="21">
        <f t="shared" si="47"/>
        <v>1</v>
      </c>
      <c r="R219" s="21">
        <f t="shared" si="48"/>
        <v>0</v>
      </c>
      <c r="S219" s="307">
        <f t="shared" si="40"/>
        <v>0</v>
      </c>
    </row>
    <row r="220" spans="1:19">
      <c r="A220" s="629"/>
      <c r="B220" s="629"/>
      <c r="C220" s="21"/>
      <c r="D220" s="2566"/>
      <c r="E220" s="21">
        <f t="shared" si="41"/>
        <v>1</v>
      </c>
      <c r="F220" s="2566">
        <f>铂郡面积表!Q157</f>
        <v>0</v>
      </c>
      <c r="G220" s="21">
        <f t="shared" si="42"/>
        <v>0</v>
      </c>
      <c r="H220" s="631"/>
      <c r="I220" s="21">
        <f t="shared" si="43"/>
        <v>1</v>
      </c>
      <c r="J220" s="631"/>
      <c r="K220" s="21">
        <f t="shared" si="44"/>
        <v>1</v>
      </c>
      <c r="L220" s="631"/>
      <c r="M220" s="21">
        <f t="shared" si="45"/>
        <v>1</v>
      </c>
      <c r="N220" s="631"/>
      <c r="O220" s="21">
        <f t="shared" si="46"/>
        <v>1</v>
      </c>
      <c r="P220" s="2566">
        <f>铂郡面积表!K157</f>
        <v>0</v>
      </c>
      <c r="Q220" s="21">
        <f t="shared" si="47"/>
        <v>1</v>
      </c>
      <c r="R220" s="21">
        <f t="shared" si="48"/>
        <v>0</v>
      </c>
      <c r="S220" s="307">
        <f t="shared" si="40"/>
        <v>0</v>
      </c>
    </row>
    <row r="221" spans="1:19">
      <c r="A221" s="629"/>
      <c r="B221" s="629"/>
      <c r="C221" s="21"/>
      <c r="D221" s="2566"/>
      <c r="E221" s="21">
        <f t="shared" si="41"/>
        <v>1</v>
      </c>
      <c r="F221" s="2566">
        <f>铂郡面积表!Q158</f>
        <v>0</v>
      </c>
      <c r="G221" s="21">
        <f t="shared" si="42"/>
        <v>0</v>
      </c>
      <c r="H221" s="631"/>
      <c r="I221" s="21">
        <f t="shared" si="43"/>
        <v>1</v>
      </c>
      <c r="J221" s="631"/>
      <c r="K221" s="21">
        <f t="shared" si="44"/>
        <v>1</v>
      </c>
      <c r="L221" s="631"/>
      <c r="M221" s="21">
        <f t="shared" si="45"/>
        <v>1</v>
      </c>
      <c r="N221" s="631"/>
      <c r="O221" s="21">
        <f t="shared" si="46"/>
        <v>1</v>
      </c>
      <c r="P221" s="2566">
        <f>铂郡面积表!K158</f>
        <v>0</v>
      </c>
      <c r="Q221" s="21">
        <f t="shared" si="47"/>
        <v>1</v>
      </c>
      <c r="R221" s="21">
        <f t="shared" si="48"/>
        <v>0</v>
      </c>
      <c r="S221" s="307">
        <f t="shared" si="40"/>
        <v>0</v>
      </c>
    </row>
    <row r="222" spans="1:19">
      <c r="A222" s="629"/>
      <c r="B222" s="629"/>
      <c r="C222" s="21"/>
      <c r="D222" s="2566"/>
      <c r="E222" s="21">
        <f t="shared" si="41"/>
        <v>1</v>
      </c>
      <c r="F222" s="2566">
        <f>铂郡面积表!Q159</f>
        <v>0</v>
      </c>
      <c r="G222" s="21">
        <f t="shared" si="42"/>
        <v>0</v>
      </c>
      <c r="H222" s="631"/>
      <c r="I222" s="21">
        <f t="shared" si="43"/>
        <v>1</v>
      </c>
      <c r="J222" s="631"/>
      <c r="K222" s="21">
        <f t="shared" si="44"/>
        <v>1</v>
      </c>
      <c r="L222" s="631"/>
      <c r="M222" s="21">
        <f t="shared" si="45"/>
        <v>1</v>
      </c>
      <c r="N222" s="631"/>
      <c r="O222" s="21">
        <f t="shared" si="46"/>
        <v>1</v>
      </c>
      <c r="P222" s="2566">
        <f>铂郡面积表!K159</f>
        <v>0</v>
      </c>
      <c r="Q222" s="21">
        <f t="shared" si="47"/>
        <v>1</v>
      </c>
      <c r="R222" s="21">
        <f t="shared" si="48"/>
        <v>0</v>
      </c>
      <c r="S222" s="307">
        <f t="shared" si="40"/>
        <v>0</v>
      </c>
    </row>
    <row r="223" spans="1:19">
      <c r="A223" s="629"/>
      <c r="B223" s="629"/>
      <c r="C223" s="21"/>
      <c r="D223" s="2566"/>
      <c r="E223" s="21">
        <f t="shared" si="41"/>
        <v>1</v>
      </c>
      <c r="F223" s="2566">
        <f>铂郡面积表!Q160</f>
        <v>0</v>
      </c>
      <c r="G223" s="21">
        <f t="shared" si="42"/>
        <v>0</v>
      </c>
      <c r="H223" s="631"/>
      <c r="I223" s="21">
        <f t="shared" si="43"/>
        <v>1</v>
      </c>
      <c r="J223" s="631"/>
      <c r="K223" s="21">
        <f t="shared" si="44"/>
        <v>1</v>
      </c>
      <c r="L223" s="631"/>
      <c r="M223" s="21">
        <f t="shared" si="45"/>
        <v>1</v>
      </c>
      <c r="N223" s="631"/>
      <c r="O223" s="21">
        <f t="shared" si="46"/>
        <v>1</v>
      </c>
      <c r="P223" s="2566">
        <f>铂郡面积表!K160</f>
        <v>0</v>
      </c>
      <c r="Q223" s="21">
        <f t="shared" si="47"/>
        <v>1</v>
      </c>
      <c r="R223" s="21">
        <f t="shared" si="48"/>
        <v>0</v>
      </c>
      <c r="S223" s="307">
        <f t="shared" ref="S223:S286" si="49">ROUND(R223*B223/10000,0)</f>
        <v>0</v>
      </c>
    </row>
    <row r="224" spans="1:19">
      <c r="A224" s="629"/>
      <c r="B224" s="629"/>
      <c r="C224" s="21"/>
      <c r="D224" s="2566"/>
      <c r="E224" s="21">
        <f t="shared" si="41"/>
        <v>1</v>
      </c>
      <c r="F224" s="2566">
        <f>铂郡面积表!Q161</f>
        <v>0</v>
      </c>
      <c r="G224" s="21">
        <f t="shared" si="42"/>
        <v>0</v>
      </c>
      <c r="H224" s="631"/>
      <c r="I224" s="21">
        <f t="shared" si="43"/>
        <v>1</v>
      </c>
      <c r="J224" s="631"/>
      <c r="K224" s="21">
        <f t="shared" si="44"/>
        <v>1</v>
      </c>
      <c r="L224" s="631"/>
      <c r="M224" s="21">
        <f t="shared" si="45"/>
        <v>1</v>
      </c>
      <c r="N224" s="631"/>
      <c r="O224" s="21">
        <f t="shared" si="46"/>
        <v>1</v>
      </c>
      <c r="P224" s="2566">
        <f>铂郡面积表!K161</f>
        <v>0</v>
      </c>
      <c r="Q224" s="21">
        <f t="shared" si="47"/>
        <v>1</v>
      </c>
      <c r="R224" s="21">
        <f t="shared" si="48"/>
        <v>0</v>
      </c>
      <c r="S224" s="307">
        <f t="shared" si="49"/>
        <v>0</v>
      </c>
    </row>
    <row r="225" spans="1:19">
      <c r="A225" s="629"/>
      <c r="B225" s="629"/>
      <c r="C225" s="21"/>
      <c r="D225" s="2566"/>
      <c r="E225" s="21">
        <f t="shared" si="41"/>
        <v>1</v>
      </c>
      <c r="F225" s="2566">
        <f>铂郡面积表!Q162</f>
        <v>0</v>
      </c>
      <c r="G225" s="21">
        <f t="shared" si="42"/>
        <v>0</v>
      </c>
      <c r="H225" s="631"/>
      <c r="I225" s="21">
        <f t="shared" si="43"/>
        <v>1</v>
      </c>
      <c r="J225" s="631"/>
      <c r="K225" s="21">
        <f t="shared" si="44"/>
        <v>1</v>
      </c>
      <c r="L225" s="631"/>
      <c r="M225" s="21">
        <f t="shared" si="45"/>
        <v>1</v>
      </c>
      <c r="N225" s="631"/>
      <c r="O225" s="21">
        <f t="shared" si="46"/>
        <v>1</v>
      </c>
      <c r="P225" s="2566">
        <f>铂郡面积表!K162</f>
        <v>0</v>
      </c>
      <c r="Q225" s="21">
        <f t="shared" si="47"/>
        <v>1</v>
      </c>
      <c r="R225" s="21">
        <f t="shared" si="48"/>
        <v>0</v>
      </c>
      <c r="S225" s="307">
        <f t="shared" si="49"/>
        <v>0</v>
      </c>
    </row>
    <row r="226" spans="1:19">
      <c r="A226" s="629"/>
      <c r="B226" s="629"/>
      <c r="C226" s="21"/>
      <c r="D226" s="2566"/>
      <c r="E226" s="21">
        <f t="shared" si="41"/>
        <v>1</v>
      </c>
      <c r="F226" s="2566">
        <f>铂郡面积表!Q163</f>
        <v>0</v>
      </c>
      <c r="G226" s="21">
        <f t="shared" si="42"/>
        <v>0</v>
      </c>
      <c r="H226" s="631"/>
      <c r="I226" s="21">
        <f t="shared" si="43"/>
        <v>1</v>
      </c>
      <c r="J226" s="631"/>
      <c r="K226" s="21">
        <f t="shared" si="44"/>
        <v>1</v>
      </c>
      <c r="L226" s="631"/>
      <c r="M226" s="21">
        <f t="shared" si="45"/>
        <v>1</v>
      </c>
      <c r="N226" s="631"/>
      <c r="O226" s="21">
        <f t="shared" si="46"/>
        <v>1</v>
      </c>
      <c r="P226" s="2566">
        <f>铂郡面积表!K163</f>
        <v>0</v>
      </c>
      <c r="Q226" s="21">
        <f t="shared" si="47"/>
        <v>1</v>
      </c>
      <c r="R226" s="21">
        <f t="shared" si="48"/>
        <v>0</v>
      </c>
      <c r="S226" s="307">
        <f t="shared" si="49"/>
        <v>0</v>
      </c>
    </row>
    <row r="227" spans="1:19">
      <c r="A227" s="629"/>
      <c r="B227" s="629"/>
      <c r="C227" s="21"/>
      <c r="D227" s="2566"/>
      <c r="E227" s="21">
        <f t="shared" si="41"/>
        <v>1</v>
      </c>
      <c r="F227" s="2566">
        <f>铂郡面积表!Q164</f>
        <v>0</v>
      </c>
      <c r="G227" s="21">
        <f t="shared" si="42"/>
        <v>0</v>
      </c>
      <c r="H227" s="631"/>
      <c r="I227" s="21">
        <f t="shared" si="43"/>
        <v>1</v>
      </c>
      <c r="J227" s="631"/>
      <c r="K227" s="21">
        <f t="shared" si="44"/>
        <v>1</v>
      </c>
      <c r="L227" s="631"/>
      <c r="M227" s="21">
        <f t="shared" si="45"/>
        <v>1</v>
      </c>
      <c r="N227" s="631"/>
      <c r="O227" s="21">
        <f t="shared" si="46"/>
        <v>1</v>
      </c>
      <c r="P227" s="2566">
        <f>铂郡面积表!K164</f>
        <v>0</v>
      </c>
      <c r="Q227" s="21">
        <f t="shared" si="47"/>
        <v>1</v>
      </c>
      <c r="R227" s="21">
        <f t="shared" si="48"/>
        <v>0</v>
      </c>
      <c r="S227" s="307">
        <f t="shared" si="49"/>
        <v>0</v>
      </c>
    </row>
    <row r="228" spans="1:19">
      <c r="A228" s="629"/>
      <c r="B228" s="629"/>
      <c r="C228" s="21"/>
      <c r="D228" s="2566"/>
      <c r="E228" s="21">
        <f t="shared" si="41"/>
        <v>1</v>
      </c>
      <c r="F228" s="2566">
        <f>铂郡面积表!Q165</f>
        <v>0</v>
      </c>
      <c r="G228" s="21">
        <f t="shared" si="42"/>
        <v>0</v>
      </c>
      <c r="H228" s="631"/>
      <c r="I228" s="21">
        <f t="shared" si="43"/>
        <v>1</v>
      </c>
      <c r="J228" s="631"/>
      <c r="K228" s="21">
        <f t="shared" si="44"/>
        <v>1</v>
      </c>
      <c r="L228" s="631"/>
      <c r="M228" s="21">
        <f t="shared" si="45"/>
        <v>1</v>
      </c>
      <c r="N228" s="631"/>
      <c r="O228" s="21">
        <f t="shared" si="46"/>
        <v>1</v>
      </c>
      <c r="P228" s="2566">
        <f>铂郡面积表!K165</f>
        <v>0</v>
      </c>
      <c r="Q228" s="21">
        <f t="shared" si="47"/>
        <v>1</v>
      </c>
      <c r="R228" s="21">
        <f t="shared" si="48"/>
        <v>0</v>
      </c>
      <c r="S228" s="307">
        <f t="shared" si="49"/>
        <v>0</v>
      </c>
    </row>
    <row r="229" spans="1:19">
      <c r="A229" s="629"/>
      <c r="B229" s="629"/>
      <c r="C229" s="21"/>
      <c r="D229" s="2566"/>
      <c r="E229" s="21">
        <f t="shared" si="41"/>
        <v>1</v>
      </c>
      <c r="F229" s="2566">
        <f>铂郡面积表!Q166</f>
        <v>0</v>
      </c>
      <c r="G229" s="21">
        <f t="shared" si="42"/>
        <v>0</v>
      </c>
      <c r="H229" s="631"/>
      <c r="I229" s="21">
        <f t="shared" si="43"/>
        <v>1</v>
      </c>
      <c r="J229" s="631"/>
      <c r="K229" s="21">
        <f t="shared" si="44"/>
        <v>1</v>
      </c>
      <c r="L229" s="631"/>
      <c r="M229" s="21">
        <f t="shared" si="45"/>
        <v>1</v>
      </c>
      <c r="N229" s="631"/>
      <c r="O229" s="21">
        <f t="shared" si="46"/>
        <v>1</v>
      </c>
      <c r="P229" s="2566">
        <f>铂郡面积表!K166</f>
        <v>0</v>
      </c>
      <c r="Q229" s="21">
        <f t="shared" si="47"/>
        <v>1</v>
      </c>
      <c r="R229" s="21">
        <f t="shared" si="48"/>
        <v>0</v>
      </c>
      <c r="S229" s="307">
        <f t="shared" si="49"/>
        <v>0</v>
      </c>
    </row>
    <row r="230" spans="1:19">
      <c r="A230" s="629"/>
      <c r="B230" s="629"/>
      <c r="C230" s="21"/>
      <c r="D230" s="2566"/>
      <c r="E230" s="21">
        <f t="shared" si="41"/>
        <v>1</v>
      </c>
      <c r="F230" s="2566">
        <f>铂郡面积表!Q167</f>
        <v>0</v>
      </c>
      <c r="G230" s="21">
        <f t="shared" si="42"/>
        <v>0</v>
      </c>
      <c r="H230" s="631"/>
      <c r="I230" s="21">
        <f t="shared" si="43"/>
        <v>1</v>
      </c>
      <c r="J230" s="631"/>
      <c r="K230" s="21">
        <f t="shared" si="44"/>
        <v>1</v>
      </c>
      <c r="L230" s="631"/>
      <c r="M230" s="21">
        <f t="shared" si="45"/>
        <v>1</v>
      </c>
      <c r="N230" s="631"/>
      <c r="O230" s="21">
        <f t="shared" si="46"/>
        <v>1</v>
      </c>
      <c r="P230" s="2566">
        <f>铂郡面积表!K167</f>
        <v>0</v>
      </c>
      <c r="Q230" s="21">
        <f t="shared" si="47"/>
        <v>1</v>
      </c>
      <c r="R230" s="21">
        <f t="shared" si="48"/>
        <v>0</v>
      </c>
      <c r="S230" s="307">
        <f t="shared" si="49"/>
        <v>0</v>
      </c>
    </row>
    <row r="231" spans="1:19">
      <c r="A231" s="629"/>
      <c r="B231" s="629"/>
      <c r="C231" s="21"/>
      <c r="D231" s="2566"/>
      <c r="E231" s="21">
        <f t="shared" si="41"/>
        <v>1</v>
      </c>
      <c r="F231" s="2566">
        <f>铂郡面积表!Q168</f>
        <v>0</v>
      </c>
      <c r="G231" s="21">
        <f t="shared" si="42"/>
        <v>0</v>
      </c>
      <c r="H231" s="631"/>
      <c r="I231" s="21">
        <f t="shared" si="43"/>
        <v>1</v>
      </c>
      <c r="J231" s="631"/>
      <c r="K231" s="21">
        <f t="shared" si="44"/>
        <v>1</v>
      </c>
      <c r="L231" s="631"/>
      <c r="M231" s="21">
        <f t="shared" si="45"/>
        <v>1</v>
      </c>
      <c r="N231" s="631"/>
      <c r="O231" s="21">
        <f t="shared" si="46"/>
        <v>1</v>
      </c>
      <c r="P231" s="2566">
        <f>铂郡面积表!K168</f>
        <v>0</v>
      </c>
      <c r="Q231" s="21">
        <f t="shared" si="47"/>
        <v>1</v>
      </c>
      <c r="R231" s="21">
        <f t="shared" si="48"/>
        <v>0</v>
      </c>
      <c r="S231" s="307">
        <f t="shared" si="49"/>
        <v>0</v>
      </c>
    </row>
    <row r="232" spans="1:19">
      <c r="A232" s="629"/>
      <c r="B232" s="629"/>
      <c r="C232" s="21"/>
      <c r="D232" s="2566"/>
      <c r="E232" s="21">
        <f t="shared" si="41"/>
        <v>1</v>
      </c>
      <c r="F232" s="2566">
        <f>铂郡面积表!Q169</f>
        <v>0</v>
      </c>
      <c r="G232" s="21">
        <f t="shared" si="42"/>
        <v>0</v>
      </c>
      <c r="H232" s="631"/>
      <c r="I232" s="21">
        <f t="shared" si="43"/>
        <v>1</v>
      </c>
      <c r="J232" s="631"/>
      <c r="K232" s="21">
        <f t="shared" si="44"/>
        <v>1</v>
      </c>
      <c r="L232" s="631"/>
      <c r="M232" s="21">
        <f t="shared" si="45"/>
        <v>1</v>
      </c>
      <c r="N232" s="631"/>
      <c r="O232" s="21">
        <f t="shared" si="46"/>
        <v>1</v>
      </c>
      <c r="P232" s="2566">
        <f>铂郡面积表!K169</f>
        <v>0</v>
      </c>
      <c r="Q232" s="21">
        <f t="shared" si="47"/>
        <v>1</v>
      </c>
      <c r="R232" s="21">
        <f t="shared" si="48"/>
        <v>0</v>
      </c>
      <c r="S232" s="307">
        <f t="shared" si="49"/>
        <v>0</v>
      </c>
    </row>
    <row r="233" spans="1:19">
      <c r="A233" s="629"/>
      <c r="B233" s="629"/>
      <c r="C233" s="21"/>
      <c r="D233" s="2566"/>
      <c r="E233" s="21">
        <f t="shared" si="41"/>
        <v>1</v>
      </c>
      <c r="F233" s="2566">
        <f>铂郡面积表!Q170</f>
        <v>0</v>
      </c>
      <c r="G233" s="21">
        <f t="shared" si="42"/>
        <v>0</v>
      </c>
      <c r="H233" s="631"/>
      <c r="I233" s="21">
        <f t="shared" si="43"/>
        <v>1</v>
      </c>
      <c r="J233" s="631"/>
      <c r="K233" s="21">
        <f t="shared" si="44"/>
        <v>1</v>
      </c>
      <c r="L233" s="631"/>
      <c r="M233" s="21">
        <f t="shared" si="45"/>
        <v>1</v>
      </c>
      <c r="N233" s="631"/>
      <c r="O233" s="21">
        <f t="shared" si="46"/>
        <v>1</v>
      </c>
      <c r="P233" s="2566">
        <f>铂郡面积表!K170</f>
        <v>0</v>
      </c>
      <c r="Q233" s="21">
        <f t="shared" si="47"/>
        <v>1</v>
      </c>
      <c r="R233" s="21">
        <f t="shared" si="48"/>
        <v>0</v>
      </c>
      <c r="S233" s="307">
        <f t="shared" si="49"/>
        <v>0</v>
      </c>
    </row>
    <row r="234" spans="1:19">
      <c r="A234" s="629"/>
      <c r="B234" s="629"/>
      <c r="C234" s="21"/>
      <c r="D234" s="2566"/>
      <c r="E234" s="21">
        <f t="shared" si="41"/>
        <v>1</v>
      </c>
      <c r="F234" s="2566">
        <f>铂郡面积表!Q171</f>
        <v>0</v>
      </c>
      <c r="G234" s="21">
        <f t="shared" si="42"/>
        <v>0</v>
      </c>
      <c r="H234" s="631"/>
      <c r="I234" s="21">
        <f t="shared" si="43"/>
        <v>1</v>
      </c>
      <c r="J234" s="631"/>
      <c r="K234" s="21">
        <f t="shared" si="44"/>
        <v>1</v>
      </c>
      <c r="L234" s="631"/>
      <c r="M234" s="21">
        <f t="shared" si="45"/>
        <v>1</v>
      </c>
      <c r="N234" s="631"/>
      <c r="O234" s="21">
        <f t="shared" si="46"/>
        <v>1</v>
      </c>
      <c r="P234" s="2566">
        <f>铂郡面积表!K171</f>
        <v>0</v>
      </c>
      <c r="Q234" s="21">
        <f t="shared" si="47"/>
        <v>1</v>
      </c>
      <c r="R234" s="21">
        <f t="shared" si="48"/>
        <v>0</v>
      </c>
      <c r="S234" s="307">
        <f t="shared" si="49"/>
        <v>0</v>
      </c>
    </row>
    <row r="235" spans="1:19">
      <c r="A235" s="629"/>
      <c r="B235" s="629"/>
      <c r="C235" s="21"/>
      <c r="D235" s="2566"/>
      <c r="E235" s="21">
        <f t="shared" si="41"/>
        <v>1</v>
      </c>
      <c r="F235" s="2566">
        <f>铂郡面积表!Q172</f>
        <v>0</v>
      </c>
      <c r="G235" s="21">
        <f t="shared" si="42"/>
        <v>0</v>
      </c>
      <c r="H235" s="631"/>
      <c r="I235" s="21">
        <f t="shared" si="43"/>
        <v>1</v>
      </c>
      <c r="J235" s="631"/>
      <c r="K235" s="21">
        <f t="shared" si="44"/>
        <v>1</v>
      </c>
      <c r="L235" s="631"/>
      <c r="M235" s="21">
        <f t="shared" si="45"/>
        <v>1</v>
      </c>
      <c r="N235" s="631"/>
      <c r="O235" s="21">
        <f t="shared" si="46"/>
        <v>1</v>
      </c>
      <c r="P235" s="2566">
        <f>铂郡面积表!K172</f>
        <v>0</v>
      </c>
      <c r="Q235" s="21">
        <f t="shared" si="47"/>
        <v>1</v>
      </c>
      <c r="R235" s="21">
        <f t="shared" si="48"/>
        <v>0</v>
      </c>
      <c r="S235" s="307">
        <f t="shared" si="49"/>
        <v>0</v>
      </c>
    </row>
    <row r="236" spans="1:19">
      <c r="A236" s="629"/>
      <c r="B236" s="629"/>
      <c r="C236" s="21"/>
      <c r="D236" s="2566"/>
      <c r="E236" s="21">
        <f t="shared" si="41"/>
        <v>1</v>
      </c>
      <c r="F236" s="2566">
        <f>铂郡面积表!Q173</f>
        <v>0</v>
      </c>
      <c r="G236" s="21">
        <f t="shared" si="42"/>
        <v>0</v>
      </c>
      <c r="H236" s="631"/>
      <c r="I236" s="21">
        <f t="shared" si="43"/>
        <v>1</v>
      </c>
      <c r="J236" s="631"/>
      <c r="K236" s="21">
        <f t="shared" si="44"/>
        <v>1</v>
      </c>
      <c r="L236" s="631"/>
      <c r="M236" s="21">
        <f t="shared" si="45"/>
        <v>1</v>
      </c>
      <c r="N236" s="631"/>
      <c r="O236" s="21">
        <f t="shared" si="46"/>
        <v>1</v>
      </c>
      <c r="P236" s="2566">
        <f>铂郡面积表!K173</f>
        <v>0</v>
      </c>
      <c r="Q236" s="21">
        <f t="shared" si="47"/>
        <v>1</v>
      </c>
      <c r="R236" s="21">
        <f t="shared" si="48"/>
        <v>0</v>
      </c>
      <c r="S236" s="307">
        <f t="shared" si="49"/>
        <v>0</v>
      </c>
    </row>
    <row r="237" spans="1:19">
      <c r="A237" s="629"/>
      <c r="B237" s="629"/>
      <c r="C237" s="21"/>
      <c r="D237" s="2566"/>
      <c r="E237" s="21">
        <f t="shared" si="41"/>
        <v>1</v>
      </c>
      <c r="F237" s="2566">
        <f>铂郡面积表!Q174</f>
        <v>0</v>
      </c>
      <c r="G237" s="21">
        <f t="shared" si="42"/>
        <v>0</v>
      </c>
      <c r="H237" s="631"/>
      <c r="I237" s="21">
        <f t="shared" si="43"/>
        <v>1</v>
      </c>
      <c r="J237" s="631"/>
      <c r="K237" s="21">
        <f t="shared" si="44"/>
        <v>1</v>
      </c>
      <c r="L237" s="631"/>
      <c r="M237" s="21">
        <f t="shared" si="45"/>
        <v>1</v>
      </c>
      <c r="N237" s="631"/>
      <c r="O237" s="21">
        <f t="shared" si="46"/>
        <v>1</v>
      </c>
      <c r="P237" s="2566">
        <f>铂郡面积表!K174</f>
        <v>0</v>
      </c>
      <c r="Q237" s="21">
        <f t="shared" si="47"/>
        <v>1</v>
      </c>
      <c r="R237" s="21">
        <f t="shared" si="48"/>
        <v>0</v>
      </c>
      <c r="S237" s="307">
        <f t="shared" si="49"/>
        <v>0</v>
      </c>
    </row>
    <row r="238" spans="1:19">
      <c r="A238" s="629"/>
      <c r="B238" s="629"/>
      <c r="C238" s="21"/>
      <c r="D238" s="2566"/>
      <c r="E238" s="21">
        <f t="shared" si="41"/>
        <v>1</v>
      </c>
      <c r="F238" s="2566">
        <f>铂郡面积表!Q175</f>
        <v>0</v>
      </c>
      <c r="G238" s="21">
        <f t="shared" si="42"/>
        <v>0</v>
      </c>
      <c r="H238" s="631"/>
      <c r="I238" s="21">
        <f t="shared" si="43"/>
        <v>1</v>
      </c>
      <c r="J238" s="631"/>
      <c r="K238" s="21">
        <f t="shared" si="44"/>
        <v>1</v>
      </c>
      <c r="L238" s="631"/>
      <c r="M238" s="21">
        <f t="shared" si="45"/>
        <v>1</v>
      </c>
      <c r="N238" s="631"/>
      <c r="O238" s="21">
        <f t="shared" si="46"/>
        <v>1</v>
      </c>
      <c r="P238" s="2566">
        <f>铂郡面积表!K175</f>
        <v>0</v>
      </c>
      <c r="Q238" s="21">
        <f t="shared" si="47"/>
        <v>1</v>
      </c>
      <c r="R238" s="21">
        <f t="shared" si="48"/>
        <v>0</v>
      </c>
      <c r="S238" s="307">
        <f t="shared" si="49"/>
        <v>0</v>
      </c>
    </row>
    <row r="239" spans="1:19">
      <c r="A239" s="629"/>
      <c r="B239" s="629"/>
      <c r="C239" s="21"/>
      <c r="D239" s="2566"/>
      <c r="E239" s="21">
        <f t="shared" si="41"/>
        <v>1</v>
      </c>
      <c r="F239" s="2566">
        <f>铂郡面积表!Q176</f>
        <v>0</v>
      </c>
      <c r="G239" s="21">
        <f t="shared" si="42"/>
        <v>0</v>
      </c>
      <c r="H239" s="631"/>
      <c r="I239" s="21">
        <f t="shared" si="43"/>
        <v>1</v>
      </c>
      <c r="J239" s="631"/>
      <c r="K239" s="21">
        <f t="shared" si="44"/>
        <v>1</v>
      </c>
      <c r="L239" s="631"/>
      <c r="M239" s="21">
        <f t="shared" si="45"/>
        <v>1</v>
      </c>
      <c r="N239" s="631"/>
      <c r="O239" s="21">
        <f t="shared" si="46"/>
        <v>1</v>
      </c>
      <c r="P239" s="2566">
        <f>铂郡面积表!K176</f>
        <v>0</v>
      </c>
      <c r="Q239" s="21">
        <f t="shared" si="47"/>
        <v>1</v>
      </c>
      <c r="R239" s="21">
        <f t="shared" si="48"/>
        <v>0</v>
      </c>
      <c r="S239" s="307">
        <f t="shared" si="49"/>
        <v>0</v>
      </c>
    </row>
    <row r="240" spans="1:19">
      <c r="A240" s="629"/>
      <c r="B240" s="629"/>
      <c r="C240" s="21"/>
      <c r="D240" s="2566"/>
      <c r="E240" s="21">
        <f t="shared" si="41"/>
        <v>1</v>
      </c>
      <c r="F240" s="2566">
        <f>铂郡面积表!Q177</f>
        <v>0</v>
      </c>
      <c r="G240" s="21">
        <f t="shared" si="42"/>
        <v>0</v>
      </c>
      <c r="H240" s="631"/>
      <c r="I240" s="21">
        <f t="shared" si="43"/>
        <v>1</v>
      </c>
      <c r="J240" s="631"/>
      <c r="K240" s="21">
        <f t="shared" si="44"/>
        <v>1</v>
      </c>
      <c r="L240" s="631"/>
      <c r="M240" s="21">
        <f t="shared" si="45"/>
        <v>1</v>
      </c>
      <c r="N240" s="631"/>
      <c r="O240" s="21">
        <f t="shared" si="46"/>
        <v>1</v>
      </c>
      <c r="P240" s="2566">
        <f>铂郡面积表!K177</f>
        <v>0</v>
      </c>
      <c r="Q240" s="21">
        <f t="shared" si="47"/>
        <v>1</v>
      </c>
      <c r="R240" s="21">
        <f t="shared" si="48"/>
        <v>0</v>
      </c>
      <c r="S240" s="307">
        <f t="shared" si="49"/>
        <v>0</v>
      </c>
    </row>
    <row r="241" spans="1:19">
      <c r="A241" s="629"/>
      <c r="B241" s="629"/>
      <c r="C241" s="21"/>
      <c r="D241" s="2566"/>
      <c r="E241" s="21">
        <f t="shared" si="41"/>
        <v>1</v>
      </c>
      <c r="F241" s="2566">
        <f>铂郡面积表!Q178</f>
        <v>0</v>
      </c>
      <c r="G241" s="21">
        <f t="shared" si="42"/>
        <v>0</v>
      </c>
      <c r="H241" s="631"/>
      <c r="I241" s="21">
        <f t="shared" si="43"/>
        <v>1</v>
      </c>
      <c r="J241" s="631"/>
      <c r="K241" s="21">
        <f t="shared" si="44"/>
        <v>1</v>
      </c>
      <c r="L241" s="631"/>
      <c r="M241" s="21">
        <f t="shared" si="45"/>
        <v>1</v>
      </c>
      <c r="N241" s="631"/>
      <c r="O241" s="21">
        <f t="shared" si="46"/>
        <v>1</v>
      </c>
      <c r="P241" s="2566">
        <f>铂郡面积表!K178</f>
        <v>0</v>
      </c>
      <c r="Q241" s="21">
        <f t="shared" si="47"/>
        <v>1</v>
      </c>
      <c r="R241" s="21">
        <f t="shared" si="48"/>
        <v>0</v>
      </c>
      <c r="S241" s="307">
        <f t="shared" si="49"/>
        <v>0</v>
      </c>
    </row>
    <row r="242" spans="1:19">
      <c r="A242" s="629"/>
      <c r="B242" s="629"/>
      <c r="C242" s="21"/>
      <c r="D242" s="2566"/>
      <c r="E242" s="21">
        <f t="shared" si="41"/>
        <v>1</v>
      </c>
      <c r="F242" s="2566">
        <f>铂郡面积表!Q179</f>
        <v>0</v>
      </c>
      <c r="G242" s="21">
        <f t="shared" si="42"/>
        <v>0</v>
      </c>
      <c r="H242" s="631"/>
      <c r="I242" s="21">
        <f t="shared" si="43"/>
        <v>1</v>
      </c>
      <c r="J242" s="631"/>
      <c r="K242" s="21">
        <f t="shared" si="44"/>
        <v>1</v>
      </c>
      <c r="L242" s="631"/>
      <c r="M242" s="21">
        <f t="shared" si="45"/>
        <v>1</v>
      </c>
      <c r="N242" s="631"/>
      <c r="O242" s="21">
        <f t="shared" si="46"/>
        <v>1</v>
      </c>
      <c r="P242" s="2566">
        <f>铂郡面积表!K179</f>
        <v>0</v>
      </c>
      <c r="Q242" s="21">
        <f t="shared" si="47"/>
        <v>1</v>
      </c>
      <c r="R242" s="21">
        <f t="shared" si="48"/>
        <v>0</v>
      </c>
      <c r="S242" s="307">
        <f t="shared" si="49"/>
        <v>0</v>
      </c>
    </row>
    <row r="243" spans="1:19">
      <c r="A243" s="629"/>
      <c r="B243" s="629"/>
      <c r="C243" s="21"/>
      <c r="D243" s="2566"/>
      <c r="E243" s="21">
        <f t="shared" si="41"/>
        <v>1</v>
      </c>
      <c r="F243" s="2566">
        <f>铂郡面积表!Q180</f>
        <v>0</v>
      </c>
      <c r="G243" s="21">
        <f t="shared" si="42"/>
        <v>0</v>
      </c>
      <c r="H243" s="631"/>
      <c r="I243" s="21">
        <f t="shared" si="43"/>
        <v>1</v>
      </c>
      <c r="J243" s="631"/>
      <c r="K243" s="21">
        <f t="shared" si="44"/>
        <v>1</v>
      </c>
      <c r="L243" s="631"/>
      <c r="M243" s="21">
        <f t="shared" si="45"/>
        <v>1</v>
      </c>
      <c r="N243" s="631"/>
      <c r="O243" s="21">
        <f t="shared" si="46"/>
        <v>1</v>
      </c>
      <c r="P243" s="2566">
        <f>铂郡面积表!K180</f>
        <v>0</v>
      </c>
      <c r="Q243" s="21">
        <f t="shared" si="47"/>
        <v>1</v>
      </c>
      <c r="R243" s="21">
        <f t="shared" si="48"/>
        <v>0</v>
      </c>
      <c r="S243" s="307">
        <f t="shared" si="49"/>
        <v>0</v>
      </c>
    </row>
    <row r="244" spans="1:19">
      <c r="A244" s="629"/>
      <c r="B244" s="629"/>
      <c r="C244" s="21"/>
      <c r="D244" s="2566"/>
      <c r="E244" s="21">
        <f t="shared" si="41"/>
        <v>1</v>
      </c>
      <c r="F244" s="2566">
        <f>铂郡面积表!Q181</f>
        <v>0</v>
      </c>
      <c r="G244" s="21">
        <f t="shared" si="42"/>
        <v>0</v>
      </c>
      <c r="H244" s="631"/>
      <c r="I244" s="21">
        <f t="shared" si="43"/>
        <v>1</v>
      </c>
      <c r="J244" s="631"/>
      <c r="K244" s="21">
        <f t="shared" si="44"/>
        <v>1</v>
      </c>
      <c r="L244" s="631"/>
      <c r="M244" s="21">
        <f t="shared" si="45"/>
        <v>1</v>
      </c>
      <c r="N244" s="631"/>
      <c r="O244" s="21">
        <f t="shared" si="46"/>
        <v>1</v>
      </c>
      <c r="P244" s="2566">
        <f>铂郡面积表!K181</f>
        <v>0</v>
      </c>
      <c r="Q244" s="21">
        <f t="shared" si="47"/>
        <v>1</v>
      </c>
      <c r="R244" s="21">
        <f t="shared" si="48"/>
        <v>0</v>
      </c>
      <c r="S244" s="307">
        <f t="shared" si="49"/>
        <v>0</v>
      </c>
    </row>
    <row r="245" spans="1:19">
      <c r="A245" s="629"/>
      <c r="B245" s="629"/>
      <c r="C245" s="21"/>
      <c r="D245" s="2566"/>
      <c r="E245" s="21">
        <f t="shared" si="41"/>
        <v>1</v>
      </c>
      <c r="F245" s="2566">
        <f>铂郡面积表!Q182</f>
        <v>0</v>
      </c>
      <c r="G245" s="21">
        <f t="shared" si="42"/>
        <v>0</v>
      </c>
      <c r="H245" s="631"/>
      <c r="I245" s="21">
        <f t="shared" si="43"/>
        <v>1</v>
      </c>
      <c r="J245" s="631"/>
      <c r="K245" s="21">
        <f t="shared" si="44"/>
        <v>1</v>
      </c>
      <c r="L245" s="631"/>
      <c r="M245" s="21">
        <f t="shared" si="45"/>
        <v>1</v>
      </c>
      <c r="N245" s="631"/>
      <c r="O245" s="21">
        <f t="shared" si="46"/>
        <v>1</v>
      </c>
      <c r="P245" s="2566">
        <f>铂郡面积表!K182</f>
        <v>0</v>
      </c>
      <c r="Q245" s="21">
        <f t="shared" si="47"/>
        <v>1</v>
      </c>
      <c r="R245" s="21">
        <f t="shared" si="48"/>
        <v>0</v>
      </c>
      <c r="S245" s="307">
        <f t="shared" si="49"/>
        <v>0</v>
      </c>
    </row>
    <row r="246" spans="1:19">
      <c r="A246" s="629"/>
      <c r="B246" s="629"/>
      <c r="C246" s="21"/>
      <c r="D246" s="2566"/>
      <c r="E246" s="21">
        <f t="shared" si="41"/>
        <v>1</v>
      </c>
      <c r="F246" s="2566">
        <f>铂郡面积表!Q183</f>
        <v>0</v>
      </c>
      <c r="G246" s="21">
        <f t="shared" si="42"/>
        <v>0</v>
      </c>
      <c r="H246" s="631"/>
      <c r="I246" s="21">
        <f t="shared" si="43"/>
        <v>1</v>
      </c>
      <c r="J246" s="631"/>
      <c r="K246" s="21">
        <f t="shared" si="44"/>
        <v>1</v>
      </c>
      <c r="L246" s="631"/>
      <c r="M246" s="21">
        <f t="shared" si="45"/>
        <v>1</v>
      </c>
      <c r="N246" s="631"/>
      <c r="O246" s="21">
        <f t="shared" si="46"/>
        <v>1</v>
      </c>
      <c r="P246" s="2566">
        <f>铂郡面积表!K183</f>
        <v>0</v>
      </c>
      <c r="Q246" s="21">
        <f t="shared" si="47"/>
        <v>1</v>
      </c>
      <c r="R246" s="21">
        <f t="shared" si="48"/>
        <v>0</v>
      </c>
      <c r="S246" s="307">
        <f t="shared" si="49"/>
        <v>0</v>
      </c>
    </row>
    <row r="247" spans="1:19">
      <c r="A247" s="629"/>
      <c r="B247" s="629"/>
      <c r="C247" s="21"/>
      <c r="D247" s="2566"/>
      <c r="E247" s="21">
        <f t="shared" si="41"/>
        <v>1</v>
      </c>
      <c r="F247" s="2566">
        <f>铂郡面积表!Q184</f>
        <v>0</v>
      </c>
      <c r="G247" s="21">
        <f t="shared" si="42"/>
        <v>0</v>
      </c>
      <c r="H247" s="631"/>
      <c r="I247" s="21">
        <f t="shared" si="43"/>
        <v>1</v>
      </c>
      <c r="J247" s="631"/>
      <c r="K247" s="21">
        <f t="shared" si="44"/>
        <v>1</v>
      </c>
      <c r="L247" s="631"/>
      <c r="M247" s="21">
        <f t="shared" si="45"/>
        <v>1</v>
      </c>
      <c r="N247" s="631"/>
      <c r="O247" s="21">
        <f t="shared" si="46"/>
        <v>1</v>
      </c>
      <c r="P247" s="2566">
        <f>铂郡面积表!K184</f>
        <v>0</v>
      </c>
      <c r="Q247" s="21">
        <f t="shared" si="47"/>
        <v>1</v>
      </c>
      <c r="R247" s="21">
        <f t="shared" si="48"/>
        <v>0</v>
      </c>
      <c r="S247" s="307">
        <f t="shared" si="49"/>
        <v>0</v>
      </c>
    </row>
    <row r="248" spans="1:19">
      <c r="A248" s="629"/>
      <c r="B248" s="629"/>
      <c r="C248" s="21"/>
      <c r="D248" s="2566"/>
      <c r="E248" s="21">
        <f t="shared" si="41"/>
        <v>1</v>
      </c>
      <c r="F248" s="2566">
        <f>铂郡面积表!Q185</f>
        <v>0</v>
      </c>
      <c r="G248" s="21">
        <f t="shared" si="42"/>
        <v>0</v>
      </c>
      <c r="H248" s="631"/>
      <c r="I248" s="21">
        <f t="shared" si="43"/>
        <v>1</v>
      </c>
      <c r="J248" s="631"/>
      <c r="K248" s="21">
        <f t="shared" si="44"/>
        <v>1</v>
      </c>
      <c r="L248" s="631"/>
      <c r="M248" s="21">
        <f t="shared" si="45"/>
        <v>1</v>
      </c>
      <c r="N248" s="631"/>
      <c r="O248" s="21">
        <f t="shared" si="46"/>
        <v>1</v>
      </c>
      <c r="P248" s="2566">
        <f>铂郡面积表!K185</f>
        <v>0</v>
      </c>
      <c r="Q248" s="21">
        <f t="shared" si="47"/>
        <v>1</v>
      </c>
      <c r="R248" s="21">
        <f t="shared" si="48"/>
        <v>0</v>
      </c>
      <c r="S248" s="307">
        <f t="shared" si="49"/>
        <v>0</v>
      </c>
    </row>
    <row r="249" spans="1:19">
      <c r="A249" s="629"/>
      <c r="B249" s="629"/>
      <c r="C249" s="21"/>
      <c r="D249" s="2566"/>
      <c r="E249" s="21">
        <f t="shared" si="41"/>
        <v>1</v>
      </c>
      <c r="F249" s="2566">
        <f>铂郡面积表!Q186</f>
        <v>0</v>
      </c>
      <c r="G249" s="21">
        <f t="shared" si="42"/>
        <v>0</v>
      </c>
      <c r="H249" s="631"/>
      <c r="I249" s="21">
        <f t="shared" si="43"/>
        <v>1</v>
      </c>
      <c r="J249" s="631"/>
      <c r="K249" s="21">
        <f t="shared" si="44"/>
        <v>1</v>
      </c>
      <c r="L249" s="631"/>
      <c r="M249" s="21">
        <f t="shared" si="45"/>
        <v>1</v>
      </c>
      <c r="N249" s="631"/>
      <c r="O249" s="21">
        <f t="shared" si="46"/>
        <v>1</v>
      </c>
      <c r="P249" s="2566">
        <f>铂郡面积表!K186</f>
        <v>0</v>
      </c>
      <c r="Q249" s="21">
        <f t="shared" si="47"/>
        <v>1</v>
      </c>
      <c r="R249" s="21">
        <f t="shared" si="48"/>
        <v>0</v>
      </c>
      <c r="S249" s="307">
        <f t="shared" si="49"/>
        <v>0</v>
      </c>
    </row>
    <row r="250" spans="1:19">
      <c r="A250" s="629"/>
      <c r="B250" s="629"/>
      <c r="C250" s="21"/>
      <c r="D250" s="2566"/>
      <c r="E250" s="21">
        <f t="shared" si="41"/>
        <v>1</v>
      </c>
      <c r="F250" s="2566">
        <f>铂郡面积表!Q187</f>
        <v>0</v>
      </c>
      <c r="G250" s="21">
        <f t="shared" si="42"/>
        <v>0</v>
      </c>
      <c r="H250" s="631"/>
      <c r="I250" s="21">
        <f t="shared" si="43"/>
        <v>1</v>
      </c>
      <c r="J250" s="631"/>
      <c r="K250" s="21">
        <f t="shared" si="44"/>
        <v>1</v>
      </c>
      <c r="L250" s="631"/>
      <c r="M250" s="21">
        <f t="shared" si="45"/>
        <v>1</v>
      </c>
      <c r="N250" s="631"/>
      <c r="O250" s="21">
        <f t="shared" si="46"/>
        <v>1</v>
      </c>
      <c r="P250" s="2566">
        <f>铂郡面积表!K187</f>
        <v>0</v>
      </c>
      <c r="Q250" s="21">
        <f t="shared" si="47"/>
        <v>1</v>
      </c>
      <c r="R250" s="21">
        <f t="shared" si="48"/>
        <v>0</v>
      </c>
      <c r="S250" s="307">
        <f t="shared" si="49"/>
        <v>0</v>
      </c>
    </row>
    <row r="251" spans="1:19">
      <c r="A251" s="629"/>
      <c r="B251" s="629"/>
      <c r="C251" s="21"/>
      <c r="D251" s="2566"/>
      <c r="E251" s="21">
        <f t="shared" si="41"/>
        <v>1</v>
      </c>
      <c r="F251" s="2566">
        <f>铂郡面积表!Q188</f>
        <v>0</v>
      </c>
      <c r="G251" s="21">
        <f t="shared" si="42"/>
        <v>0</v>
      </c>
      <c r="H251" s="631"/>
      <c r="I251" s="21">
        <f t="shared" si="43"/>
        <v>1</v>
      </c>
      <c r="J251" s="631"/>
      <c r="K251" s="21">
        <f t="shared" si="44"/>
        <v>1</v>
      </c>
      <c r="L251" s="631"/>
      <c r="M251" s="21">
        <f t="shared" si="45"/>
        <v>1</v>
      </c>
      <c r="N251" s="631"/>
      <c r="O251" s="21">
        <f t="shared" si="46"/>
        <v>1</v>
      </c>
      <c r="P251" s="2566">
        <f>铂郡面积表!K188</f>
        <v>0</v>
      </c>
      <c r="Q251" s="21">
        <f t="shared" si="47"/>
        <v>1</v>
      </c>
      <c r="R251" s="21">
        <f t="shared" si="48"/>
        <v>0</v>
      </c>
      <c r="S251" s="307">
        <f t="shared" si="49"/>
        <v>0</v>
      </c>
    </row>
    <row r="252" spans="1:19">
      <c r="A252" s="629"/>
      <c r="B252" s="629"/>
      <c r="C252" s="21"/>
      <c r="D252" s="2566"/>
      <c r="E252" s="21">
        <f t="shared" si="41"/>
        <v>1</v>
      </c>
      <c r="F252" s="2566">
        <f>铂郡面积表!Q189</f>
        <v>0</v>
      </c>
      <c r="G252" s="21">
        <f t="shared" si="42"/>
        <v>0</v>
      </c>
      <c r="H252" s="631"/>
      <c r="I252" s="21">
        <f t="shared" si="43"/>
        <v>1</v>
      </c>
      <c r="J252" s="631"/>
      <c r="K252" s="21">
        <f t="shared" si="44"/>
        <v>1</v>
      </c>
      <c r="L252" s="631"/>
      <c r="M252" s="21">
        <f t="shared" si="45"/>
        <v>1</v>
      </c>
      <c r="N252" s="631"/>
      <c r="O252" s="21">
        <f t="shared" si="46"/>
        <v>1</v>
      </c>
      <c r="P252" s="2566">
        <f>铂郡面积表!K189</f>
        <v>0</v>
      </c>
      <c r="Q252" s="21">
        <f t="shared" si="47"/>
        <v>1</v>
      </c>
      <c r="R252" s="21">
        <f t="shared" si="48"/>
        <v>0</v>
      </c>
      <c r="S252" s="307">
        <f t="shared" si="49"/>
        <v>0</v>
      </c>
    </row>
    <row r="253" spans="1:19">
      <c r="A253" s="629"/>
      <c r="B253" s="629"/>
      <c r="C253" s="21"/>
      <c r="D253" s="2566"/>
      <c r="E253" s="21">
        <f t="shared" si="41"/>
        <v>1</v>
      </c>
      <c r="F253" s="2566">
        <f>铂郡面积表!Q190</f>
        <v>0</v>
      </c>
      <c r="G253" s="21">
        <f t="shared" si="42"/>
        <v>0</v>
      </c>
      <c r="H253" s="631"/>
      <c r="I253" s="21">
        <f t="shared" si="43"/>
        <v>1</v>
      </c>
      <c r="J253" s="631"/>
      <c r="K253" s="21">
        <f t="shared" si="44"/>
        <v>1</v>
      </c>
      <c r="L253" s="631"/>
      <c r="M253" s="21">
        <f t="shared" si="45"/>
        <v>1</v>
      </c>
      <c r="N253" s="631"/>
      <c r="O253" s="21">
        <f t="shared" si="46"/>
        <v>1</v>
      </c>
      <c r="P253" s="2566">
        <f>铂郡面积表!K190</f>
        <v>0</v>
      </c>
      <c r="Q253" s="21">
        <f t="shared" si="47"/>
        <v>1</v>
      </c>
      <c r="R253" s="21">
        <f t="shared" si="48"/>
        <v>0</v>
      </c>
      <c r="S253" s="307">
        <f t="shared" si="49"/>
        <v>0</v>
      </c>
    </row>
    <row r="254" spans="1:19">
      <c r="A254" s="629"/>
      <c r="B254" s="629"/>
      <c r="C254" s="21"/>
      <c r="D254" s="2566"/>
      <c r="E254" s="21">
        <f t="shared" si="41"/>
        <v>1</v>
      </c>
      <c r="F254" s="2566">
        <f>铂郡面积表!Q191</f>
        <v>0</v>
      </c>
      <c r="G254" s="21">
        <f t="shared" si="42"/>
        <v>0</v>
      </c>
      <c r="H254" s="631"/>
      <c r="I254" s="21">
        <f t="shared" si="43"/>
        <v>1</v>
      </c>
      <c r="J254" s="631"/>
      <c r="K254" s="21">
        <f t="shared" si="44"/>
        <v>1</v>
      </c>
      <c r="L254" s="631"/>
      <c r="M254" s="21">
        <f t="shared" si="45"/>
        <v>1</v>
      </c>
      <c r="N254" s="631"/>
      <c r="O254" s="21">
        <f t="shared" si="46"/>
        <v>1</v>
      </c>
      <c r="P254" s="2566">
        <f>铂郡面积表!K191</f>
        <v>0</v>
      </c>
      <c r="Q254" s="21">
        <f t="shared" si="47"/>
        <v>1</v>
      </c>
      <c r="R254" s="21">
        <f t="shared" si="48"/>
        <v>0</v>
      </c>
      <c r="S254" s="307">
        <f t="shared" si="49"/>
        <v>0</v>
      </c>
    </row>
    <row r="255" spans="1:19">
      <c r="A255" s="629"/>
      <c r="B255" s="629"/>
      <c r="C255" s="21"/>
      <c r="D255" s="2566"/>
      <c r="E255" s="21">
        <f t="shared" si="41"/>
        <v>1</v>
      </c>
      <c r="F255" s="2566">
        <f>铂郡面积表!Q192</f>
        <v>0</v>
      </c>
      <c r="G255" s="21">
        <f t="shared" si="42"/>
        <v>0</v>
      </c>
      <c r="H255" s="631"/>
      <c r="I255" s="21">
        <f t="shared" si="43"/>
        <v>1</v>
      </c>
      <c r="J255" s="631"/>
      <c r="K255" s="21">
        <f t="shared" si="44"/>
        <v>1</v>
      </c>
      <c r="L255" s="631"/>
      <c r="M255" s="21">
        <f t="shared" si="45"/>
        <v>1</v>
      </c>
      <c r="N255" s="631"/>
      <c r="O255" s="21">
        <f t="shared" si="46"/>
        <v>1</v>
      </c>
      <c r="P255" s="2566">
        <f>铂郡面积表!K192</f>
        <v>0</v>
      </c>
      <c r="Q255" s="21">
        <f t="shared" si="47"/>
        <v>1</v>
      </c>
      <c r="R255" s="21">
        <f t="shared" si="48"/>
        <v>0</v>
      </c>
      <c r="S255" s="307">
        <f t="shared" si="49"/>
        <v>0</v>
      </c>
    </row>
    <row r="256" spans="1:19">
      <c r="A256" s="629"/>
      <c r="B256" s="629"/>
      <c r="C256" s="21"/>
      <c r="D256" s="2566"/>
      <c r="E256" s="21">
        <f t="shared" si="41"/>
        <v>1</v>
      </c>
      <c r="F256" s="2566">
        <f>铂郡面积表!Q193</f>
        <v>0</v>
      </c>
      <c r="G256" s="21">
        <f t="shared" si="42"/>
        <v>0</v>
      </c>
      <c r="H256" s="631"/>
      <c r="I256" s="21">
        <f t="shared" si="43"/>
        <v>1</v>
      </c>
      <c r="J256" s="631"/>
      <c r="K256" s="21">
        <f t="shared" si="44"/>
        <v>1</v>
      </c>
      <c r="L256" s="631"/>
      <c r="M256" s="21">
        <f t="shared" si="45"/>
        <v>1</v>
      </c>
      <c r="N256" s="631"/>
      <c r="O256" s="21">
        <f t="shared" si="46"/>
        <v>1</v>
      </c>
      <c r="P256" s="2566">
        <f>铂郡面积表!K193</f>
        <v>0</v>
      </c>
      <c r="Q256" s="21">
        <f t="shared" si="47"/>
        <v>1</v>
      </c>
      <c r="R256" s="21">
        <f t="shared" si="48"/>
        <v>0</v>
      </c>
      <c r="S256" s="307">
        <f t="shared" si="49"/>
        <v>0</v>
      </c>
    </row>
    <row r="257" spans="1:19">
      <c r="A257" s="629"/>
      <c r="B257" s="629"/>
      <c r="C257" s="21"/>
      <c r="D257" s="2566"/>
      <c r="E257" s="21">
        <f t="shared" si="41"/>
        <v>1</v>
      </c>
      <c r="F257" s="2566">
        <f>铂郡面积表!Q194</f>
        <v>0</v>
      </c>
      <c r="G257" s="21">
        <f t="shared" si="42"/>
        <v>0</v>
      </c>
      <c r="H257" s="631"/>
      <c r="I257" s="21">
        <f t="shared" si="43"/>
        <v>1</v>
      </c>
      <c r="J257" s="631"/>
      <c r="K257" s="21">
        <f t="shared" si="44"/>
        <v>1</v>
      </c>
      <c r="L257" s="631"/>
      <c r="M257" s="21">
        <f t="shared" si="45"/>
        <v>1</v>
      </c>
      <c r="N257" s="631"/>
      <c r="O257" s="21">
        <f t="shared" si="46"/>
        <v>1</v>
      </c>
      <c r="P257" s="2566">
        <f>铂郡面积表!K194</f>
        <v>0</v>
      </c>
      <c r="Q257" s="21">
        <f t="shared" si="47"/>
        <v>1</v>
      </c>
      <c r="R257" s="21">
        <f t="shared" si="48"/>
        <v>0</v>
      </c>
      <c r="S257" s="307">
        <f t="shared" si="49"/>
        <v>0</v>
      </c>
    </row>
    <row r="258" spans="1:19">
      <c r="A258" s="629"/>
      <c r="B258" s="629"/>
      <c r="C258" s="21"/>
      <c r="D258" s="2566"/>
      <c r="E258" s="21">
        <f t="shared" si="41"/>
        <v>1</v>
      </c>
      <c r="F258" s="2566">
        <f>铂郡面积表!Q195</f>
        <v>0</v>
      </c>
      <c r="G258" s="21">
        <f t="shared" si="42"/>
        <v>0</v>
      </c>
      <c r="H258" s="631"/>
      <c r="I258" s="21">
        <f t="shared" si="43"/>
        <v>1</v>
      </c>
      <c r="J258" s="631"/>
      <c r="K258" s="21">
        <f t="shared" si="44"/>
        <v>1</v>
      </c>
      <c r="L258" s="631"/>
      <c r="M258" s="21">
        <f t="shared" si="45"/>
        <v>1</v>
      </c>
      <c r="N258" s="631"/>
      <c r="O258" s="21">
        <f t="shared" si="46"/>
        <v>1</v>
      </c>
      <c r="P258" s="2566">
        <f>铂郡面积表!K195</f>
        <v>0</v>
      </c>
      <c r="Q258" s="21">
        <f t="shared" si="47"/>
        <v>1</v>
      </c>
      <c r="R258" s="21">
        <f t="shared" si="48"/>
        <v>0</v>
      </c>
      <c r="S258" s="307">
        <f t="shared" si="49"/>
        <v>0</v>
      </c>
    </row>
    <row r="259" spans="1:19">
      <c r="A259" s="629"/>
      <c r="B259" s="629"/>
      <c r="C259" s="21"/>
      <c r="D259" s="2566"/>
      <c r="E259" s="21">
        <f t="shared" si="41"/>
        <v>1</v>
      </c>
      <c r="F259" s="2566">
        <f>铂郡面积表!Q196</f>
        <v>0</v>
      </c>
      <c r="G259" s="21">
        <f t="shared" si="42"/>
        <v>0</v>
      </c>
      <c r="H259" s="631"/>
      <c r="I259" s="21">
        <f t="shared" si="43"/>
        <v>1</v>
      </c>
      <c r="J259" s="631"/>
      <c r="K259" s="21">
        <f t="shared" si="44"/>
        <v>1</v>
      </c>
      <c r="L259" s="631"/>
      <c r="M259" s="21">
        <f t="shared" si="45"/>
        <v>1</v>
      </c>
      <c r="N259" s="631"/>
      <c r="O259" s="21">
        <f t="shared" si="46"/>
        <v>1</v>
      </c>
      <c r="P259" s="2566">
        <f>铂郡面积表!K196</f>
        <v>0</v>
      </c>
      <c r="Q259" s="21">
        <f t="shared" si="47"/>
        <v>1</v>
      </c>
      <c r="R259" s="21">
        <f t="shared" si="48"/>
        <v>0</v>
      </c>
      <c r="S259" s="307">
        <f t="shared" si="49"/>
        <v>0</v>
      </c>
    </row>
    <row r="260" spans="1:19">
      <c r="A260" s="629"/>
      <c r="B260" s="629"/>
      <c r="C260" s="21"/>
      <c r="D260" s="2566"/>
      <c r="E260" s="21">
        <f t="shared" si="41"/>
        <v>1</v>
      </c>
      <c r="F260" s="2566">
        <f>铂郡面积表!Q197</f>
        <v>0</v>
      </c>
      <c r="G260" s="21">
        <f t="shared" si="42"/>
        <v>0</v>
      </c>
      <c r="H260" s="631"/>
      <c r="I260" s="21">
        <f t="shared" si="43"/>
        <v>1</v>
      </c>
      <c r="J260" s="631"/>
      <c r="K260" s="21">
        <f t="shared" si="44"/>
        <v>1</v>
      </c>
      <c r="L260" s="631"/>
      <c r="M260" s="21">
        <f t="shared" si="45"/>
        <v>1</v>
      </c>
      <c r="N260" s="631"/>
      <c r="O260" s="21">
        <f t="shared" si="46"/>
        <v>1</v>
      </c>
      <c r="P260" s="2566">
        <f>铂郡面积表!K197</f>
        <v>0</v>
      </c>
      <c r="Q260" s="21">
        <f t="shared" si="47"/>
        <v>1</v>
      </c>
      <c r="R260" s="21">
        <f t="shared" si="48"/>
        <v>0</v>
      </c>
      <c r="S260" s="307">
        <f t="shared" si="49"/>
        <v>0</v>
      </c>
    </row>
    <row r="261" spans="1:19">
      <c r="A261" s="629"/>
      <c r="B261" s="629"/>
      <c r="C261" s="21"/>
      <c r="D261" s="2566"/>
      <c r="E261" s="21">
        <f t="shared" si="41"/>
        <v>1</v>
      </c>
      <c r="F261" s="2566">
        <f>铂郡面积表!Q198</f>
        <v>0</v>
      </c>
      <c r="G261" s="21">
        <f t="shared" si="42"/>
        <v>0</v>
      </c>
      <c r="H261" s="631"/>
      <c r="I261" s="21">
        <f t="shared" si="43"/>
        <v>1</v>
      </c>
      <c r="J261" s="631"/>
      <c r="K261" s="21">
        <f t="shared" si="44"/>
        <v>1</v>
      </c>
      <c r="L261" s="631"/>
      <c r="M261" s="21">
        <f t="shared" si="45"/>
        <v>1</v>
      </c>
      <c r="N261" s="631"/>
      <c r="O261" s="21">
        <f t="shared" si="46"/>
        <v>1</v>
      </c>
      <c r="P261" s="2566">
        <f>铂郡面积表!K198</f>
        <v>0</v>
      </c>
      <c r="Q261" s="21">
        <f t="shared" si="47"/>
        <v>1</v>
      </c>
      <c r="R261" s="21">
        <f t="shared" si="48"/>
        <v>0</v>
      </c>
      <c r="S261" s="307">
        <f t="shared" si="49"/>
        <v>0</v>
      </c>
    </row>
    <row r="262" spans="1:19">
      <c r="A262" s="629"/>
      <c r="B262" s="629"/>
      <c r="C262" s="21"/>
      <c r="D262" s="2566"/>
      <c r="E262" s="21">
        <f t="shared" si="41"/>
        <v>1</v>
      </c>
      <c r="F262" s="2566">
        <f>铂郡面积表!Q199</f>
        <v>0</v>
      </c>
      <c r="G262" s="21">
        <f t="shared" si="42"/>
        <v>0</v>
      </c>
      <c r="H262" s="631"/>
      <c r="I262" s="21">
        <f t="shared" si="43"/>
        <v>1</v>
      </c>
      <c r="J262" s="631"/>
      <c r="K262" s="21">
        <f t="shared" si="44"/>
        <v>1</v>
      </c>
      <c r="L262" s="631"/>
      <c r="M262" s="21">
        <f t="shared" si="45"/>
        <v>1</v>
      </c>
      <c r="N262" s="631"/>
      <c r="O262" s="21">
        <f t="shared" si="46"/>
        <v>1</v>
      </c>
      <c r="P262" s="2566">
        <f>铂郡面积表!K199</f>
        <v>0</v>
      </c>
      <c r="Q262" s="21">
        <f t="shared" si="47"/>
        <v>1</v>
      </c>
      <c r="R262" s="21">
        <f t="shared" si="48"/>
        <v>0</v>
      </c>
      <c r="S262" s="307">
        <f t="shared" si="49"/>
        <v>0</v>
      </c>
    </row>
    <row r="263" spans="1:19">
      <c r="A263" s="629"/>
      <c r="B263" s="629"/>
      <c r="C263" s="21"/>
      <c r="D263" s="2566"/>
      <c r="E263" s="21">
        <f t="shared" si="41"/>
        <v>1</v>
      </c>
      <c r="F263" s="2566">
        <f>铂郡面积表!Q200</f>
        <v>0</v>
      </c>
      <c r="G263" s="21">
        <f t="shared" si="42"/>
        <v>0</v>
      </c>
      <c r="H263" s="631"/>
      <c r="I263" s="21">
        <f t="shared" si="43"/>
        <v>1</v>
      </c>
      <c r="J263" s="631"/>
      <c r="K263" s="21">
        <f t="shared" si="44"/>
        <v>1</v>
      </c>
      <c r="L263" s="631"/>
      <c r="M263" s="21">
        <f t="shared" si="45"/>
        <v>1</v>
      </c>
      <c r="N263" s="631"/>
      <c r="O263" s="21">
        <f t="shared" si="46"/>
        <v>1</v>
      </c>
      <c r="P263" s="2566">
        <f>铂郡面积表!K200</f>
        <v>0</v>
      </c>
      <c r="Q263" s="21">
        <f t="shared" si="47"/>
        <v>1</v>
      </c>
      <c r="R263" s="21">
        <f t="shared" si="48"/>
        <v>0</v>
      </c>
      <c r="S263" s="307">
        <f t="shared" si="49"/>
        <v>0</v>
      </c>
    </row>
    <row r="264" spans="1:19">
      <c r="A264" s="629"/>
      <c r="B264" s="629"/>
      <c r="C264" s="21"/>
      <c r="D264" s="2566"/>
      <c r="E264" s="21">
        <f t="shared" si="41"/>
        <v>1</v>
      </c>
      <c r="F264" s="2566">
        <f>铂郡面积表!Q201</f>
        <v>0</v>
      </c>
      <c r="G264" s="21">
        <f t="shared" si="42"/>
        <v>0</v>
      </c>
      <c r="H264" s="631"/>
      <c r="I264" s="21">
        <f t="shared" si="43"/>
        <v>1</v>
      </c>
      <c r="J264" s="631"/>
      <c r="K264" s="21">
        <f t="shared" si="44"/>
        <v>1</v>
      </c>
      <c r="L264" s="631"/>
      <c r="M264" s="21">
        <f t="shared" si="45"/>
        <v>1</v>
      </c>
      <c r="N264" s="631"/>
      <c r="O264" s="21">
        <f t="shared" si="46"/>
        <v>1</v>
      </c>
      <c r="P264" s="2566">
        <f>铂郡面积表!K201</f>
        <v>0</v>
      </c>
      <c r="Q264" s="21">
        <f t="shared" si="47"/>
        <v>1</v>
      </c>
      <c r="R264" s="21">
        <f t="shared" si="48"/>
        <v>0</v>
      </c>
      <c r="S264" s="307">
        <f t="shared" si="49"/>
        <v>0</v>
      </c>
    </row>
    <row r="265" spans="1:19">
      <c r="A265" s="629"/>
      <c r="B265" s="629"/>
      <c r="C265" s="21"/>
      <c r="D265" s="2566"/>
      <c r="E265" s="21">
        <f t="shared" si="41"/>
        <v>1</v>
      </c>
      <c r="F265" s="2566">
        <f>铂郡面积表!Q202</f>
        <v>0</v>
      </c>
      <c r="G265" s="21">
        <f t="shared" si="42"/>
        <v>0</v>
      </c>
      <c r="H265" s="631"/>
      <c r="I265" s="21">
        <f t="shared" si="43"/>
        <v>1</v>
      </c>
      <c r="J265" s="631"/>
      <c r="K265" s="21">
        <f t="shared" si="44"/>
        <v>1</v>
      </c>
      <c r="L265" s="631"/>
      <c r="M265" s="21">
        <f t="shared" si="45"/>
        <v>1</v>
      </c>
      <c r="N265" s="631"/>
      <c r="O265" s="21">
        <f t="shared" si="46"/>
        <v>1</v>
      </c>
      <c r="P265" s="2566">
        <f>铂郡面积表!K202</f>
        <v>0</v>
      </c>
      <c r="Q265" s="21">
        <f t="shared" si="47"/>
        <v>1</v>
      </c>
      <c r="R265" s="21">
        <f t="shared" si="48"/>
        <v>0</v>
      </c>
      <c r="S265" s="307">
        <f t="shared" si="49"/>
        <v>0</v>
      </c>
    </row>
    <row r="266" spans="1:19">
      <c r="A266" s="629"/>
      <c r="B266" s="629"/>
      <c r="C266" s="21"/>
      <c r="D266" s="2566"/>
      <c r="E266" s="21">
        <f t="shared" si="41"/>
        <v>1</v>
      </c>
      <c r="F266" s="2566">
        <f>铂郡面积表!Q203</f>
        <v>0</v>
      </c>
      <c r="G266" s="21">
        <f t="shared" si="42"/>
        <v>0</v>
      </c>
      <c r="H266" s="631"/>
      <c r="I266" s="21">
        <f t="shared" si="43"/>
        <v>1</v>
      </c>
      <c r="J266" s="631"/>
      <c r="K266" s="21">
        <f t="shared" si="44"/>
        <v>1</v>
      </c>
      <c r="L266" s="631"/>
      <c r="M266" s="21">
        <f t="shared" si="45"/>
        <v>1</v>
      </c>
      <c r="N266" s="631"/>
      <c r="O266" s="21">
        <f t="shared" si="46"/>
        <v>1</v>
      </c>
      <c r="P266" s="2566">
        <f>铂郡面积表!K203</f>
        <v>0</v>
      </c>
      <c r="Q266" s="21">
        <f t="shared" si="47"/>
        <v>1</v>
      </c>
      <c r="R266" s="21">
        <f t="shared" si="48"/>
        <v>0</v>
      </c>
      <c r="S266" s="307">
        <f t="shared" si="49"/>
        <v>0</v>
      </c>
    </row>
    <row r="267" spans="1:19">
      <c r="A267" s="629"/>
      <c r="B267" s="629"/>
      <c r="C267" s="21"/>
      <c r="D267" s="2566"/>
      <c r="E267" s="21">
        <f t="shared" si="41"/>
        <v>1</v>
      </c>
      <c r="F267" s="2566">
        <f>铂郡面积表!Q204</f>
        <v>0</v>
      </c>
      <c r="G267" s="21">
        <f t="shared" si="42"/>
        <v>0</v>
      </c>
      <c r="H267" s="631"/>
      <c r="I267" s="21">
        <f t="shared" si="43"/>
        <v>1</v>
      </c>
      <c r="J267" s="631"/>
      <c r="K267" s="21">
        <f t="shared" si="44"/>
        <v>1</v>
      </c>
      <c r="L267" s="631"/>
      <c r="M267" s="21">
        <f t="shared" si="45"/>
        <v>1</v>
      </c>
      <c r="N267" s="631"/>
      <c r="O267" s="21">
        <f t="shared" si="46"/>
        <v>1</v>
      </c>
      <c r="P267" s="2566">
        <f>铂郡面积表!K204</f>
        <v>0</v>
      </c>
      <c r="Q267" s="21">
        <f t="shared" si="47"/>
        <v>1</v>
      </c>
      <c r="R267" s="21">
        <f t="shared" si="48"/>
        <v>0</v>
      </c>
      <c r="S267" s="307">
        <f t="shared" si="49"/>
        <v>0</v>
      </c>
    </row>
    <row r="268" spans="1:19">
      <c r="A268" s="629"/>
      <c r="B268" s="629"/>
      <c r="C268" s="21"/>
      <c r="D268" s="2566"/>
      <c r="E268" s="21">
        <f t="shared" si="41"/>
        <v>1</v>
      </c>
      <c r="F268" s="2566">
        <f>铂郡面积表!Q205</f>
        <v>0</v>
      </c>
      <c r="G268" s="21">
        <f t="shared" si="42"/>
        <v>0</v>
      </c>
      <c r="H268" s="631"/>
      <c r="I268" s="21">
        <f t="shared" si="43"/>
        <v>1</v>
      </c>
      <c r="J268" s="631"/>
      <c r="K268" s="21">
        <f t="shared" si="44"/>
        <v>1</v>
      </c>
      <c r="L268" s="631"/>
      <c r="M268" s="21">
        <f t="shared" si="45"/>
        <v>1</v>
      </c>
      <c r="N268" s="631"/>
      <c r="O268" s="21">
        <f t="shared" si="46"/>
        <v>1</v>
      </c>
      <c r="P268" s="2566">
        <f>铂郡面积表!K205</f>
        <v>0</v>
      </c>
      <c r="Q268" s="21">
        <f t="shared" si="47"/>
        <v>1</v>
      </c>
      <c r="R268" s="21">
        <f t="shared" si="48"/>
        <v>0</v>
      </c>
      <c r="S268" s="307">
        <f t="shared" si="49"/>
        <v>0</v>
      </c>
    </row>
    <row r="269" spans="1:19">
      <c r="A269" s="629"/>
      <c r="B269" s="629"/>
      <c r="C269" s="21"/>
      <c r="D269" s="2566"/>
      <c r="E269" s="21">
        <f t="shared" si="41"/>
        <v>1</v>
      </c>
      <c r="F269" s="2566">
        <f>铂郡面积表!Q206</f>
        <v>0</v>
      </c>
      <c r="G269" s="21">
        <f t="shared" si="42"/>
        <v>0</v>
      </c>
      <c r="H269" s="631"/>
      <c r="I269" s="21">
        <f t="shared" si="43"/>
        <v>1</v>
      </c>
      <c r="J269" s="631"/>
      <c r="K269" s="21">
        <f t="shared" si="44"/>
        <v>1</v>
      </c>
      <c r="L269" s="631"/>
      <c r="M269" s="21">
        <f t="shared" si="45"/>
        <v>1</v>
      </c>
      <c r="N269" s="631"/>
      <c r="O269" s="21">
        <f t="shared" si="46"/>
        <v>1</v>
      </c>
      <c r="P269" s="2566">
        <f>铂郡面积表!K206</f>
        <v>0</v>
      </c>
      <c r="Q269" s="21">
        <f t="shared" si="47"/>
        <v>1</v>
      </c>
      <c r="R269" s="21">
        <f t="shared" si="48"/>
        <v>0</v>
      </c>
      <c r="S269" s="307">
        <f t="shared" si="49"/>
        <v>0</v>
      </c>
    </row>
    <row r="270" spans="1:19">
      <c r="A270" s="629"/>
      <c r="B270" s="629"/>
      <c r="C270" s="21"/>
      <c r="D270" s="2566"/>
      <c r="E270" s="21">
        <f t="shared" si="41"/>
        <v>1</v>
      </c>
      <c r="F270" s="2566">
        <f>铂郡面积表!Q207</f>
        <v>0</v>
      </c>
      <c r="G270" s="21">
        <f t="shared" si="42"/>
        <v>0</v>
      </c>
      <c r="H270" s="631"/>
      <c r="I270" s="21">
        <f t="shared" si="43"/>
        <v>1</v>
      </c>
      <c r="J270" s="631"/>
      <c r="K270" s="21">
        <f t="shared" si="44"/>
        <v>1</v>
      </c>
      <c r="L270" s="631"/>
      <c r="M270" s="21">
        <f t="shared" si="45"/>
        <v>1</v>
      </c>
      <c r="N270" s="631"/>
      <c r="O270" s="21">
        <f t="shared" si="46"/>
        <v>1</v>
      </c>
      <c r="P270" s="2566">
        <f>铂郡面积表!K207</f>
        <v>0</v>
      </c>
      <c r="Q270" s="21">
        <f t="shared" si="47"/>
        <v>1</v>
      </c>
      <c r="R270" s="21">
        <f t="shared" si="48"/>
        <v>0</v>
      </c>
      <c r="S270" s="307">
        <f t="shared" si="49"/>
        <v>0</v>
      </c>
    </row>
    <row r="271" spans="1:19">
      <c r="A271" s="629"/>
      <c r="B271" s="629"/>
      <c r="C271" s="21"/>
      <c r="D271" s="2566"/>
      <c r="E271" s="21">
        <f t="shared" si="41"/>
        <v>1</v>
      </c>
      <c r="F271" s="2566">
        <f>铂郡面积表!Q208</f>
        <v>0</v>
      </c>
      <c r="G271" s="21">
        <f t="shared" si="42"/>
        <v>0</v>
      </c>
      <c r="H271" s="631"/>
      <c r="I271" s="21">
        <f t="shared" si="43"/>
        <v>1</v>
      </c>
      <c r="J271" s="631"/>
      <c r="K271" s="21">
        <f t="shared" si="44"/>
        <v>1</v>
      </c>
      <c r="L271" s="631"/>
      <c r="M271" s="21">
        <f t="shared" si="45"/>
        <v>1</v>
      </c>
      <c r="N271" s="631"/>
      <c r="O271" s="21">
        <f t="shared" si="46"/>
        <v>1</v>
      </c>
      <c r="P271" s="2566">
        <f>铂郡面积表!K208</f>
        <v>0</v>
      </c>
      <c r="Q271" s="21">
        <f t="shared" si="47"/>
        <v>1</v>
      </c>
      <c r="R271" s="21">
        <f t="shared" si="48"/>
        <v>0</v>
      </c>
      <c r="S271" s="307">
        <f t="shared" si="49"/>
        <v>0</v>
      </c>
    </row>
    <row r="272" spans="1:19">
      <c r="A272" s="629"/>
      <c r="B272" s="629"/>
      <c r="C272" s="21"/>
      <c r="D272" s="2566"/>
      <c r="E272" s="21">
        <f t="shared" si="41"/>
        <v>1</v>
      </c>
      <c r="F272" s="2566">
        <f>铂郡面积表!Q209</f>
        <v>0</v>
      </c>
      <c r="G272" s="21">
        <f t="shared" si="42"/>
        <v>0</v>
      </c>
      <c r="H272" s="631"/>
      <c r="I272" s="21">
        <f t="shared" si="43"/>
        <v>1</v>
      </c>
      <c r="J272" s="631"/>
      <c r="K272" s="21">
        <f t="shared" si="44"/>
        <v>1</v>
      </c>
      <c r="L272" s="631"/>
      <c r="M272" s="21">
        <f t="shared" si="45"/>
        <v>1</v>
      </c>
      <c r="N272" s="631"/>
      <c r="O272" s="21">
        <f t="shared" si="46"/>
        <v>1</v>
      </c>
      <c r="P272" s="2566">
        <f>铂郡面积表!K209</f>
        <v>0</v>
      </c>
      <c r="Q272" s="21">
        <f t="shared" si="47"/>
        <v>1</v>
      </c>
      <c r="R272" s="21">
        <f t="shared" si="48"/>
        <v>0</v>
      </c>
      <c r="S272" s="307">
        <f t="shared" si="49"/>
        <v>0</v>
      </c>
    </row>
    <row r="273" spans="1:19">
      <c r="A273" s="629"/>
      <c r="B273" s="629"/>
      <c r="C273" s="21"/>
      <c r="D273" s="2566"/>
      <c r="E273" s="21">
        <f t="shared" si="41"/>
        <v>1</v>
      </c>
      <c r="F273" s="2566">
        <f>铂郡面积表!Q210</f>
        <v>0</v>
      </c>
      <c r="G273" s="21">
        <f t="shared" si="42"/>
        <v>0</v>
      </c>
      <c r="H273" s="631"/>
      <c r="I273" s="21">
        <f t="shared" si="43"/>
        <v>1</v>
      </c>
      <c r="J273" s="631"/>
      <c r="K273" s="21">
        <f t="shared" si="44"/>
        <v>1</v>
      </c>
      <c r="L273" s="631"/>
      <c r="M273" s="21">
        <f t="shared" si="45"/>
        <v>1</v>
      </c>
      <c r="N273" s="631"/>
      <c r="O273" s="21">
        <f t="shared" si="46"/>
        <v>1</v>
      </c>
      <c r="P273" s="2566">
        <f>铂郡面积表!K210</f>
        <v>0</v>
      </c>
      <c r="Q273" s="21">
        <f t="shared" si="47"/>
        <v>1</v>
      </c>
      <c r="R273" s="21">
        <f t="shared" si="48"/>
        <v>0</v>
      </c>
      <c r="S273" s="307">
        <f t="shared" si="49"/>
        <v>0</v>
      </c>
    </row>
    <row r="274" spans="1:19">
      <c r="A274" s="629"/>
      <c r="B274" s="629"/>
      <c r="C274" s="21"/>
      <c r="D274" s="2566"/>
      <c r="E274" s="21">
        <f t="shared" si="41"/>
        <v>1</v>
      </c>
      <c r="F274" s="2566">
        <f>铂郡面积表!Q211</f>
        <v>0</v>
      </c>
      <c r="G274" s="21">
        <f t="shared" si="42"/>
        <v>0</v>
      </c>
      <c r="H274" s="631"/>
      <c r="I274" s="21">
        <f t="shared" si="43"/>
        <v>1</v>
      </c>
      <c r="J274" s="631"/>
      <c r="K274" s="21">
        <f t="shared" si="44"/>
        <v>1</v>
      </c>
      <c r="L274" s="631"/>
      <c r="M274" s="21">
        <f t="shared" si="45"/>
        <v>1</v>
      </c>
      <c r="N274" s="631"/>
      <c r="O274" s="21">
        <f t="shared" si="46"/>
        <v>1</v>
      </c>
      <c r="P274" s="2566">
        <f>铂郡面积表!K211</f>
        <v>0</v>
      </c>
      <c r="Q274" s="21">
        <f t="shared" si="47"/>
        <v>1</v>
      </c>
      <c r="R274" s="21">
        <f t="shared" si="48"/>
        <v>0</v>
      </c>
      <c r="S274" s="307">
        <f t="shared" si="49"/>
        <v>0</v>
      </c>
    </row>
    <row r="275" spans="1:19">
      <c r="A275" s="629"/>
      <c r="B275" s="629"/>
      <c r="C275" s="21"/>
      <c r="D275" s="2566"/>
      <c r="E275" s="21">
        <f t="shared" si="41"/>
        <v>1</v>
      </c>
      <c r="F275" s="2566">
        <f>铂郡面积表!Q212</f>
        <v>0</v>
      </c>
      <c r="G275" s="21">
        <f t="shared" si="42"/>
        <v>0</v>
      </c>
      <c r="H275" s="631"/>
      <c r="I275" s="21">
        <f t="shared" si="43"/>
        <v>1</v>
      </c>
      <c r="J275" s="631"/>
      <c r="K275" s="21">
        <f t="shared" si="44"/>
        <v>1</v>
      </c>
      <c r="L275" s="631"/>
      <c r="M275" s="21">
        <f t="shared" si="45"/>
        <v>1</v>
      </c>
      <c r="N275" s="631"/>
      <c r="O275" s="21">
        <f t="shared" si="46"/>
        <v>1</v>
      </c>
      <c r="P275" s="2566">
        <f>铂郡面积表!K212</f>
        <v>0</v>
      </c>
      <c r="Q275" s="21">
        <f t="shared" si="47"/>
        <v>1</v>
      </c>
      <c r="R275" s="21">
        <f t="shared" si="48"/>
        <v>0</v>
      </c>
      <c r="S275" s="307">
        <f t="shared" si="49"/>
        <v>0</v>
      </c>
    </row>
    <row r="276" spans="1:19">
      <c r="A276" s="629"/>
      <c r="B276" s="629"/>
      <c r="C276" s="21"/>
      <c r="D276" s="2566"/>
      <c r="E276" s="21">
        <f t="shared" si="41"/>
        <v>1</v>
      </c>
      <c r="F276" s="2566">
        <f>铂郡面积表!Q213</f>
        <v>0</v>
      </c>
      <c r="G276" s="21">
        <f t="shared" si="42"/>
        <v>0</v>
      </c>
      <c r="H276" s="631"/>
      <c r="I276" s="21">
        <f t="shared" si="43"/>
        <v>1</v>
      </c>
      <c r="J276" s="631"/>
      <c r="K276" s="21">
        <f t="shared" si="44"/>
        <v>1</v>
      </c>
      <c r="L276" s="631"/>
      <c r="M276" s="21">
        <f t="shared" si="45"/>
        <v>1</v>
      </c>
      <c r="N276" s="631"/>
      <c r="O276" s="21">
        <f t="shared" si="46"/>
        <v>1</v>
      </c>
      <c r="P276" s="2566">
        <f>铂郡面积表!K213</f>
        <v>0</v>
      </c>
      <c r="Q276" s="21">
        <f t="shared" si="47"/>
        <v>1</v>
      </c>
      <c r="R276" s="21">
        <f t="shared" si="48"/>
        <v>0</v>
      </c>
      <c r="S276" s="307">
        <f t="shared" si="49"/>
        <v>0</v>
      </c>
    </row>
    <row r="277" spans="1:19">
      <c r="A277" s="629"/>
      <c r="B277" s="629"/>
      <c r="C277" s="21"/>
      <c r="D277" s="2566"/>
      <c r="E277" s="21">
        <f t="shared" si="41"/>
        <v>1</v>
      </c>
      <c r="F277" s="2566">
        <f>铂郡面积表!Q214</f>
        <v>0</v>
      </c>
      <c r="G277" s="21">
        <f t="shared" si="42"/>
        <v>0</v>
      </c>
      <c r="H277" s="631"/>
      <c r="I277" s="21">
        <f t="shared" si="43"/>
        <v>1</v>
      </c>
      <c r="J277" s="631"/>
      <c r="K277" s="21">
        <f t="shared" si="44"/>
        <v>1</v>
      </c>
      <c r="L277" s="631"/>
      <c r="M277" s="21">
        <f t="shared" si="45"/>
        <v>1</v>
      </c>
      <c r="N277" s="631"/>
      <c r="O277" s="21">
        <f t="shared" si="46"/>
        <v>1</v>
      </c>
      <c r="P277" s="2566">
        <f>铂郡面积表!K214</f>
        <v>0</v>
      </c>
      <c r="Q277" s="21">
        <f t="shared" si="47"/>
        <v>1</v>
      </c>
      <c r="R277" s="21">
        <f t="shared" si="48"/>
        <v>0</v>
      </c>
      <c r="S277" s="307">
        <f t="shared" si="49"/>
        <v>0</v>
      </c>
    </row>
    <row r="278" spans="1:19">
      <c r="A278" s="629"/>
      <c r="B278" s="629"/>
      <c r="C278" s="21"/>
      <c r="D278" s="2566"/>
      <c r="E278" s="21">
        <f t="shared" si="41"/>
        <v>1</v>
      </c>
      <c r="F278" s="2566">
        <f>铂郡面积表!Q215</f>
        <v>0</v>
      </c>
      <c r="G278" s="21">
        <f t="shared" si="42"/>
        <v>0</v>
      </c>
      <c r="H278" s="631"/>
      <c r="I278" s="21">
        <f t="shared" si="43"/>
        <v>1</v>
      </c>
      <c r="J278" s="631"/>
      <c r="K278" s="21">
        <f t="shared" si="44"/>
        <v>1</v>
      </c>
      <c r="L278" s="631"/>
      <c r="M278" s="21">
        <f t="shared" si="45"/>
        <v>1</v>
      </c>
      <c r="N278" s="631"/>
      <c r="O278" s="21">
        <f t="shared" si="46"/>
        <v>1</v>
      </c>
      <c r="P278" s="2566">
        <f>铂郡面积表!K215</f>
        <v>0</v>
      </c>
      <c r="Q278" s="21">
        <f t="shared" si="47"/>
        <v>1</v>
      </c>
      <c r="R278" s="21">
        <f t="shared" si="48"/>
        <v>0</v>
      </c>
      <c r="S278" s="307">
        <f t="shared" si="49"/>
        <v>0</v>
      </c>
    </row>
    <row r="279" spans="1:19">
      <c r="A279" s="629"/>
      <c r="B279" s="629"/>
      <c r="C279" s="21"/>
      <c r="D279" s="2566"/>
      <c r="E279" s="21">
        <f t="shared" si="41"/>
        <v>1</v>
      </c>
      <c r="F279" s="2566">
        <f>铂郡面积表!Q216</f>
        <v>0</v>
      </c>
      <c r="G279" s="21">
        <f t="shared" si="42"/>
        <v>0</v>
      </c>
      <c r="H279" s="631"/>
      <c r="I279" s="21">
        <f t="shared" si="43"/>
        <v>1</v>
      </c>
      <c r="J279" s="631"/>
      <c r="K279" s="21">
        <f t="shared" si="44"/>
        <v>1</v>
      </c>
      <c r="L279" s="631"/>
      <c r="M279" s="21">
        <f t="shared" si="45"/>
        <v>1</v>
      </c>
      <c r="N279" s="631"/>
      <c r="O279" s="21">
        <f t="shared" si="46"/>
        <v>1</v>
      </c>
      <c r="P279" s="2566">
        <f>铂郡面积表!K216</f>
        <v>0</v>
      </c>
      <c r="Q279" s="21">
        <f t="shared" si="47"/>
        <v>1</v>
      </c>
      <c r="R279" s="21">
        <f t="shared" si="48"/>
        <v>0</v>
      </c>
      <c r="S279" s="307">
        <f t="shared" si="49"/>
        <v>0</v>
      </c>
    </row>
    <row r="280" spans="1:19">
      <c r="A280" s="629"/>
      <c r="B280" s="629"/>
      <c r="C280" s="21"/>
      <c r="D280" s="2566"/>
      <c r="E280" s="21">
        <f t="shared" si="41"/>
        <v>1</v>
      </c>
      <c r="F280" s="2566">
        <f>铂郡面积表!Q217</f>
        <v>0</v>
      </c>
      <c r="G280" s="21">
        <f t="shared" si="42"/>
        <v>0</v>
      </c>
      <c r="H280" s="631"/>
      <c r="I280" s="21">
        <f t="shared" si="43"/>
        <v>1</v>
      </c>
      <c r="J280" s="631"/>
      <c r="K280" s="21">
        <f t="shared" si="44"/>
        <v>1</v>
      </c>
      <c r="L280" s="631"/>
      <c r="M280" s="21">
        <f t="shared" si="45"/>
        <v>1</v>
      </c>
      <c r="N280" s="631"/>
      <c r="O280" s="21">
        <f t="shared" si="46"/>
        <v>1</v>
      </c>
      <c r="P280" s="2566">
        <f>铂郡面积表!K217</f>
        <v>0</v>
      </c>
      <c r="Q280" s="21">
        <f t="shared" si="47"/>
        <v>1</v>
      </c>
      <c r="R280" s="21">
        <f t="shared" si="48"/>
        <v>0</v>
      </c>
      <c r="S280" s="307">
        <f t="shared" si="49"/>
        <v>0</v>
      </c>
    </row>
    <row r="281" spans="1:19">
      <c r="A281" s="629"/>
      <c r="B281" s="629"/>
      <c r="C281" s="21"/>
      <c r="D281" s="2566"/>
      <c r="E281" s="21">
        <f t="shared" si="41"/>
        <v>1</v>
      </c>
      <c r="F281" s="2566">
        <f>铂郡面积表!Q218</f>
        <v>0</v>
      </c>
      <c r="G281" s="21">
        <f t="shared" si="42"/>
        <v>0</v>
      </c>
      <c r="H281" s="631"/>
      <c r="I281" s="21">
        <f t="shared" si="43"/>
        <v>1</v>
      </c>
      <c r="J281" s="631"/>
      <c r="K281" s="21">
        <f t="shared" si="44"/>
        <v>1</v>
      </c>
      <c r="L281" s="631"/>
      <c r="M281" s="21">
        <f t="shared" si="45"/>
        <v>1</v>
      </c>
      <c r="N281" s="631"/>
      <c r="O281" s="21">
        <f t="shared" si="46"/>
        <v>1</v>
      </c>
      <c r="P281" s="2566">
        <f>铂郡面积表!K218</f>
        <v>0</v>
      </c>
      <c r="Q281" s="21">
        <f t="shared" si="47"/>
        <v>1</v>
      </c>
      <c r="R281" s="21">
        <f t="shared" si="48"/>
        <v>0</v>
      </c>
      <c r="S281" s="307">
        <f t="shared" si="49"/>
        <v>0</v>
      </c>
    </row>
    <row r="282" spans="1:19">
      <c r="A282" s="629"/>
      <c r="B282" s="629"/>
      <c r="C282" s="21"/>
      <c r="D282" s="2566"/>
      <c r="E282" s="21">
        <f t="shared" ref="E282:E345" si="50">(SUMIF($5:$5,D282,$6:$6)-SUMIF($5:$5,$D$24,$6:$6)+100)/100</f>
        <v>1</v>
      </c>
      <c r="F282" s="2566">
        <f>铂郡面积表!Q219</f>
        <v>0</v>
      </c>
      <c r="G282" s="21">
        <f t="shared" ref="G282:G345" si="51">(SUMIF($7:$7,F282,$8:$8)-SUMIF($7:$7,$F$24,$8:$8)+100)/100</f>
        <v>0</v>
      </c>
      <c r="H282" s="631"/>
      <c r="I282" s="21">
        <f t="shared" ref="I282:I345" si="52">(SUMIF($9:$9,H282,$10:$10)-SUMIF($9:$9,$H$24,$10:$10)+100)/100</f>
        <v>1</v>
      </c>
      <c r="J282" s="631"/>
      <c r="K282" s="21">
        <f t="shared" ref="K282:K345" si="53">(SUMIF($11:$11,J282,$12:$12)-SUMIF($11:$11,$J$24,$12:$12)+100)/100</f>
        <v>1</v>
      </c>
      <c r="L282" s="631"/>
      <c r="M282" s="21">
        <f t="shared" ref="M282:M345" si="54">(SUMIF($13:$13,L282,$14:$14)-SUMIF($13:$13,$L$24,$14:$14)+100)/100</f>
        <v>1</v>
      </c>
      <c r="N282" s="631"/>
      <c r="O282" s="21">
        <f t="shared" ref="O282:O345" si="55">(SUMIF($15:$15,N282,$16:$16)-SUMIF($15:$15,$N$24,$16:$16)+100)/100</f>
        <v>1</v>
      </c>
      <c r="P282" s="2566">
        <f>铂郡面积表!K219</f>
        <v>0</v>
      </c>
      <c r="Q282" s="21">
        <f t="shared" ref="Q282:Q345" si="56">(SUMIF($17:$17,P282,$18:$18)-SUMIF($17:$17,$P$24,$18:$18)+100)/100</f>
        <v>1</v>
      </c>
      <c r="R282" s="21">
        <f t="shared" ref="R282:R345" si="57">IF(B282="",0,ROUND($R$24*C282*E282*G282*I282*K282*M282*O282*Q282,1))</f>
        <v>0</v>
      </c>
      <c r="S282" s="307">
        <f t="shared" si="49"/>
        <v>0</v>
      </c>
    </row>
    <row r="283" spans="1:19">
      <c r="A283" s="629"/>
      <c r="B283" s="629"/>
      <c r="C283" s="21"/>
      <c r="D283" s="2566"/>
      <c r="E283" s="21">
        <f t="shared" si="50"/>
        <v>1</v>
      </c>
      <c r="F283" s="2566">
        <f>铂郡面积表!Q220</f>
        <v>0</v>
      </c>
      <c r="G283" s="21">
        <f t="shared" si="51"/>
        <v>0</v>
      </c>
      <c r="H283" s="631"/>
      <c r="I283" s="21">
        <f t="shared" si="52"/>
        <v>1</v>
      </c>
      <c r="J283" s="631"/>
      <c r="K283" s="21">
        <f t="shared" si="53"/>
        <v>1</v>
      </c>
      <c r="L283" s="631"/>
      <c r="M283" s="21">
        <f t="shared" si="54"/>
        <v>1</v>
      </c>
      <c r="N283" s="631"/>
      <c r="O283" s="21">
        <f t="shared" si="55"/>
        <v>1</v>
      </c>
      <c r="P283" s="2566">
        <f>铂郡面积表!K220</f>
        <v>0</v>
      </c>
      <c r="Q283" s="21">
        <f t="shared" si="56"/>
        <v>1</v>
      </c>
      <c r="R283" s="21">
        <f t="shared" si="57"/>
        <v>0</v>
      </c>
      <c r="S283" s="307">
        <f t="shared" si="49"/>
        <v>0</v>
      </c>
    </row>
    <row r="284" spans="1:19">
      <c r="A284" s="629"/>
      <c r="B284" s="629"/>
      <c r="C284" s="21"/>
      <c r="D284" s="2566"/>
      <c r="E284" s="21">
        <f t="shared" si="50"/>
        <v>1</v>
      </c>
      <c r="F284" s="2566">
        <f>铂郡面积表!Q221</f>
        <v>0</v>
      </c>
      <c r="G284" s="21">
        <f t="shared" si="51"/>
        <v>0</v>
      </c>
      <c r="H284" s="631"/>
      <c r="I284" s="21">
        <f t="shared" si="52"/>
        <v>1</v>
      </c>
      <c r="J284" s="631"/>
      <c r="K284" s="21">
        <f t="shared" si="53"/>
        <v>1</v>
      </c>
      <c r="L284" s="631"/>
      <c r="M284" s="21">
        <f t="shared" si="54"/>
        <v>1</v>
      </c>
      <c r="N284" s="631"/>
      <c r="O284" s="21">
        <f t="shared" si="55"/>
        <v>1</v>
      </c>
      <c r="P284" s="2566">
        <f>铂郡面积表!K221</f>
        <v>0</v>
      </c>
      <c r="Q284" s="21">
        <f t="shared" si="56"/>
        <v>1</v>
      </c>
      <c r="R284" s="21">
        <f t="shared" si="57"/>
        <v>0</v>
      </c>
      <c r="S284" s="307">
        <f t="shared" si="49"/>
        <v>0</v>
      </c>
    </row>
    <row r="285" spans="1:19">
      <c r="A285" s="629"/>
      <c r="B285" s="629"/>
      <c r="C285" s="21"/>
      <c r="D285" s="2566"/>
      <c r="E285" s="21">
        <f t="shared" si="50"/>
        <v>1</v>
      </c>
      <c r="F285" s="2566">
        <f>铂郡面积表!Q222</f>
        <v>0</v>
      </c>
      <c r="G285" s="21">
        <f t="shared" si="51"/>
        <v>0</v>
      </c>
      <c r="H285" s="631"/>
      <c r="I285" s="21">
        <f t="shared" si="52"/>
        <v>1</v>
      </c>
      <c r="J285" s="631"/>
      <c r="K285" s="21">
        <f t="shared" si="53"/>
        <v>1</v>
      </c>
      <c r="L285" s="631"/>
      <c r="M285" s="21">
        <f t="shared" si="54"/>
        <v>1</v>
      </c>
      <c r="N285" s="631"/>
      <c r="O285" s="21">
        <f t="shared" si="55"/>
        <v>1</v>
      </c>
      <c r="P285" s="2566">
        <f>铂郡面积表!K222</f>
        <v>0</v>
      </c>
      <c r="Q285" s="21">
        <f t="shared" si="56"/>
        <v>1</v>
      </c>
      <c r="R285" s="21">
        <f t="shared" si="57"/>
        <v>0</v>
      </c>
      <c r="S285" s="307">
        <f t="shared" si="49"/>
        <v>0</v>
      </c>
    </row>
    <row r="286" spans="1:19">
      <c r="A286" s="629"/>
      <c r="B286" s="629"/>
      <c r="C286" s="21"/>
      <c r="D286" s="2566"/>
      <c r="E286" s="21">
        <f t="shared" si="50"/>
        <v>1</v>
      </c>
      <c r="F286" s="2566">
        <f>铂郡面积表!Q223</f>
        <v>0</v>
      </c>
      <c r="G286" s="21">
        <f t="shared" si="51"/>
        <v>0</v>
      </c>
      <c r="H286" s="631"/>
      <c r="I286" s="21">
        <f t="shared" si="52"/>
        <v>1</v>
      </c>
      <c r="J286" s="631"/>
      <c r="K286" s="21">
        <f t="shared" si="53"/>
        <v>1</v>
      </c>
      <c r="L286" s="631"/>
      <c r="M286" s="21">
        <f t="shared" si="54"/>
        <v>1</v>
      </c>
      <c r="N286" s="631"/>
      <c r="O286" s="21">
        <f t="shared" si="55"/>
        <v>1</v>
      </c>
      <c r="P286" s="2566">
        <f>铂郡面积表!K223</f>
        <v>0</v>
      </c>
      <c r="Q286" s="21">
        <f t="shared" si="56"/>
        <v>1</v>
      </c>
      <c r="R286" s="21">
        <f t="shared" si="57"/>
        <v>0</v>
      </c>
      <c r="S286" s="307">
        <f t="shared" si="49"/>
        <v>0</v>
      </c>
    </row>
    <row r="287" spans="1:19">
      <c r="A287" s="629"/>
      <c r="B287" s="629"/>
      <c r="C287" s="21"/>
      <c r="D287" s="2566"/>
      <c r="E287" s="21">
        <f t="shared" si="50"/>
        <v>1</v>
      </c>
      <c r="F287" s="2566">
        <f>铂郡面积表!Q224</f>
        <v>0</v>
      </c>
      <c r="G287" s="21">
        <f t="shared" si="51"/>
        <v>0</v>
      </c>
      <c r="H287" s="631"/>
      <c r="I287" s="21">
        <f t="shared" si="52"/>
        <v>1</v>
      </c>
      <c r="J287" s="631"/>
      <c r="K287" s="21">
        <f t="shared" si="53"/>
        <v>1</v>
      </c>
      <c r="L287" s="631"/>
      <c r="M287" s="21">
        <f t="shared" si="54"/>
        <v>1</v>
      </c>
      <c r="N287" s="631"/>
      <c r="O287" s="21">
        <f t="shared" si="55"/>
        <v>1</v>
      </c>
      <c r="P287" s="2566">
        <f>铂郡面积表!K224</f>
        <v>0</v>
      </c>
      <c r="Q287" s="21">
        <f t="shared" si="56"/>
        <v>1</v>
      </c>
      <c r="R287" s="21">
        <f t="shared" si="57"/>
        <v>0</v>
      </c>
      <c r="S287" s="307">
        <f t="shared" ref="S287:S320" si="58">ROUND(R287*B287/10000,0)</f>
        <v>0</v>
      </c>
    </row>
    <row r="288" spans="1:19">
      <c r="A288" s="629"/>
      <c r="B288" s="629"/>
      <c r="C288" s="21"/>
      <c r="D288" s="2566"/>
      <c r="E288" s="21">
        <f t="shared" si="50"/>
        <v>1</v>
      </c>
      <c r="F288" s="2566">
        <f>铂郡面积表!Q225</f>
        <v>0</v>
      </c>
      <c r="G288" s="21">
        <f t="shared" si="51"/>
        <v>0</v>
      </c>
      <c r="H288" s="631"/>
      <c r="I288" s="21">
        <f t="shared" si="52"/>
        <v>1</v>
      </c>
      <c r="J288" s="631"/>
      <c r="K288" s="21">
        <f t="shared" si="53"/>
        <v>1</v>
      </c>
      <c r="L288" s="631"/>
      <c r="M288" s="21">
        <f t="shared" si="54"/>
        <v>1</v>
      </c>
      <c r="N288" s="631"/>
      <c r="O288" s="21">
        <f t="shared" si="55"/>
        <v>1</v>
      </c>
      <c r="P288" s="2566">
        <f>铂郡面积表!K225</f>
        <v>0</v>
      </c>
      <c r="Q288" s="21">
        <f t="shared" si="56"/>
        <v>1</v>
      </c>
      <c r="R288" s="21">
        <f t="shared" si="57"/>
        <v>0</v>
      </c>
      <c r="S288" s="307">
        <f t="shared" si="58"/>
        <v>0</v>
      </c>
    </row>
    <row r="289" spans="1:19">
      <c r="A289" s="629"/>
      <c r="B289" s="629"/>
      <c r="C289" s="21"/>
      <c r="D289" s="2566"/>
      <c r="E289" s="21">
        <f t="shared" si="50"/>
        <v>1</v>
      </c>
      <c r="F289" s="2566">
        <f>铂郡面积表!Q226</f>
        <v>0</v>
      </c>
      <c r="G289" s="21">
        <f t="shared" si="51"/>
        <v>0</v>
      </c>
      <c r="H289" s="631"/>
      <c r="I289" s="21">
        <f t="shared" si="52"/>
        <v>1</v>
      </c>
      <c r="J289" s="631"/>
      <c r="K289" s="21">
        <f t="shared" si="53"/>
        <v>1</v>
      </c>
      <c r="L289" s="631"/>
      <c r="M289" s="21">
        <f t="shared" si="54"/>
        <v>1</v>
      </c>
      <c r="N289" s="631"/>
      <c r="O289" s="21">
        <f t="shared" si="55"/>
        <v>1</v>
      </c>
      <c r="P289" s="2566">
        <f>铂郡面积表!K226</f>
        <v>0</v>
      </c>
      <c r="Q289" s="21">
        <f t="shared" si="56"/>
        <v>1</v>
      </c>
      <c r="R289" s="21">
        <f t="shared" si="57"/>
        <v>0</v>
      </c>
      <c r="S289" s="307">
        <f t="shared" si="58"/>
        <v>0</v>
      </c>
    </row>
    <row r="290" spans="1:19">
      <c r="A290" s="629"/>
      <c r="B290" s="629"/>
      <c r="C290" s="21"/>
      <c r="D290" s="2566"/>
      <c r="E290" s="21">
        <f t="shared" si="50"/>
        <v>1</v>
      </c>
      <c r="F290" s="2566">
        <f>铂郡面积表!Q227</f>
        <v>0</v>
      </c>
      <c r="G290" s="21">
        <f t="shared" si="51"/>
        <v>0</v>
      </c>
      <c r="H290" s="631"/>
      <c r="I290" s="21">
        <f t="shared" si="52"/>
        <v>1</v>
      </c>
      <c r="J290" s="631"/>
      <c r="K290" s="21">
        <f t="shared" si="53"/>
        <v>1</v>
      </c>
      <c r="L290" s="631"/>
      <c r="M290" s="21">
        <f t="shared" si="54"/>
        <v>1</v>
      </c>
      <c r="N290" s="631"/>
      <c r="O290" s="21">
        <f t="shared" si="55"/>
        <v>1</v>
      </c>
      <c r="P290" s="2566">
        <f>铂郡面积表!K227</f>
        <v>0</v>
      </c>
      <c r="Q290" s="21">
        <f t="shared" si="56"/>
        <v>1</v>
      </c>
      <c r="R290" s="21">
        <f t="shared" si="57"/>
        <v>0</v>
      </c>
      <c r="S290" s="307">
        <f t="shared" si="58"/>
        <v>0</v>
      </c>
    </row>
    <row r="291" spans="1:19">
      <c r="A291" s="629"/>
      <c r="B291" s="629"/>
      <c r="C291" s="21"/>
      <c r="D291" s="2566"/>
      <c r="E291" s="21">
        <f t="shared" si="50"/>
        <v>1</v>
      </c>
      <c r="F291" s="2566">
        <f>铂郡面积表!Q228</f>
        <v>0</v>
      </c>
      <c r="G291" s="21">
        <f t="shared" si="51"/>
        <v>0</v>
      </c>
      <c r="H291" s="631"/>
      <c r="I291" s="21">
        <f t="shared" si="52"/>
        <v>1</v>
      </c>
      <c r="J291" s="631"/>
      <c r="K291" s="21">
        <f t="shared" si="53"/>
        <v>1</v>
      </c>
      <c r="L291" s="631"/>
      <c r="M291" s="21">
        <f t="shared" si="54"/>
        <v>1</v>
      </c>
      <c r="N291" s="631"/>
      <c r="O291" s="21">
        <f t="shared" si="55"/>
        <v>1</v>
      </c>
      <c r="P291" s="2566">
        <f>铂郡面积表!K228</f>
        <v>0</v>
      </c>
      <c r="Q291" s="21">
        <f t="shared" si="56"/>
        <v>1</v>
      </c>
      <c r="R291" s="21">
        <f t="shared" si="57"/>
        <v>0</v>
      </c>
      <c r="S291" s="307">
        <f t="shared" si="58"/>
        <v>0</v>
      </c>
    </row>
    <row r="292" spans="1:19">
      <c r="A292" s="629"/>
      <c r="B292" s="629"/>
      <c r="C292" s="21"/>
      <c r="D292" s="2566"/>
      <c r="E292" s="21">
        <f t="shared" si="50"/>
        <v>1</v>
      </c>
      <c r="F292" s="2566">
        <f>铂郡面积表!Q229</f>
        <v>0</v>
      </c>
      <c r="G292" s="21">
        <f t="shared" si="51"/>
        <v>0</v>
      </c>
      <c r="H292" s="631"/>
      <c r="I292" s="21">
        <f t="shared" si="52"/>
        <v>1</v>
      </c>
      <c r="J292" s="631"/>
      <c r="K292" s="21">
        <f t="shared" si="53"/>
        <v>1</v>
      </c>
      <c r="L292" s="631"/>
      <c r="M292" s="21">
        <f t="shared" si="54"/>
        <v>1</v>
      </c>
      <c r="N292" s="631"/>
      <c r="O292" s="21">
        <f t="shared" si="55"/>
        <v>1</v>
      </c>
      <c r="P292" s="2566">
        <f>铂郡面积表!K229</f>
        <v>0</v>
      </c>
      <c r="Q292" s="21">
        <f t="shared" si="56"/>
        <v>1</v>
      </c>
      <c r="R292" s="21">
        <f t="shared" si="57"/>
        <v>0</v>
      </c>
      <c r="S292" s="307">
        <f t="shared" si="58"/>
        <v>0</v>
      </c>
    </row>
    <row r="293" spans="1:19">
      <c r="A293" s="629"/>
      <c r="B293" s="629"/>
      <c r="C293" s="21"/>
      <c r="D293" s="2566"/>
      <c r="E293" s="21">
        <f t="shared" si="50"/>
        <v>1</v>
      </c>
      <c r="F293" s="2566">
        <f>铂郡面积表!Q230</f>
        <v>0</v>
      </c>
      <c r="G293" s="21">
        <f t="shared" si="51"/>
        <v>0</v>
      </c>
      <c r="H293" s="631"/>
      <c r="I293" s="21">
        <f t="shared" si="52"/>
        <v>1</v>
      </c>
      <c r="J293" s="631"/>
      <c r="K293" s="21">
        <f t="shared" si="53"/>
        <v>1</v>
      </c>
      <c r="L293" s="631"/>
      <c r="M293" s="21">
        <f t="shared" si="54"/>
        <v>1</v>
      </c>
      <c r="N293" s="631"/>
      <c r="O293" s="21">
        <f t="shared" si="55"/>
        <v>1</v>
      </c>
      <c r="P293" s="2566">
        <f>铂郡面积表!K230</f>
        <v>0</v>
      </c>
      <c r="Q293" s="21">
        <f t="shared" si="56"/>
        <v>1</v>
      </c>
      <c r="R293" s="21">
        <f t="shared" si="57"/>
        <v>0</v>
      </c>
      <c r="S293" s="307">
        <f t="shared" si="58"/>
        <v>0</v>
      </c>
    </row>
    <row r="294" spans="1:19">
      <c r="A294" s="629"/>
      <c r="B294" s="629"/>
      <c r="C294" s="21"/>
      <c r="D294" s="2566"/>
      <c r="E294" s="21">
        <f t="shared" si="50"/>
        <v>1</v>
      </c>
      <c r="F294" s="2566">
        <f>铂郡面积表!Q231</f>
        <v>0</v>
      </c>
      <c r="G294" s="21">
        <f t="shared" si="51"/>
        <v>0</v>
      </c>
      <c r="H294" s="631"/>
      <c r="I294" s="21">
        <f t="shared" si="52"/>
        <v>1</v>
      </c>
      <c r="J294" s="631"/>
      <c r="K294" s="21">
        <f t="shared" si="53"/>
        <v>1</v>
      </c>
      <c r="L294" s="631"/>
      <c r="M294" s="21">
        <f t="shared" si="54"/>
        <v>1</v>
      </c>
      <c r="N294" s="631"/>
      <c r="O294" s="21">
        <f t="shared" si="55"/>
        <v>1</v>
      </c>
      <c r="P294" s="2566">
        <f>铂郡面积表!K231</f>
        <v>0</v>
      </c>
      <c r="Q294" s="21">
        <f t="shared" si="56"/>
        <v>1</v>
      </c>
      <c r="R294" s="21">
        <f t="shared" si="57"/>
        <v>0</v>
      </c>
      <c r="S294" s="307">
        <f t="shared" si="58"/>
        <v>0</v>
      </c>
    </row>
    <row r="295" spans="1:19">
      <c r="A295" s="629"/>
      <c r="B295" s="629"/>
      <c r="C295" s="21"/>
      <c r="D295" s="2566"/>
      <c r="E295" s="21">
        <f t="shared" si="50"/>
        <v>1</v>
      </c>
      <c r="F295" s="2566">
        <f>铂郡面积表!Q232</f>
        <v>0</v>
      </c>
      <c r="G295" s="21">
        <f t="shared" si="51"/>
        <v>0</v>
      </c>
      <c r="H295" s="631"/>
      <c r="I295" s="21">
        <f t="shared" si="52"/>
        <v>1</v>
      </c>
      <c r="J295" s="631"/>
      <c r="K295" s="21">
        <f t="shared" si="53"/>
        <v>1</v>
      </c>
      <c r="L295" s="631"/>
      <c r="M295" s="21">
        <f t="shared" si="54"/>
        <v>1</v>
      </c>
      <c r="N295" s="631"/>
      <c r="O295" s="21">
        <f t="shared" si="55"/>
        <v>1</v>
      </c>
      <c r="P295" s="2566">
        <f>铂郡面积表!K232</f>
        <v>0</v>
      </c>
      <c r="Q295" s="21">
        <f t="shared" si="56"/>
        <v>1</v>
      </c>
      <c r="R295" s="21">
        <f t="shared" si="57"/>
        <v>0</v>
      </c>
      <c r="S295" s="307">
        <f t="shared" si="58"/>
        <v>0</v>
      </c>
    </row>
    <row r="296" spans="1:19">
      <c r="A296" s="629"/>
      <c r="B296" s="629"/>
      <c r="C296" s="21"/>
      <c r="D296" s="2566"/>
      <c r="E296" s="21">
        <f t="shared" si="50"/>
        <v>1</v>
      </c>
      <c r="F296" s="2566">
        <f>铂郡面积表!Q233</f>
        <v>0</v>
      </c>
      <c r="G296" s="21">
        <f t="shared" si="51"/>
        <v>0</v>
      </c>
      <c r="H296" s="631"/>
      <c r="I296" s="21">
        <f t="shared" si="52"/>
        <v>1</v>
      </c>
      <c r="J296" s="631"/>
      <c r="K296" s="21">
        <f t="shared" si="53"/>
        <v>1</v>
      </c>
      <c r="L296" s="631"/>
      <c r="M296" s="21">
        <f t="shared" si="54"/>
        <v>1</v>
      </c>
      <c r="N296" s="631"/>
      <c r="O296" s="21">
        <f t="shared" si="55"/>
        <v>1</v>
      </c>
      <c r="P296" s="2566">
        <f>铂郡面积表!K233</f>
        <v>0</v>
      </c>
      <c r="Q296" s="21">
        <f t="shared" si="56"/>
        <v>1</v>
      </c>
      <c r="R296" s="21">
        <f t="shared" si="57"/>
        <v>0</v>
      </c>
      <c r="S296" s="307">
        <f t="shared" si="58"/>
        <v>0</v>
      </c>
    </row>
    <row r="297" spans="1:19">
      <c r="A297" s="629"/>
      <c r="B297" s="629"/>
      <c r="C297" s="21"/>
      <c r="D297" s="2566"/>
      <c r="E297" s="21">
        <f t="shared" si="50"/>
        <v>1</v>
      </c>
      <c r="F297" s="2566">
        <f>铂郡面积表!Q234</f>
        <v>0</v>
      </c>
      <c r="G297" s="21">
        <f t="shared" si="51"/>
        <v>0</v>
      </c>
      <c r="H297" s="631"/>
      <c r="I297" s="21">
        <f t="shared" si="52"/>
        <v>1</v>
      </c>
      <c r="J297" s="631"/>
      <c r="K297" s="21">
        <f t="shared" si="53"/>
        <v>1</v>
      </c>
      <c r="L297" s="631"/>
      <c r="M297" s="21">
        <f t="shared" si="54"/>
        <v>1</v>
      </c>
      <c r="N297" s="631"/>
      <c r="O297" s="21">
        <f t="shared" si="55"/>
        <v>1</v>
      </c>
      <c r="P297" s="2566">
        <f>铂郡面积表!K234</f>
        <v>0</v>
      </c>
      <c r="Q297" s="21">
        <f t="shared" si="56"/>
        <v>1</v>
      </c>
      <c r="R297" s="21">
        <f t="shared" si="57"/>
        <v>0</v>
      </c>
      <c r="S297" s="307">
        <f t="shared" si="58"/>
        <v>0</v>
      </c>
    </row>
    <row r="298" spans="1:19">
      <c r="A298" s="629"/>
      <c r="B298" s="629"/>
      <c r="C298" s="21"/>
      <c r="D298" s="2566"/>
      <c r="E298" s="21">
        <f t="shared" si="50"/>
        <v>1</v>
      </c>
      <c r="F298" s="2566">
        <f>铂郡面积表!Q235</f>
        <v>0</v>
      </c>
      <c r="G298" s="21">
        <f t="shared" si="51"/>
        <v>0</v>
      </c>
      <c r="H298" s="631"/>
      <c r="I298" s="21">
        <f t="shared" si="52"/>
        <v>1</v>
      </c>
      <c r="J298" s="631"/>
      <c r="K298" s="21">
        <f t="shared" si="53"/>
        <v>1</v>
      </c>
      <c r="L298" s="631"/>
      <c r="M298" s="21">
        <f t="shared" si="54"/>
        <v>1</v>
      </c>
      <c r="N298" s="631"/>
      <c r="O298" s="21">
        <f t="shared" si="55"/>
        <v>1</v>
      </c>
      <c r="P298" s="2566">
        <f>铂郡面积表!K235</f>
        <v>0</v>
      </c>
      <c r="Q298" s="21">
        <f t="shared" si="56"/>
        <v>1</v>
      </c>
      <c r="R298" s="21">
        <f t="shared" si="57"/>
        <v>0</v>
      </c>
      <c r="S298" s="307">
        <f t="shared" si="58"/>
        <v>0</v>
      </c>
    </row>
    <row r="299" spans="1:19">
      <c r="A299" s="629"/>
      <c r="B299" s="629"/>
      <c r="C299" s="21"/>
      <c r="D299" s="2566"/>
      <c r="E299" s="21">
        <f t="shared" si="50"/>
        <v>1</v>
      </c>
      <c r="F299" s="2566">
        <f>铂郡面积表!Q236</f>
        <v>0</v>
      </c>
      <c r="G299" s="21">
        <f t="shared" si="51"/>
        <v>0</v>
      </c>
      <c r="H299" s="631"/>
      <c r="I299" s="21">
        <f t="shared" si="52"/>
        <v>1</v>
      </c>
      <c r="J299" s="631"/>
      <c r="K299" s="21">
        <f t="shared" si="53"/>
        <v>1</v>
      </c>
      <c r="L299" s="631"/>
      <c r="M299" s="21">
        <f t="shared" si="54"/>
        <v>1</v>
      </c>
      <c r="N299" s="631"/>
      <c r="O299" s="21">
        <f t="shared" si="55"/>
        <v>1</v>
      </c>
      <c r="P299" s="2566">
        <f>铂郡面积表!K236</f>
        <v>0</v>
      </c>
      <c r="Q299" s="21">
        <f t="shared" si="56"/>
        <v>1</v>
      </c>
      <c r="R299" s="21">
        <f t="shared" si="57"/>
        <v>0</v>
      </c>
      <c r="S299" s="307">
        <f t="shared" si="58"/>
        <v>0</v>
      </c>
    </row>
    <row r="300" spans="1:19">
      <c r="A300" s="629"/>
      <c r="B300" s="629"/>
      <c r="C300" s="21"/>
      <c r="D300" s="2566"/>
      <c r="E300" s="21">
        <f t="shared" si="50"/>
        <v>1</v>
      </c>
      <c r="F300" s="2566">
        <f>铂郡面积表!Q237</f>
        <v>0</v>
      </c>
      <c r="G300" s="21">
        <f t="shared" si="51"/>
        <v>0</v>
      </c>
      <c r="H300" s="631"/>
      <c r="I300" s="21">
        <f t="shared" si="52"/>
        <v>1</v>
      </c>
      <c r="J300" s="631"/>
      <c r="K300" s="21">
        <f t="shared" si="53"/>
        <v>1</v>
      </c>
      <c r="L300" s="631"/>
      <c r="M300" s="21">
        <f t="shared" si="54"/>
        <v>1</v>
      </c>
      <c r="N300" s="631"/>
      <c r="O300" s="21">
        <f t="shared" si="55"/>
        <v>1</v>
      </c>
      <c r="P300" s="2566">
        <f>铂郡面积表!K237</f>
        <v>0</v>
      </c>
      <c r="Q300" s="21">
        <f t="shared" si="56"/>
        <v>1</v>
      </c>
      <c r="R300" s="21">
        <f t="shared" si="57"/>
        <v>0</v>
      </c>
      <c r="S300" s="307">
        <f t="shared" si="58"/>
        <v>0</v>
      </c>
    </row>
    <row r="301" spans="1:19">
      <c r="A301" s="629"/>
      <c r="B301" s="629"/>
      <c r="C301" s="21"/>
      <c r="D301" s="2566"/>
      <c r="E301" s="21">
        <f t="shared" si="50"/>
        <v>1</v>
      </c>
      <c r="F301" s="2566">
        <f>铂郡面积表!Q238</f>
        <v>0</v>
      </c>
      <c r="G301" s="21">
        <f t="shared" si="51"/>
        <v>0</v>
      </c>
      <c r="H301" s="631"/>
      <c r="I301" s="21">
        <f t="shared" si="52"/>
        <v>1</v>
      </c>
      <c r="J301" s="631"/>
      <c r="K301" s="21">
        <f t="shared" si="53"/>
        <v>1</v>
      </c>
      <c r="L301" s="631"/>
      <c r="M301" s="21">
        <f t="shared" si="54"/>
        <v>1</v>
      </c>
      <c r="N301" s="631"/>
      <c r="O301" s="21">
        <f t="shared" si="55"/>
        <v>1</v>
      </c>
      <c r="P301" s="2566">
        <f>铂郡面积表!K238</f>
        <v>0</v>
      </c>
      <c r="Q301" s="21">
        <f t="shared" si="56"/>
        <v>1</v>
      </c>
      <c r="R301" s="21">
        <f t="shared" si="57"/>
        <v>0</v>
      </c>
      <c r="S301" s="307">
        <f t="shared" si="58"/>
        <v>0</v>
      </c>
    </row>
    <row r="302" spans="1:19">
      <c r="A302" s="629"/>
      <c r="B302" s="629"/>
      <c r="C302" s="21"/>
      <c r="D302" s="2566"/>
      <c r="E302" s="21">
        <f t="shared" si="50"/>
        <v>1</v>
      </c>
      <c r="F302" s="2566">
        <f>铂郡面积表!Q239</f>
        <v>0</v>
      </c>
      <c r="G302" s="21">
        <f t="shared" si="51"/>
        <v>0</v>
      </c>
      <c r="H302" s="631"/>
      <c r="I302" s="21">
        <f t="shared" si="52"/>
        <v>1</v>
      </c>
      <c r="J302" s="631"/>
      <c r="K302" s="21">
        <f t="shared" si="53"/>
        <v>1</v>
      </c>
      <c r="L302" s="631"/>
      <c r="M302" s="21">
        <f t="shared" si="54"/>
        <v>1</v>
      </c>
      <c r="N302" s="631"/>
      <c r="O302" s="21">
        <f t="shared" si="55"/>
        <v>1</v>
      </c>
      <c r="P302" s="2566">
        <f>铂郡面积表!K239</f>
        <v>0</v>
      </c>
      <c r="Q302" s="21">
        <f t="shared" si="56"/>
        <v>1</v>
      </c>
      <c r="R302" s="21">
        <f t="shared" si="57"/>
        <v>0</v>
      </c>
      <c r="S302" s="307">
        <f t="shared" si="58"/>
        <v>0</v>
      </c>
    </row>
    <row r="303" spans="1:19">
      <c r="A303" s="629"/>
      <c r="B303" s="629"/>
      <c r="C303" s="21"/>
      <c r="D303" s="2566"/>
      <c r="E303" s="21">
        <f t="shared" si="50"/>
        <v>1</v>
      </c>
      <c r="F303" s="2566">
        <f>铂郡面积表!Q240</f>
        <v>0</v>
      </c>
      <c r="G303" s="21">
        <f t="shared" si="51"/>
        <v>0</v>
      </c>
      <c r="H303" s="631"/>
      <c r="I303" s="21">
        <f t="shared" si="52"/>
        <v>1</v>
      </c>
      <c r="J303" s="631"/>
      <c r="K303" s="21">
        <f t="shared" si="53"/>
        <v>1</v>
      </c>
      <c r="L303" s="631"/>
      <c r="M303" s="21">
        <f t="shared" si="54"/>
        <v>1</v>
      </c>
      <c r="N303" s="631"/>
      <c r="O303" s="21">
        <f t="shared" si="55"/>
        <v>1</v>
      </c>
      <c r="P303" s="2566">
        <f>铂郡面积表!K240</f>
        <v>0</v>
      </c>
      <c r="Q303" s="21">
        <f t="shared" si="56"/>
        <v>1</v>
      </c>
      <c r="R303" s="21">
        <f t="shared" si="57"/>
        <v>0</v>
      </c>
      <c r="S303" s="307">
        <f t="shared" si="58"/>
        <v>0</v>
      </c>
    </row>
    <row r="304" spans="1:19">
      <c r="A304" s="629"/>
      <c r="B304" s="629"/>
      <c r="C304" s="21"/>
      <c r="D304" s="2566"/>
      <c r="E304" s="21">
        <f t="shared" si="50"/>
        <v>1</v>
      </c>
      <c r="F304" s="2566">
        <f>铂郡面积表!Q241</f>
        <v>0</v>
      </c>
      <c r="G304" s="21">
        <f t="shared" si="51"/>
        <v>0</v>
      </c>
      <c r="H304" s="631"/>
      <c r="I304" s="21">
        <f t="shared" si="52"/>
        <v>1</v>
      </c>
      <c r="J304" s="631"/>
      <c r="K304" s="21">
        <f t="shared" si="53"/>
        <v>1</v>
      </c>
      <c r="L304" s="631"/>
      <c r="M304" s="21">
        <f t="shared" si="54"/>
        <v>1</v>
      </c>
      <c r="N304" s="631"/>
      <c r="O304" s="21">
        <f t="shared" si="55"/>
        <v>1</v>
      </c>
      <c r="P304" s="2566">
        <f>铂郡面积表!K241</f>
        <v>0</v>
      </c>
      <c r="Q304" s="21">
        <f t="shared" si="56"/>
        <v>1</v>
      </c>
      <c r="R304" s="21">
        <f t="shared" si="57"/>
        <v>0</v>
      </c>
      <c r="S304" s="307">
        <f t="shared" si="58"/>
        <v>0</v>
      </c>
    </row>
    <row r="305" spans="1:19">
      <c r="A305" s="629"/>
      <c r="B305" s="629"/>
      <c r="C305" s="21"/>
      <c r="D305" s="2566"/>
      <c r="E305" s="21">
        <f t="shared" si="50"/>
        <v>1</v>
      </c>
      <c r="F305" s="2566">
        <f>铂郡面积表!Q242</f>
        <v>0</v>
      </c>
      <c r="G305" s="21">
        <f t="shared" si="51"/>
        <v>0</v>
      </c>
      <c r="H305" s="631"/>
      <c r="I305" s="21">
        <f t="shared" si="52"/>
        <v>1</v>
      </c>
      <c r="J305" s="631"/>
      <c r="K305" s="21">
        <f t="shared" si="53"/>
        <v>1</v>
      </c>
      <c r="L305" s="631"/>
      <c r="M305" s="21">
        <f t="shared" si="54"/>
        <v>1</v>
      </c>
      <c r="N305" s="631"/>
      <c r="O305" s="21">
        <f t="shared" si="55"/>
        <v>1</v>
      </c>
      <c r="P305" s="2566">
        <f>铂郡面积表!K242</f>
        <v>0</v>
      </c>
      <c r="Q305" s="21">
        <f t="shared" si="56"/>
        <v>1</v>
      </c>
      <c r="R305" s="21">
        <f t="shared" si="57"/>
        <v>0</v>
      </c>
      <c r="S305" s="307">
        <f t="shared" si="58"/>
        <v>0</v>
      </c>
    </row>
    <row r="306" spans="1:19">
      <c r="A306" s="629"/>
      <c r="B306" s="629"/>
      <c r="C306" s="21"/>
      <c r="D306" s="2566"/>
      <c r="E306" s="21">
        <f t="shared" si="50"/>
        <v>1</v>
      </c>
      <c r="F306" s="2566">
        <f>铂郡面积表!Q243</f>
        <v>0</v>
      </c>
      <c r="G306" s="21">
        <f t="shared" si="51"/>
        <v>0</v>
      </c>
      <c r="H306" s="631"/>
      <c r="I306" s="21">
        <f t="shared" si="52"/>
        <v>1</v>
      </c>
      <c r="J306" s="631"/>
      <c r="K306" s="21">
        <f t="shared" si="53"/>
        <v>1</v>
      </c>
      <c r="L306" s="631"/>
      <c r="M306" s="21">
        <f t="shared" si="54"/>
        <v>1</v>
      </c>
      <c r="N306" s="631"/>
      <c r="O306" s="21">
        <f t="shared" si="55"/>
        <v>1</v>
      </c>
      <c r="P306" s="2566">
        <f>铂郡面积表!K243</f>
        <v>0</v>
      </c>
      <c r="Q306" s="21">
        <f t="shared" si="56"/>
        <v>1</v>
      </c>
      <c r="R306" s="21">
        <f t="shared" si="57"/>
        <v>0</v>
      </c>
      <c r="S306" s="307">
        <f t="shared" si="58"/>
        <v>0</v>
      </c>
    </row>
    <row r="307" spans="1:19">
      <c r="A307" s="629"/>
      <c r="B307" s="629"/>
      <c r="C307" s="21"/>
      <c r="D307" s="2566"/>
      <c r="E307" s="21">
        <f t="shared" si="50"/>
        <v>1</v>
      </c>
      <c r="F307" s="2566">
        <f>铂郡面积表!Q244</f>
        <v>0</v>
      </c>
      <c r="G307" s="21">
        <f t="shared" si="51"/>
        <v>0</v>
      </c>
      <c r="H307" s="631"/>
      <c r="I307" s="21">
        <f t="shared" si="52"/>
        <v>1</v>
      </c>
      <c r="J307" s="631"/>
      <c r="K307" s="21">
        <f t="shared" si="53"/>
        <v>1</v>
      </c>
      <c r="L307" s="631"/>
      <c r="M307" s="21">
        <f t="shared" si="54"/>
        <v>1</v>
      </c>
      <c r="N307" s="631"/>
      <c r="O307" s="21">
        <f t="shared" si="55"/>
        <v>1</v>
      </c>
      <c r="P307" s="2566">
        <f>铂郡面积表!K244</f>
        <v>0</v>
      </c>
      <c r="Q307" s="21">
        <f t="shared" si="56"/>
        <v>1</v>
      </c>
      <c r="R307" s="21">
        <f t="shared" si="57"/>
        <v>0</v>
      </c>
      <c r="S307" s="307">
        <f t="shared" si="58"/>
        <v>0</v>
      </c>
    </row>
    <row r="308" spans="1:19">
      <c r="A308" s="629"/>
      <c r="B308" s="629"/>
      <c r="C308" s="21"/>
      <c r="D308" s="2566"/>
      <c r="E308" s="21">
        <f t="shared" si="50"/>
        <v>1</v>
      </c>
      <c r="F308" s="2566">
        <f>铂郡面积表!Q245</f>
        <v>0</v>
      </c>
      <c r="G308" s="21">
        <f t="shared" si="51"/>
        <v>0</v>
      </c>
      <c r="H308" s="631"/>
      <c r="I308" s="21">
        <f t="shared" si="52"/>
        <v>1</v>
      </c>
      <c r="J308" s="631"/>
      <c r="K308" s="21">
        <f t="shared" si="53"/>
        <v>1</v>
      </c>
      <c r="L308" s="631"/>
      <c r="M308" s="21">
        <f t="shared" si="54"/>
        <v>1</v>
      </c>
      <c r="N308" s="631"/>
      <c r="O308" s="21">
        <f t="shared" si="55"/>
        <v>1</v>
      </c>
      <c r="P308" s="2566">
        <f>铂郡面积表!K245</f>
        <v>0</v>
      </c>
      <c r="Q308" s="21">
        <f t="shared" si="56"/>
        <v>1</v>
      </c>
      <c r="R308" s="21">
        <f t="shared" si="57"/>
        <v>0</v>
      </c>
      <c r="S308" s="307">
        <f t="shared" si="58"/>
        <v>0</v>
      </c>
    </row>
    <row r="309" spans="1:19">
      <c r="A309" s="629"/>
      <c r="B309" s="629"/>
      <c r="C309" s="21"/>
      <c r="D309" s="2566"/>
      <c r="E309" s="21">
        <f t="shared" si="50"/>
        <v>1</v>
      </c>
      <c r="F309" s="2566">
        <f>铂郡面积表!Q246</f>
        <v>0</v>
      </c>
      <c r="G309" s="21">
        <f t="shared" si="51"/>
        <v>0</v>
      </c>
      <c r="H309" s="631"/>
      <c r="I309" s="21">
        <f t="shared" si="52"/>
        <v>1</v>
      </c>
      <c r="J309" s="631"/>
      <c r="K309" s="21">
        <f t="shared" si="53"/>
        <v>1</v>
      </c>
      <c r="L309" s="631"/>
      <c r="M309" s="21">
        <f t="shared" si="54"/>
        <v>1</v>
      </c>
      <c r="N309" s="631"/>
      <c r="O309" s="21">
        <f t="shared" si="55"/>
        <v>1</v>
      </c>
      <c r="P309" s="2566">
        <f>铂郡面积表!K246</f>
        <v>0</v>
      </c>
      <c r="Q309" s="21">
        <f t="shared" si="56"/>
        <v>1</v>
      </c>
      <c r="R309" s="21">
        <f t="shared" si="57"/>
        <v>0</v>
      </c>
      <c r="S309" s="307">
        <f t="shared" si="58"/>
        <v>0</v>
      </c>
    </row>
    <row r="310" spans="1:19">
      <c r="A310" s="629"/>
      <c r="B310" s="629"/>
      <c r="C310" s="21"/>
      <c r="D310" s="2566"/>
      <c r="E310" s="21">
        <f t="shared" si="50"/>
        <v>1</v>
      </c>
      <c r="F310" s="2566">
        <f>铂郡面积表!Q247</f>
        <v>0</v>
      </c>
      <c r="G310" s="21">
        <f t="shared" si="51"/>
        <v>0</v>
      </c>
      <c r="H310" s="631"/>
      <c r="I310" s="21">
        <f t="shared" si="52"/>
        <v>1</v>
      </c>
      <c r="J310" s="631"/>
      <c r="K310" s="21">
        <f t="shared" si="53"/>
        <v>1</v>
      </c>
      <c r="L310" s="631"/>
      <c r="M310" s="21">
        <f t="shared" si="54"/>
        <v>1</v>
      </c>
      <c r="N310" s="631"/>
      <c r="O310" s="21">
        <f t="shared" si="55"/>
        <v>1</v>
      </c>
      <c r="P310" s="2566">
        <f>铂郡面积表!K247</f>
        <v>0</v>
      </c>
      <c r="Q310" s="21">
        <f t="shared" si="56"/>
        <v>1</v>
      </c>
      <c r="R310" s="21">
        <f t="shared" si="57"/>
        <v>0</v>
      </c>
      <c r="S310" s="307">
        <f t="shared" si="58"/>
        <v>0</v>
      </c>
    </row>
    <row r="311" spans="1:19">
      <c r="A311" s="629"/>
      <c r="B311" s="629"/>
      <c r="C311" s="21"/>
      <c r="D311" s="2566"/>
      <c r="E311" s="21">
        <f t="shared" si="50"/>
        <v>1</v>
      </c>
      <c r="F311" s="2566">
        <f>铂郡面积表!Q248</f>
        <v>0</v>
      </c>
      <c r="G311" s="21">
        <f t="shared" si="51"/>
        <v>0</v>
      </c>
      <c r="H311" s="631"/>
      <c r="I311" s="21">
        <f t="shared" si="52"/>
        <v>1</v>
      </c>
      <c r="J311" s="631"/>
      <c r="K311" s="21">
        <f t="shared" si="53"/>
        <v>1</v>
      </c>
      <c r="L311" s="631"/>
      <c r="M311" s="21">
        <f t="shared" si="54"/>
        <v>1</v>
      </c>
      <c r="N311" s="631"/>
      <c r="O311" s="21">
        <f t="shared" si="55"/>
        <v>1</v>
      </c>
      <c r="P311" s="2566">
        <f>铂郡面积表!K248</f>
        <v>0</v>
      </c>
      <c r="Q311" s="21">
        <f t="shared" si="56"/>
        <v>1</v>
      </c>
      <c r="R311" s="21">
        <f t="shared" si="57"/>
        <v>0</v>
      </c>
      <c r="S311" s="307">
        <f t="shared" si="58"/>
        <v>0</v>
      </c>
    </row>
    <row r="312" spans="1:19">
      <c r="A312" s="629"/>
      <c r="B312" s="629"/>
      <c r="C312" s="21"/>
      <c r="D312" s="2566"/>
      <c r="E312" s="21">
        <f t="shared" si="50"/>
        <v>1</v>
      </c>
      <c r="F312" s="2566">
        <f>铂郡面积表!Q249</f>
        <v>0</v>
      </c>
      <c r="G312" s="21">
        <f t="shared" si="51"/>
        <v>0</v>
      </c>
      <c r="H312" s="631"/>
      <c r="I312" s="21">
        <f t="shared" si="52"/>
        <v>1</v>
      </c>
      <c r="J312" s="631"/>
      <c r="K312" s="21">
        <f t="shared" si="53"/>
        <v>1</v>
      </c>
      <c r="L312" s="631"/>
      <c r="M312" s="21">
        <f t="shared" si="54"/>
        <v>1</v>
      </c>
      <c r="N312" s="631"/>
      <c r="O312" s="21">
        <f t="shared" si="55"/>
        <v>1</v>
      </c>
      <c r="P312" s="2566">
        <f>铂郡面积表!K249</f>
        <v>0</v>
      </c>
      <c r="Q312" s="21">
        <f t="shared" si="56"/>
        <v>1</v>
      </c>
      <c r="R312" s="21">
        <f t="shared" si="57"/>
        <v>0</v>
      </c>
      <c r="S312" s="307">
        <f t="shared" si="58"/>
        <v>0</v>
      </c>
    </row>
    <row r="313" spans="1:19">
      <c r="A313" s="629"/>
      <c r="B313" s="629"/>
      <c r="C313" s="21"/>
      <c r="D313" s="2566"/>
      <c r="E313" s="21">
        <f t="shared" si="50"/>
        <v>1</v>
      </c>
      <c r="F313" s="2566">
        <f>铂郡面积表!Q250</f>
        <v>0</v>
      </c>
      <c r="G313" s="21">
        <f t="shared" si="51"/>
        <v>0</v>
      </c>
      <c r="H313" s="631"/>
      <c r="I313" s="21">
        <f t="shared" si="52"/>
        <v>1</v>
      </c>
      <c r="J313" s="631"/>
      <c r="K313" s="21">
        <f t="shared" si="53"/>
        <v>1</v>
      </c>
      <c r="L313" s="631"/>
      <c r="M313" s="21">
        <f t="shared" si="54"/>
        <v>1</v>
      </c>
      <c r="N313" s="631"/>
      <c r="O313" s="21">
        <f t="shared" si="55"/>
        <v>1</v>
      </c>
      <c r="P313" s="2566">
        <f>铂郡面积表!K250</f>
        <v>0</v>
      </c>
      <c r="Q313" s="21">
        <f t="shared" si="56"/>
        <v>1</v>
      </c>
      <c r="R313" s="21">
        <f t="shared" si="57"/>
        <v>0</v>
      </c>
      <c r="S313" s="307">
        <f t="shared" si="58"/>
        <v>0</v>
      </c>
    </row>
    <row r="314" spans="1:19">
      <c r="A314" s="629"/>
      <c r="B314" s="629"/>
      <c r="C314" s="21"/>
      <c r="D314" s="2566"/>
      <c r="E314" s="21">
        <f t="shared" si="50"/>
        <v>1</v>
      </c>
      <c r="F314" s="2566">
        <f>铂郡面积表!Q251</f>
        <v>0</v>
      </c>
      <c r="G314" s="21">
        <f t="shared" si="51"/>
        <v>0</v>
      </c>
      <c r="H314" s="631"/>
      <c r="I314" s="21">
        <f t="shared" si="52"/>
        <v>1</v>
      </c>
      <c r="J314" s="631"/>
      <c r="K314" s="21">
        <f t="shared" si="53"/>
        <v>1</v>
      </c>
      <c r="L314" s="631"/>
      <c r="M314" s="21">
        <f t="shared" si="54"/>
        <v>1</v>
      </c>
      <c r="N314" s="631"/>
      <c r="O314" s="21">
        <f t="shared" si="55"/>
        <v>1</v>
      </c>
      <c r="P314" s="2566">
        <f>铂郡面积表!K251</f>
        <v>0</v>
      </c>
      <c r="Q314" s="21">
        <f t="shared" si="56"/>
        <v>1</v>
      </c>
      <c r="R314" s="21">
        <f t="shared" si="57"/>
        <v>0</v>
      </c>
      <c r="S314" s="307">
        <f t="shared" si="58"/>
        <v>0</v>
      </c>
    </row>
    <row r="315" spans="1:19">
      <c r="A315" s="629"/>
      <c r="B315" s="629"/>
      <c r="C315" s="21"/>
      <c r="D315" s="2566"/>
      <c r="E315" s="21">
        <f t="shared" si="50"/>
        <v>1</v>
      </c>
      <c r="F315" s="2566">
        <f>铂郡面积表!Q252</f>
        <v>0</v>
      </c>
      <c r="G315" s="21">
        <f t="shared" si="51"/>
        <v>0</v>
      </c>
      <c r="H315" s="631"/>
      <c r="I315" s="21">
        <f t="shared" si="52"/>
        <v>1</v>
      </c>
      <c r="J315" s="631"/>
      <c r="K315" s="21">
        <f t="shared" si="53"/>
        <v>1</v>
      </c>
      <c r="L315" s="631"/>
      <c r="M315" s="21">
        <f t="shared" si="54"/>
        <v>1</v>
      </c>
      <c r="N315" s="631"/>
      <c r="O315" s="21">
        <f t="shared" si="55"/>
        <v>1</v>
      </c>
      <c r="P315" s="2566">
        <f>铂郡面积表!K252</f>
        <v>0</v>
      </c>
      <c r="Q315" s="21">
        <f t="shared" si="56"/>
        <v>1</v>
      </c>
      <c r="R315" s="21">
        <f t="shared" si="57"/>
        <v>0</v>
      </c>
      <c r="S315" s="307">
        <f t="shared" si="58"/>
        <v>0</v>
      </c>
    </row>
    <row r="316" spans="1:19">
      <c r="A316" s="629"/>
      <c r="B316" s="629"/>
      <c r="C316" s="21"/>
      <c r="D316" s="2566"/>
      <c r="E316" s="21">
        <f t="shared" si="50"/>
        <v>1</v>
      </c>
      <c r="F316" s="2566">
        <f>铂郡面积表!Q253</f>
        <v>0</v>
      </c>
      <c r="G316" s="21">
        <f t="shared" si="51"/>
        <v>0</v>
      </c>
      <c r="H316" s="631"/>
      <c r="I316" s="21">
        <f t="shared" si="52"/>
        <v>1</v>
      </c>
      <c r="J316" s="631"/>
      <c r="K316" s="21">
        <f t="shared" si="53"/>
        <v>1</v>
      </c>
      <c r="L316" s="631"/>
      <c r="M316" s="21">
        <f t="shared" si="54"/>
        <v>1</v>
      </c>
      <c r="N316" s="631"/>
      <c r="O316" s="21">
        <f t="shared" si="55"/>
        <v>1</v>
      </c>
      <c r="P316" s="2566">
        <f>铂郡面积表!K253</f>
        <v>0</v>
      </c>
      <c r="Q316" s="21">
        <f t="shared" si="56"/>
        <v>1</v>
      </c>
      <c r="R316" s="21">
        <f t="shared" si="57"/>
        <v>0</v>
      </c>
      <c r="S316" s="307">
        <f t="shared" si="58"/>
        <v>0</v>
      </c>
    </row>
    <row r="317" spans="1:19">
      <c r="A317" s="629"/>
      <c r="B317" s="629"/>
      <c r="C317" s="21"/>
      <c r="D317" s="2566"/>
      <c r="E317" s="21">
        <f t="shared" si="50"/>
        <v>1</v>
      </c>
      <c r="F317" s="2566">
        <f>铂郡面积表!Q254</f>
        <v>0</v>
      </c>
      <c r="G317" s="21">
        <f t="shared" si="51"/>
        <v>0</v>
      </c>
      <c r="H317" s="631"/>
      <c r="I317" s="21">
        <f t="shared" si="52"/>
        <v>1</v>
      </c>
      <c r="J317" s="631"/>
      <c r="K317" s="21">
        <f t="shared" si="53"/>
        <v>1</v>
      </c>
      <c r="L317" s="631"/>
      <c r="M317" s="21">
        <f t="shared" si="54"/>
        <v>1</v>
      </c>
      <c r="N317" s="631"/>
      <c r="O317" s="21">
        <f t="shared" si="55"/>
        <v>1</v>
      </c>
      <c r="P317" s="2566">
        <f>铂郡面积表!K254</f>
        <v>0</v>
      </c>
      <c r="Q317" s="21">
        <f t="shared" si="56"/>
        <v>1</v>
      </c>
      <c r="R317" s="21">
        <f t="shared" si="57"/>
        <v>0</v>
      </c>
      <c r="S317" s="307">
        <f t="shared" si="58"/>
        <v>0</v>
      </c>
    </row>
    <row r="318" spans="1:19">
      <c r="A318" s="629"/>
      <c r="B318" s="629"/>
      <c r="C318" s="21"/>
      <c r="D318" s="2566"/>
      <c r="E318" s="21">
        <f t="shared" si="50"/>
        <v>1</v>
      </c>
      <c r="F318" s="2566">
        <f>铂郡面积表!Q255</f>
        <v>0</v>
      </c>
      <c r="G318" s="21">
        <f t="shared" si="51"/>
        <v>0</v>
      </c>
      <c r="H318" s="631"/>
      <c r="I318" s="21">
        <f t="shared" si="52"/>
        <v>1</v>
      </c>
      <c r="J318" s="631"/>
      <c r="K318" s="21">
        <f t="shared" si="53"/>
        <v>1</v>
      </c>
      <c r="L318" s="631"/>
      <c r="M318" s="21">
        <f t="shared" si="54"/>
        <v>1</v>
      </c>
      <c r="N318" s="631"/>
      <c r="O318" s="21">
        <f t="shared" si="55"/>
        <v>1</v>
      </c>
      <c r="P318" s="2566">
        <f>铂郡面积表!K255</f>
        <v>0</v>
      </c>
      <c r="Q318" s="21">
        <f t="shared" si="56"/>
        <v>1</v>
      </c>
      <c r="R318" s="21">
        <f t="shared" si="57"/>
        <v>0</v>
      </c>
      <c r="S318" s="307">
        <f t="shared" si="58"/>
        <v>0</v>
      </c>
    </row>
    <row r="319" spans="1:19">
      <c r="A319" s="629"/>
      <c r="B319" s="629"/>
      <c r="C319" s="21"/>
      <c r="D319" s="2566"/>
      <c r="E319" s="21">
        <f t="shared" si="50"/>
        <v>1</v>
      </c>
      <c r="F319" s="2566">
        <f>铂郡面积表!Q256</f>
        <v>0</v>
      </c>
      <c r="G319" s="21">
        <f t="shared" si="51"/>
        <v>0</v>
      </c>
      <c r="H319" s="631"/>
      <c r="I319" s="21">
        <f t="shared" si="52"/>
        <v>1</v>
      </c>
      <c r="J319" s="631"/>
      <c r="K319" s="21">
        <f t="shared" si="53"/>
        <v>1</v>
      </c>
      <c r="L319" s="631"/>
      <c r="M319" s="21">
        <f t="shared" si="54"/>
        <v>1</v>
      </c>
      <c r="N319" s="631"/>
      <c r="O319" s="21">
        <f t="shared" si="55"/>
        <v>1</v>
      </c>
      <c r="P319" s="2566">
        <f>铂郡面积表!K256</f>
        <v>0</v>
      </c>
      <c r="Q319" s="21">
        <f t="shared" si="56"/>
        <v>1</v>
      </c>
      <c r="R319" s="21">
        <f t="shared" si="57"/>
        <v>0</v>
      </c>
      <c r="S319" s="307">
        <f t="shared" si="58"/>
        <v>0</v>
      </c>
    </row>
    <row r="320" spans="1:19">
      <c r="A320" s="629"/>
      <c r="B320" s="629"/>
      <c r="C320" s="21"/>
      <c r="D320" s="2566"/>
      <c r="E320" s="21">
        <f t="shared" si="50"/>
        <v>1</v>
      </c>
      <c r="F320" s="2566">
        <f>铂郡面积表!Q257</f>
        <v>0</v>
      </c>
      <c r="G320" s="21">
        <f t="shared" si="51"/>
        <v>0</v>
      </c>
      <c r="H320" s="631"/>
      <c r="I320" s="21">
        <f t="shared" si="52"/>
        <v>1</v>
      </c>
      <c r="J320" s="631"/>
      <c r="K320" s="21">
        <f t="shared" si="53"/>
        <v>1</v>
      </c>
      <c r="L320" s="631"/>
      <c r="M320" s="21">
        <f t="shared" si="54"/>
        <v>1</v>
      </c>
      <c r="N320" s="631"/>
      <c r="O320" s="21">
        <f t="shared" si="55"/>
        <v>1</v>
      </c>
      <c r="P320" s="2566">
        <f>铂郡面积表!K257</f>
        <v>0</v>
      </c>
      <c r="Q320" s="21">
        <f t="shared" si="56"/>
        <v>1</v>
      </c>
      <c r="R320" s="21">
        <f t="shared" si="57"/>
        <v>0</v>
      </c>
      <c r="S320" s="307">
        <f t="shared" si="58"/>
        <v>0</v>
      </c>
    </row>
    <row r="321" spans="1:19">
      <c r="A321" s="629"/>
      <c r="B321" s="629"/>
      <c r="C321" s="21"/>
      <c r="D321" s="2566"/>
      <c r="E321" s="21">
        <f t="shared" si="50"/>
        <v>1</v>
      </c>
      <c r="F321" s="2566">
        <f>铂郡面积表!Q258</f>
        <v>0</v>
      </c>
      <c r="G321" s="21">
        <f t="shared" si="51"/>
        <v>0</v>
      </c>
      <c r="H321" s="631"/>
      <c r="I321" s="21">
        <f t="shared" si="52"/>
        <v>1</v>
      </c>
      <c r="J321" s="631"/>
      <c r="K321" s="21">
        <f t="shared" si="53"/>
        <v>1</v>
      </c>
      <c r="L321" s="631"/>
      <c r="M321" s="21">
        <f t="shared" si="54"/>
        <v>1</v>
      </c>
      <c r="N321" s="631"/>
      <c r="O321" s="21">
        <f t="shared" si="55"/>
        <v>1</v>
      </c>
      <c r="P321" s="2566">
        <f>铂郡面积表!K258</f>
        <v>0</v>
      </c>
      <c r="Q321" s="21">
        <f t="shared" si="56"/>
        <v>1</v>
      </c>
      <c r="R321" s="21">
        <f t="shared" si="57"/>
        <v>0</v>
      </c>
      <c r="S321" s="307">
        <f t="shared" ref="S321:S384" si="59">ROUND(R321*B321/10000,0)</f>
        <v>0</v>
      </c>
    </row>
    <row r="322" spans="1:19">
      <c r="A322" s="629"/>
      <c r="B322" s="629"/>
      <c r="C322" s="21"/>
      <c r="D322" s="2566"/>
      <c r="E322" s="21">
        <f t="shared" si="50"/>
        <v>1</v>
      </c>
      <c r="F322" s="2566">
        <f>铂郡面积表!Q259</f>
        <v>0</v>
      </c>
      <c r="G322" s="21">
        <f t="shared" si="51"/>
        <v>0</v>
      </c>
      <c r="H322" s="631"/>
      <c r="I322" s="21">
        <f t="shared" si="52"/>
        <v>1</v>
      </c>
      <c r="J322" s="631"/>
      <c r="K322" s="21">
        <f t="shared" si="53"/>
        <v>1</v>
      </c>
      <c r="L322" s="631"/>
      <c r="M322" s="21">
        <f t="shared" si="54"/>
        <v>1</v>
      </c>
      <c r="N322" s="631"/>
      <c r="O322" s="21">
        <f t="shared" si="55"/>
        <v>1</v>
      </c>
      <c r="P322" s="2566">
        <f>铂郡面积表!K259</f>
        <v>0</v>
      </c>
      <c r="Q322" s="21">
        <f t="shared" si="56"/>
        <v>1</v>
      </c>
      <c r="R322" s="21">
        <f t="shared" si="57"/>
        <v>0</v>
      </c>
      <c r="S322" s="307">
        <f t="shared" si="59"/>
        <v>0</v>
      </c>
    </row>
    <row r="323" spans="1:19">
      <c r="A323" s="629"/>
      <c r="B323" s="629"/>
      <c r="C323" s="21"/>
      <c r="D323" s="2566"/>
      <c r="E323" s="21">
        <f t="shared" si="50"/>
        <v>1</v>
      </c>
      <c r="F323" s="2566">
        <f>铂郡面积表!Q260</f>
        <v>0</v>
      </c>
      <c r="G323" s="21">
        <f t="shared" si="51"/>
        <v>0</v>
      </c>
      <c r="H323" s="631"/>
      <c r="I323" s="21">
        <f t="shared" si="52"/>
        <v>1</v>
      </c>
      <c r="J323" s="631"/>
      <c r="K323" s="21">
        <f t="shared" si="53"/>
        <v>1</v>
      </c>
      <c r="L323" s="631"/>
      <c r="M323" s="21">
        <f t="shared" si="54"/>
        <v>1</v>
      </c>
      <c r="N323" s="631"/>
      <c r="O323" s="21">
        <f t="shared" si="55"/>
        <v>1</v>
      </c>
      <c r="P323" s="2566">
        <f>铂郡面积表!K260</f>
        <v>0</v>
      </c>
      <c r="Q323" s="21">
        <f t="shared" si="56"/>
        <v>1</v>
      </c>
      <c r="R323" s="21">
        <f t="shared" si="57"/>
        <v>0</v>
      </c>
      <c r="S323" s="307">
        <f t="shared" si="59"/>
        <v>0</v>
      </c>
    </row>
    <row r="324" spans="1:19">
      <c r="A324" s="629"/>
      <c r="B324" s="629"/>
      <c r="C324" s="21"/>
      <c r="D324" s="2566"/>
      <c r="E324" s="21">
        <f t="shared" si="50"/>
        <v>1</v>
      </c>
      <c r="F324" s="2566">
        <f>铂郡面积表!Q261</f>
        <v>0</v>
      </c>
      <c r="G324" s="21">
        <f t="shared" si="51"/>
        <v>0</v>
      </c>
      <c r="H324" s="631"/>
      <c r="I324" s="21">
        <f t="shared" si="52"/>
        <v>1</v>
      </c>
      <c r="J324" s="631"/>
      <c r="K324" s="21">
        <f t="shared" si="53"/>
        <v>1</v>
      </c>
      <c r="L324" s="631"/>
      <c r="M324" s="21">
        <f t="shared" si="54"/>
        <v>1</v>
      </c>
      <c r="N324" s="631"/>
      <c r="O324" s="21">
        <f t="shared" si="55"/>
        <v>1</v>
      </c>
      <c r="P324" s="2566">
        <f>铂郡面积表!K261</f>
        <v>0</v>
      </c>
      <c r="Q324" s="21">
        <f t="shared" si="56"/>
        <v>1</v>
      </c>
      <c r="R324" s="21">
        <f t="shared" si="57"/>
        <v>0</v>
      </c>
      <c r="S324" s="307">
        <f t="shared" si="59"/>
        <v>0</v>
      </c>
    </row>
    <row r="325" spans="1:19">
      <c r="A325" s="629"/>
      <c r="B325" s="629"/>
      <c r="C325" s="21"/>
      <c r="D325" s="2566"/>
      <c r="E325" s="21">
        <f t="shared" si="50"/>
        <v>1</v>
      </c>
      <c r="F325" s="2566">
        <f>铂郡面积表!Q262</f>
        <v>0</v>
      </c>
      <c r="G325" s="21">
        <f t="shared" si="51"/>
        <v>0</v>
      </c>
      <c r="H325" s="631"/>
      <c r="I325" s="21">
        <f t="shared" si="52"/>
        <v>1</v>
      </c>
      <c r="J325" s="631"/>
      <c r="K325" s="21">
        <f t="shared" si="53"/>
        <v>1</v>
      </c>
      <c r="L325" s="631"/>
      <c r="M325" s="21">
        <f t="shared" si="54"/>
        <v>1</v>
      </c>
      <c r="N325" s="631"/>
      <c r="O325" s="21">
        <f t="shared" si="55"/>
        <v>1</v>
      </c>
      <c r="P325" s="2566">
        <f>铂郡面积表!K262</f>
        <v>0</v>
      </c>
      <c r="Q325" s="21">
        <f t="shared" si="56"/>
        <v>1</v>
      </c>
      <c r="R325" s="21">
        <f t="shared" si="57"/>
        <v>0</v>
      </c>
      <c r="S325" s="307">
        <f t="shared" si="59"/>
        <v>0</v>
      </c>
    </row>
    <row r="326" spans="1:19">
      <c r="A326" s="629"/>
      <c r="B326" s="629"/>
      <c r="C326" s="21"/>
      <c r="D326" s="2566"/>
      <c r="E326" s="21">
        <f t="shared" si="50"/>
        <v>1</v>
      </c>
      <c r="F326" s="2566">
        <f>铂郡面积表!Q263</f>
        <v>0</v>
      </c>
      <c r="G326" s="21">
        <f t="shared" si="51"/>
        <v>0</v>
      </c>
      <c r="H326" s="631"/>
      <c r="I326" s="21">
        <f t="shared" si="52"/>
        <v>1</v>
      </c>
      <c r="J326" s="631"/>
      <c r="K326" s="21">
        <f t="shared" si="53"/>
        <v>1</v>
      </c>
      <c r="L326" s="631"/>
      <c r="M326" s="21">
        <f t="shared" si="54"/>
        <v>1</v>
      </c>
      <c r="N326" s="631"/>
      <c r="O326" s="21">
        <f t="shared" si="55"/>
        <v>1</v>
      </c>
      <c r="P326" s="2566">
        <f>铂郡面积表!K263</f>
        <v>0</v>
      </c>
      <c r="Q326" s="21">
        <f t="shared" si="56"/>
        <v>1</v>
      </c>
      <c r="R326" s="21">
        <f t="shared" si="57"/>
        <v>0</v>
      </c>
      <c r="S326" s="307">
        <f t="shared" si="59"/>
        <v>0</v>
      </c>
    </row>
    <row r="327" spans="1:19">
      <c r="A327" s="629"/>
      <c r="B327" s="629"/>
      <c r="C327" s="21"/>
      <c r="D327" s="2566"/>
      <c r="E327" s="21">
        <f t="shared" si="50"/>
        <v>1</v>
      </c>
      <c r="F327" s="2566">
        <f>铂郡面积表!Q264</f>
        <v>0</v>
      </c>
      <c r="G327" s="21">
        <f t="shared" si="51"/>
        <v>0</v>
      </c>
      <c r="H327" s="631"/>
      <c r="I327" s="21">
        <f t="shared" si="52"/>
        <v>1</v>
      </c>
      <c r="J327" s="631"/>
      <c r="K327" s="21">
        <f t="shared" si="53"/>
        <v>1</v>
      </c>
      <c r="L327" s="631"/>
      <c r="M327" s="21">
        <f t="shared" si="54"/>
        <v>1</v>
      </c>
      <c r="N327" s="631"/>
      <c r="O327" s="21">
        <f t="shared" si="55"/>
        <v>1</v>
      </c>
      <c r="P327" s="2566">
        <f>铂郡面积表!K264</f>
        <v>0</v>
      </c>
      <c r="Q327" s="21">
        <f t="shared" si="56"/>
        <v>1</v>
      </c>
      <c r="R327" s="21">
        <f t="shared" si="57"/>
        <v>0</v>
      </c>
      <c r="S327" s="307">
        <f t="shared" si="59"/>
        <v>0</v>
      </c>
    </row>
    <row r="328" spans="1:19">
      <c r="A328" s="629"/>
      <c r="B328" s="629"/>
      <c r="C328" s="21"/>
      <c r="D328" s="2566"/>
      <c r="E328" s="21">
        <f t="shared" si="50"/>
        <v>1</v>
      </c>
      <c r="F328" s="2566">
        <f>铂郡面积表!Q265</f>
        <v>0</v>
      </c>
      <c r="G328" s="21">
        <f t="shared" si="51"/>
        <v>0</v>
      </c>
      <c r="H328" s="631"/>
      <c r="I328" s="21">
        <f t="shared" si="52"/>
        <v>1</v>
      </c>
      <c r="J328" s="631"/>
      <c r="K328" s="21">
        <f t="shared" si="53"/>
        <v>1</v>
      </c>
      <c r="L328" s="631"/>
      <c r="M328" s="21">
        <f t="shared" si="54"/>
        <v>1</v>
      </c>
      <c r="N328" s="631"/>
      <c r="O328" s="21">
        <f t="shared" si="55"/>
        <v>1</v>
      </c>
      <c r="P328" s="2566">
        <f>铂郡面积表!K265</f>
        <v>0</v>
      </c>
      <c r="Q328" s="21">
        <f t="shared" si="56"/>
        <v>1</v>
      </c>
      <c r="R328" s="21">
        <f t="shared" si="57"/>
        <v>0</v>
      </c>
      <c r="S328" s="307">
        <f t="shared" si="59"/>
        <v>0</v>
      </c>
    </row>
    <row r="329" spans="1:19">
      <c r="A329" s="629"/>
      <c r="B329" s="629"/>
      <c r="C329" s="21"/>
      <c r="D329" s="2566"/>
      <c r="E329" s="21">
        <f t="shared" si="50"/>
        <v>1</v>
      </c>
      <c r="F329" s="2566">
        <f>铂郡面积表!Q266</f>
        <v>0</v>
      </c>
      <c r="G329" s="21">
        <f t="shared" si="51"/>
        <v>0</v>
      </c>
      <c r="H329" s="631"/>
      <c r="I329" s="21">
        <f t="shared" si="52"/>
        <v>1</v>
      </c>
      <c r="J329" s="631"/>
      <c r="K329" s="21">
        <f t="shared" si="53"/>
        <v>1</v>
      </c>
      <c r="L329" s="631"/>
      <c r="M329" s="21">
        <f t="shared" si="54"/>
        <v>1</v>
      </c>
      <c r="N329" s="631"/>
      <c r="O329" s="21">
        <f t="shared" si="55"/>
        <v>1</v>
      </c>
      <c r="P329" s="2566">
        <f>铂郡面积表!K266</f>
        <v>0</v>
      </c>
      <c r="Q329" s="21">
        <f t="shared" si="56"/>
        <v>1</v>
      </c>
      <c r="R329" s="21">
        <f t="shared" si="57"/>
        <v>0</v>
      </c>
      <c r="S329" s="307">
        <f t="shared" si="59"/>
        <v>0</v>
      </c>
    </row>
    <row r="330" spans="1:19">
      <c r="A330" s="629"/>
      <c r="B330" s="629"/>
      <c r="C330" s="21"/>
      <c r="D330" s="2566"/>
      <c r="E330" s="21">
        <f t="shared" si="50"/>
        <v>1</v>
      </c>
      <c r="F330" s="2566">
        <f>铂郡面积表!Q267</f>
        <v>0</v>
      </c>
      <c r="G330" s="21">
        <f t="shared" si="51"/>
        <v>0</v>
      </c>
      <c r="H330" s="631"/>
      <c r="I330" s="21">
        <f t="shared" si="52"/>
        <v>1</v>
      </c>
      <c r="J330" s="631"/>
      <c r="K330" s="21">
        <f t="shared" si="53"/>
        <v>1</v>
      </c>
      <c r="L330" s="631"/>
      <c r="M330" s="21">
        <f t="shared" si="54"/>
        <v>1</v>
      </c>
      <c r="N330" s="631"/>
      <c r="O330" s="21">
        <f t="shared" si="55"/>
        <v>1</v>
      </c>
      <c r="P330" s="2566">
        <f>铂郡面积表!K267</f>
        <v>0</v>
      </c>
      <c r="Q330" s="21">
        <f t="shared" si="56"/>
        <v>1</v>
      </c>
      <c r="R330" s="21">
        <f t="shared" si="57"/>
        <v>0</v>
      </c>
      <c r="S330" s="307">
        <f t="shared" si="59"/>
        <v>0</v>
      </c>
    </row>
    <row r="331" spans="1:19">
      <c r="A331" s="629"/>
      <c r="B331" s="629"/>
      <c r="C331" s="21"/>
      <c r="D331" s="2566"/>
      <c r="E331" s="21">
        <f t="shared" si="50"/>
        <v>1</v>
      </c>
      <c r="F331" s="2566">
        <f>铂郡面积表!Q268</f>
        <v>0</v>
      </c>
      <c r="G331" s="21">
        <f t="shared" si="51"/>
        <v>0</v>
      </c>
      <c r="H331" s="631"/>
      <c r="I331" s="21">
        <f t="shared" si="52"/>
        <v>1</v>
      </c>
      <c r="J331" s="631"/>
      <c r="K331" s="21">
        <f t="shared" si="53"/>
        <v>1</v>
      </c>
      <c r="L331" s="631"/>
      <c r="M331" s="21">
        <f t="shared" si="54"/>
        <v>1</v>
      </c>
      <c r="N331" s="631"/>
      <c r="O331" s="21">
        <f t="shared" si="55"/>
        <v>1</v>
      </c>
      <c r="P331" s="2566">
        <f>铂郡面积表!K268</f>
        <v>0</v>
      </c>
      <c r="Q331" s="21">
        <f t="shared" si="56"/>
        <v>1</v>
      </c>
      <c r="R331" s="21">
        <f t="shared" si="57"/>
        <v>0</v>
      </c>
      <c r="S331" s="307">
        <f t="shared" si="59"/>
        <v>0</v>
      </c>
    </row>
    <row r="332" spans="1:19">
      <c r="A332" s="629"/>
      <c r="B332" s="629"/>
      <c r="C332" s="21"/>
      <c r="D332" s="2566"/>
      <c r="E332" s="21">
        <f t="shared" si="50"/>
        <v>1</v>
      </c>
      <c r="F332" s="2566">
        <f>铂郡面积表!Q269</f>
        <v>0</v>
      </c>
      <c r="G332" s="21">
        <f t="shared" si="51"/>
        <v>0</v>
      </c>
      <c r="H332" s="631"/>
      <c r="I332" s="21">
        <f t="shared" si="52"/>
        <v>1</v>
      </c>
      <c r="J332" s="631"/>
      <c r="K332" s="21">
        <f t="shared" si="53"/>
        <v>1</v>
      </c>
      <c r="L332" s="631"/>
      <c r="M332" s="21">
        <f t="shared" si="54"/>
        <v>1</v>
      </c>
      <c r="N332" s="631"/>
      <c r="O332" s="21">
        <f t="shared" si="55"/>
        <v>1</v>
      </c>
      <c r="P332" s="2566">
        <f>铂郡面积表!K269</f>
        <v>0</v>
      </c>
      <c r="Q332" s="21">
        <f t="shared" si="56"/>
        <v>1</v>
      </c>
      <c r="R332" s="21">
        <f t="shared" si="57"/>
        <v>0</v>
      </c>
      <c r="S332" s="307">
        <f t="shared" si="59"/>
        <v>0</v>
      </c>
    </row>
    <row r="333" spans="1:19">
      <c r="A333" s="629"/>
      <c r="B333" s="629"/>
      <c r="C333" s="21"/>
      <c r="D333" s="2566"/>
      <c r="E333" s="21">
        <f t="shared" si="50"/>
        <v>1</v>
      </c>
      <c r="F333" s="2566">
        <f>铂郡面积表!Q270</f>
        <v>0</v>
      </c>
      <c r="G333" s="21">
        <f t="shared" si="51"/>
        <v>0</v>
      </c>
      <c r="H333" s="631"/>
      <c r="I333" s="21">
        <f t="shared" si="52"/>
        <v>1</v>
      </c>
      <c r="J333" s="631"/>
      <c r="K333" s="21">
        <f t="shared" si="53"/>
        <v>1</v>
      </c>
      <c r="L333" s="631"/>
      <c r="M333" s="21">
        <f t="shared" si="54"/>
        <v>1</v>
      </c>
      <c r="N333" s="631"/>
      <c r="O333" s="21">
        <f t="shared" si="55"/>
        <v>1</v>
      </c>
      <c r="P333" s="2566">
        <f>铂郡面积表!K270</f>
        <v>0</v>
      </c>
      <c r="Q333" s="21">
        <f t="shared" si="56"/>
        <v>1</v>
      </c>
      <c r="R333" s="21">
        <f t="shared" si="57"/>
        <v>0</v>
      </c>
      <c r="S333" s="307">
        <f t="shared" si="59"/>
        <v>0</v>
      </c>
    </row>
    <row r="334" spans="1:19">
      <c r="A334" s="629"/>
      <c r="B334" s="629"/>
      <c r="C334" s="21"/>
      <c r="D334" s="2566"/>
      <c r="E334" s="21">
        <f t="shared" si="50"/>
        <v>1</v>
      </c>
      <c r="F334" s="2566">
        <f>铂郡面积表!Q271</f>
        <v>0</v>
      </c>
      <c r="G334" s="21">
        <f t="shared" si="51"/>
        <v>0</v>
      </c>
      <c r="H334" s="631"/>
      <c r="I334" s="21">
        <f t="shared" si="52"/>
        <v>1</v>
      </c>
      <c r="J334" s="631"/>
      <c r="K334" s="21">
        <f t="shared" si="53"/>
        <v>1</v>
      </c>
      <c r="L334" s="631"/>
      <c r="M334" s="21">
        <f t="shared" si="54"/>
        <v>1</v>
      </c>
      <c r="N334" s="631"/>
      <c r="O334" s="21">
        <f t="shared" si="55"/>
        <v>1</v>
      </c>
      <c r="P334" s="2566">
        <f>铂郡面积表!K271</f>
        <v>0</v>
      </c>
      <c r="Q334" s="21">
        <f t="shared" si="56"/>
        <v>1</v>
      </c>
      <c r="R334" s="21">
        <f t="shared" si="57"/>
        <v>0</v>
      </c>
      <c r="S334" s="307">
        <f t="shared" si="59"/>
        <v>0</v>
      </c>
    </row>
    <row r="335" spans="1:19">
      <c r="A335" s="629"/>
      <c r="B335" s="629"/>
      <c r="C335" s="21"/>
      <c r="D335" s="2566"/>
      <c r="E335" s="21">
        <f t="shared" si="50"/>
        <v>1</v>
      </c>
      <c r="F335" s="2566">
        <f>铂郡面积表!Q272</f>
        <v>0</v>
      </c>
      <c r="G335" s="21">
        <f t="shared" si="51"/>
        <v>0</v>
      </c>
      <c r="H335" s="631"/>
      <c r="I335" s="21">
        <f t="shared" si="52"/>
        <v>1</v>
      </c>
      <c r="J335" s="631"/>
      <c r="K335" s="21">
        <f t="shared" si="53"/>
        <v>1</v>
      </c>
      <c r="L335" s="631"/>
      <c r="M335" s="21">
        <f t="shared" si="54"/>
        <v>1</v>
      </c>
      <c r="N335" s="631"/>
      <c r="O335" s="21">
        <f t="shared" si="55"/>
        <v>1</v>
      </c>
      <c r="P335" s="2566">
        <f>铂郡面积表!K272</f>
        <v>0</v>
      </c>
      <c r="Q335" s="21">
        <f t="shared" si="56"/>
        <v>1</v>
      </c>
      <c r="R335" s="21">
        <f t="shared" si="57"/>
        <v>0</v>
      </c>
      <c r="S335" s="307">
        <f t="shared" si="59"/>
        <v>0</v>
      </c>
    </row>
    <row r="336" spans="1:19">
      <c r="A336" s="629"/>
      <c r="B336" s="629"/>
      <c r="C336" s="21"/>
      <c r="D336" s="2566"/>
      <c r="E336" s="21">
        <f t="shared" si="50"/>
        <v>1</v>
      </c>
      <c r="F336" s="2566">
        <f>铂郡面积表!Q273</f>
        <v>0</v>
      </c>
      <c r="G336" s="21">
        <f t="shared" si="51"/>
        <v>0</v>
      </c>
      <c r="H336" s="631"/>
      <c r="I336" s="21">
        <f t="shared" si="52"/>
        <v>1</v>
      </c>
      <c r="J336" s="631"/>
      <c r="K336" s="21">
        <f t="shared" si="53"/>
        <v>1</v>
      </c>
      <c r="L336" s="631"/>
      <c r="M336" s="21">
        <f t="shared" si="54"/>
        <v>1</v>
      </c>
      <c r="N336" s="631"/>
      <c r="O336" s="21">
        <f t="shared" si="55"/>
        <v>1</v>
      </c>
      <c r="P336" s="2566">
        <f>铂郡面积表!K273</f>
        <v>0</v>
      </c>
      <c r="Q336" s="21">
        <f t="shared" si="56"/>
        <v>1</v>
      </c>
      <c r="R336" s="21">
        <f t="shared" si="57"/>
        <v>0</v>
      </c>
      <c r="S336" s="307">
        <f t="shared" si="59"/>
        <v>0</v>
      </c>
    </row>
    <row r="337" spans="1:19">
      <c r="A337" s="629"/>
      <c r="B337" s="629"/>
      <c r="C337" s="21"/>
      <c r="D337" s="2566"/>
      <c r="E337" s="21">
        <f t="shared" si="50"/>
        <v>1</v>
      </c>
      <c r="F337" s="2566">
        <f>铂郡面积表!Q274</f>
        <v>0</v>
      </c>
      <c r="G337" s="21">
        <f t="shared" si="51"/>
        <v>0</v>
      </c>
      <c r="H337" s="631"/>
      <c r="I337" s="21">
        <f t="shared" si="52"/>
        <v>1</v>
      </c>
      <c r="J337" s="631"/>
      <c r="K337" s="21">
        <f t="shared" si="53"/>
        <v>1</v>
      </c>
      <c r="L337" s="631"/>
      <c r="M337" s="21">
        <f t="shared" si="54"/>
        <v>1</v>
      </c>
      <c r="N337" s="631"/>
      <c r="O337" s="21">
        <f t="shared" si="55"/>
        <v>1</v>
      </c>
      <c r="P337" s="2566">
        <f>铂郡面积表!K274</f>
        <v>0</v>
      </c>
      <c r="Q337" s="21">
        <f t="shared" si="56"/>
        <v>1</v>
      </c>
      <c r="R337" s="21">
        <f t="shared" si="57"/>
        <v>0</v>
      </c>
      <c r="S337" s="307">
        <f t="shared" si="59"/>
        <v>0</v>
      </c>
    </row>
    <row r="338" spans="1:19">
      <c r="A338" s="629"/>
      <c r="B338" s="629"/>
      <c r="C338" s="21"/>
      <c r="D338" s="2566"/>
      <c r="E338" s="21">
        <f t="shared" si="50"/>
        <v>1</v>
      </c>
      <c r="F338" s="2566">
        <f>铂郡面积表!Q275</f>
        <v>0</v>
      </c>
      <c r="G338" s="21">
        <f t="shared" si="51"/>
        <v>0</v>
      </c>
      <c r="H338" s="631"/>
      <c r="I338" s="21">
        <f t="shared" si="52"/>
        <v>1</v>
      </c>
      <c r="J338" s="631"/>
      <c r="K338" s="21">
        <f t="shared" si="53"/>
        <v>1</v>
      </c>
      <c r="L338" s="631"/>
      <c r="M338" s="21">
        <f t="shared" si="54"/>
        <v>1</v>
      </c>
      <c r="N338" s="631"/>
      <c r="O338" s="21">
        <f t="shared" si="55"/>
        <v>1</v>
      </c>
      <c r="P338" s="2566">
        <f>铂郡面积表!K275</f>
        <v>0</v>
      </c>
      <c r="Q338" s="21">
        <f t="shared" si="56"/>
        <v>1</v>
      </c>
      <c r="R338" s="21">
        <f t="shared" si="57"/>
        <v>0</v>
      </c>
      <c r="S338" s="307">
        <f t="shared" si="59"/>
        <v>0</v>
      </c>
    </row>
    <row r="339" spans="1:19">
      <c r="A339" s="629"/>
      <c r="B339" s="629"/>
      <c r="C339" s="21"/>
      <c r="D339" s="2566"/>
      <c r="E339" s="21">
        <f t="shared" si="50"/>
        <v>1</v>
      </c>
      <c r="F339" s="2566">
        <f>铂郡面积表!Q276</f>
        <v>0</v>
      </c>
      <c r="G339" s="21">
        <f t="shared" si="51"/>
        <v>0</v>
      </c>
      <c r="H339" s="631"/>
      <c r="I339" s="21">
        <f t="shared" si="52"/>
        <v>1</v>
      </c>
      <c r="J339" s="631"/>
      <c r="K339" s="21">
        <f t="shared" si="53"/>
        <v>1</v>
      </c>
      <c r="L339" s="631"/>
      <c r="M339" s="21">
        <f t="shared" si="54"/>
        <v>1</v>
      </c>
      <c r="N339" s="631"/>
      <c r="O339" s="21">
        <f t="shared" si="55"/>
        <v>1</v>
      </c>
      <c r="P339" s="2566">
        <f>铂郡面积表!K276</f>
        <v>0</v>
      </c>
      <c r="Q339" s="21">
        <f t="shared" si="56"/>
        <v>1</v>
      </c>
      <c r="R339" s="21">
        <f t="shared" si="57"/>
        <v>0</v>
      </c>
      <c r="S339" s="307">
        <f t="shared" si="59"/>
        <v>0</v>
      </c>
    </row>
    <row r="340" spans="1:19">
      <c r="A340" s="629"/>
      <c r="B340" s="629"/>
      <c r="C340" s="21"/>
      <c r="D340" s="2566"/>
      <c r="E340" s="21">
        <f t="shared" si="50"/>
        <v>1</v>
      </c>
      <c r="F340" s="2566">
        <f>铂郡面积表!Q277</f>
        <v>0</v>
      </c>
      <c r="G340" s="21">
        <f t="shared" si="51"/>
        <v>0</v>
      </c>
      <c r="H340" s="631"/>
      <c r="I340" s="21">
        <f t="shared" si="52"/>
        <v>1</v>
      </c>
      <c r="J340" s="631"/>
      <c r="K340" s="21">
        <f t="shared" si="53"/>
        <v>1</v>
      </c>
      <c r="L340" s="631"/>
      <c r="M340" s="21">
        <f t="shared" si="54"/>
        <v>1</v>
      </c>
      <c r="N340" s="631"/>
      <c r="O340" s="21">
        <f t="shared" si="55"/>
        <v>1</v>
      </c>
      <c r="P340" s="2566">
        <f>铂郡面积表!K277</f>
        <v>0</v>
      </c>
      <c r="Q340" s="21">
        <f t="shared" si="56"/>
        <v>1</v>
      </c>
      <c r="R340" s="21">
        <f t="shared" si="57"/>
        <v>0</v>
      </c>
      <c r="S340" s="307">
        <f t="shared" si="59"/>
        <v>0</v>
      </c>
    </row>
    <row r="341" spans="1:19">
      <c r="A341" s="629"/>
      <c r="B341" s="629"/>
      <c r="C341" s="21"/>
      <c r="D341" s="2566"/>
      <c r="E341" s="21">
        <f t="shared" si="50"/>
        <v>1</v>
      </c>
      <c r="F341" s="2566">
        <f>铂郡面积表!Q278</f>
        <v>0</v>
      </c>
      <c r="G341" s="21">
        <f t="shared" si="51"/>
        <v>0</v>
      </c>
      <c r="H341" s="631"/>
      <c r="I341" s="21">
        <f t="shared" si="52"/>
        <v>1</v>
      </c>
      <c r="J341" s="631"/>
      <c r="K341" s="21">
        <f t="shared" si="53"/>
        <v>1</v>
      </c>
      <c r="L341" s="631"/>
      <c r="M341" s="21">
        <f t="shared" si="54"/>
        <v>1</v>
      </c>
      <c r="N341" s="631"/>
      <c r="O341" s="21">
        <f t="shared" si="55"/>
        <v>1</v>
      </c>
      <c r="P341" s="2566">
        <f>铂郡面积表!K278</f>
        <v>0</v>
      </c>
      <c r="Q341" s="21">
        <f t="shared" si="56"/>
        <v>1</v>
      </c>
      <c r="R341" s="21">
        <f t="shared" si="57"/>
        <v>0</v>
      </c>
      <c r="S341" s="307">
        <f t="shared" si="59"/>
        <v>0</v>
      </c>
    </row>
    <row r="342" spans="1:19">
      <c r="A342" s="629"/>
      <c r="B342" s="629"/>
      <c r="C342" s="21"/>
      <c r="D342" s="2566"/>
      <c r="E342" s="21">
        <f t="shared" si="50"/>
        <v>1</v>
      </c>
      <c r="F342" s="2566">
        <f>铂郡面积表!Q279</f>
        <v>0</v>
      </c>
      <c r="G342" s="21">
        <f t="shared" si="51"/>
        <v>0</v>
      </c>
      <c r="H342" s="631"/>
      <c r="I342" s="21">
        <f t="shared" si="52"/>
        <v>1</v>
      </c>
      <c r="J342" s="631"/>
      <c r="K342" s="21">
        <f t="shared" si="53"/>
        <v>1</v>
      </c>
      <c r="L342" s="631"/>
      <c r="M342" s="21">
        <f t="shared" si="54"/>
        <v>1</v>
      </c>
      <c r="N342" s="631"/>
      <c r="O342" s="21">
        <f t="shared" si="55"/>
        <v>1</v>
      </c>
      <c r="P342" s="2566">
        <f>铂郡面积表!K279</f>
        <v>0</v>
      </c>
      <c r="Q342" s="21">
        <f t="shared" si="56"/>
        <v>1</v>
      </c>
      <c r="R342" s="21">
        <f t="shared" si="57"/>
        <v>0</v>
      </c>
      <c r="S342" s="307">
        <f t="shared" si="59"/>
        <v>0</v>
      </c>
    </row>
    <row r="343" spans="1:19">
      <c r="A343" s="629"/>
      <c r="B343" s="629"/>
      <c r="C343" s="21"/>
      <c r="D343" s="2566"/>
      <c r="E343" s="21">
        <f t="shared" si="50"/>
        <v>1</v>
      </c>
      <c r="F343" s="2566">
        <f>铂郡面积表!Q280</f>
        <v>0</v>
      </c>
      <c r="G343" s="21">
        <f t="shared" si="51"/>
        <v>0</v>
      </c>
      <c r="H343" s="631"/>
      <c r="I343" s="21">
        <f t="shared" si="52"/>
        <v>1</v>
      </c>
      <c r="J343" s="631"/>
      <c r="K343" s="21">
        <f t="shared" si="53"/>
        <v>1</v>
      </c>
      <c r="L343" s="631"/>
      <c r="M343" s="21">
        <f t="shared" si="54"/>
        <v>1</v>
      </c>
      <c r="N343" s="631"/>
      <c r="O343" s="21">
        <f t="shared" si="55"/>
        <v>1</v>
      </c>
      <c r="P343" s="2566">
        <f>铂郡面积表!K280</f>
        <v>0</v>
      </c>
      <c r="Q343" s="21">
        <f t="shared" si="56"/>
        <v>1</v>
      </c>
      <c r="R343" s="21">
        <f t="shared" si="57"/>
        <v>0</v>
      </c>
      <c r="S343" s="307">
        <f t="shared" si="59"/>
        <v>0</v>
      </c>
    </row>
    <row r="344" spans="1:19">
      <c r="A344" s="629"/>
      <c r="B344" s="629"/>
      <c r="C344" s="21"/>
      <c r="D344" s="2566"/>
      <c r="E344" s="21">
        <f t="shared" si="50"/>
        <v>1</v>
      </c>
      <c r="F344" s="2566">
        <f>铂郡面积表!Q281</f>
        <v>0</v>
      </c>
      <c r="G344" s="21">
        <f t="shared" si="51"/>
        <v>0</v>
      </c>
      <c r="H344" s="631"/>
      <c r="I344" s="21">
        <f t="shared" si="52"/>
        <v>1</v>
      </c>
      <c r="J344" s="631"/>
      <c r="K344" s="21">
        <f t="shared" si="53"/>
        <v>1</v>
      </c>
      <c r="L344" s="631"/>
      <c r="M344" s="21">
        <f t="shared" si="54"/>
        <v>1</v>
      </c>
      <c r="N344" s="631"/>
      <c r="O344" s="21">
        <f t="shared" si="55"/>
        <v>1</v>
      </c>
      <c r="P344" s="2566">
        <f>铂郡面积表!K281</f>
        <v>0</v>
      </c>
      <c r="Q344" s="21">
        <f t="shared" si="56"/>
        <v>1</v>
      </c>
      <c r="R344" s="21">
        <f t="shared" si="57"/>
        <v>0</v>
      </c>
      <c r="S344" s="307">
        <f t="shared" si="59"/>
        <v>0</v>
      </c>
    </row>
    <row r="345" spans="1:19">
      <c r="A345" s="629"/>
      <c r="B345" s="629"/>
      <c r="C345" s="21"/>
      <c r="D345" s="2566"/>
      <c r="E345" s="21">
        <f t="shared" si="50"/>
        <v>1</v>
      </c>
      <c r="F345" s="2566">
        <f>铂郡面积表!Q282</f>
        <v>0</v>
      </c>
      <c r="G345" s="21">
        <f t="shared" si="51"/>
        <v>0</v>
      </c>
      <c r="H345" s="631"/>
      <c r="I345" s="21">
        <f t="shared" si="52"/>
        <v>1</v>
      </c>
      <c r="J345" s="631"/>
      <c r="K345" s="21">
        <f t="shared" si="53"/>
        <v>1</v>
      </c>
      <c r="L345" s="631"/>
      <c r="M345" s="21">
        <f t="shared" si="54"/>
        <v>1</v>
      </c>
      <c r="N345" s="631"/>
      <c r="O345" s="21">
        <f t="shared" si="55"/>
        <v>1</v>
      </c>
      <c r="P345" s="2566">
        <f>铂郡面积表!K282</f>
        <v>0</v>
      </c>
      <c r="Q345" s="21">
        <f t="shared" si="56"/>
        <v>1</v>
      </c>
      <c r="R345" s="21">
        <f t="shared" si="57"/>
        <v>0</v>
      </c>
      <c r="S345" s="307">
        <f t="shared" si="59"/>
        <v>0</v>
      </c>
    </row>
    <row r="346" spans="1:19">
      <c r="A346" s="629"/>
      <c r="B346" s="629"/>
      <c r="C346" s="21"/>
      <c r="D346" s="2566"/>
      <c r="E346" s="21">
        <f t="shared" ref="E346:E409" si="60">(SUMIF($5:$5,D346,$6:$6)-SUMIF($5:$5,$D$24,$6:$6)+100)/100</f>
        <v>1</v>
      </c>
      <c r="F346" s="2566">
        <f>铂郡面积表!Q283</f>
        <v>0</v>
      </c>
      <c r="G346" s="21">
        <f t="shared" ref="G346:G409" si="61">(SUMIF($7:$7,F346,$8:$8)-SUMIF($7:$7,$F$24,$8:$8)+100)/100</f>
        <v>0</v>
      </c>
      <c r="H346" s="631"/>
      <c r="I346" s="21">
        <f t="shared" ref="I346:I409" si="62">(SUMIF($9:$9,H346,$10:$10)-SUMIF($9:$9,$H$24,$10:$10)+100)/100</f>
        <v>1</v>
      </c>
      <c r="J346" s="631"/>
      <c r="K346" s="21">
        <f t="shared" ref="K346:K409" si="63">(SUMIF($11:$11,J346,$12:$12)-SUMIF($11:$11,$J$24,$12:$12)+100)/100</f>
        <v>1</v>
      </c>
      <c r="L346" s="631"/>
      <c r="M346" s="21">
        <f t="shared" ref="M346:M409" si="64">(SUMIF($13:$13,L346,$14:$14)-SUMIF($13:$13,$L$24,$14:$14)+100)/100</f>
        <v>1</v>
      </c>
      <c r="N346" s="631"/>
      <c r="O346" s="21">
        <f t="shared" ref="O346:O409" si="65">(SUMIF($15:$15,N346,$16:$16)-SUMIF($15:$15,$N$24,$16:$16)+100)/100</f>
        <v>1</v>
      </c>
      <c r="P346" s="2566">
        <f>铂郡面积表!K283</f>
        <v>0</v>
      </c>
      <c r="Q346" s="21">
        <f t="shared" ref="Q346:Q409" si="66">(SUMIF($17:$17,P346,$18:$18)-SUMIF($17:$17,$P$24,$18:$18)+100)/100</f>
        <v>1</v>
      </c>
      <c r="R346" s="21">
        <f t="shared" ref="R346:R409" si="67">IF(B346="",0,ROUND($R$24*C346*E346*G346*I346*K346*M346*O346*Q346,1))</f>
        <v>0</v>
      </c>
      <c r="S346" s="307">
        <f t="shared" si="59"/>
        <v>0</v>
      </c>
    </row>
    <row r="347" spans="1:19">
      <c r="A347" s="629"/>
      <c r="B347" s="629"/>
      <c r="C347" s="21"/>
      <c r="D347" s="2566"/>
      <c r="E347" s="21">
        <f t="shared" si="60"/>
        <v>1</v>
      </c>
      <c r="F347" s="2566">
        <f>铂郡面积表!Q284</f>
        <v>0</v>
      </c>
      <c r="G347" s="21">
        <f t="shared" si="61"/>
        <v>0</v>
      </c>
      <c r="H347" s="631"/>
      <c r="I347" s="21">
        <f t="shared" si="62"/>
        <v>1</v>
      </c>
      <c r="J347" s="631"/>
      <c r="K347" s="21">
        <f t="shared" si="63"/>
        <v>1</v>
      </c>
      <c r="L347" s="631"/>
      <c r="M347" s="21">
        <f t="shared" si="64"/>
        <v>1</v>
      </c>
      <c r="N347" s="631"/>
      <c r="O347" s="21">
        <f t="shared" si="65"/>
        <v>1</v>
      </c>
      <c r="P347" s="2566">
        <f>铂郡面积表!K284</f>
        <v>0</v>
      </c>
      <c r="Q347" s="21">
        <f t="shared" si="66"/>
        <v>1</v>
      </c>
      <c r="R347" s="21">
        <f t="shared" si="67"/>
        <v>0</v>
      </c>
      <c r="S347" s="307">
        <f t="shared" si="59"/>
        <v>0</v>
      </c>
    </row>
    <row r="348" spans="1:19">
      <c r="A348" s="629"/>
      <c r="B348" s="629"/>
      <c r="C348" s="21"/>
      <c r="D348" s="2566"/>
      <c r="E348" s="21">
        <f t="shared" si="60"/>
        <v>1</v>
      </c>
      <c r="F348" s="2566">
        <f>铂郡面积表!Q285</f>
        <v>0</v>
      </c>
      <c r="G348" s="21">
        <f t="shared" si="61"/>
        <v>0</v>
      </c>
      <c r="H348" s="631"/>
      <c r="I348" s="21">
        <f t="shared" si="62"/>
        <v>1</v>
      </c>
      <c r="J348" s="631"/>
      <c r="K348" s="21">
        <f t="shared" si="63"/>
        <v>1</v>
      </c>
      <c r="L348" s="631"/>
      <c r="M348" s="21">
        <f t="shared" si="64"/>
        <v>1</v>
      </c>
      <c r="N348" s="631"/>
      <c r="O348" s="21">
        <f t="shared" si="65"/>
        <v>1</v>
      </c>
      <c r="P348" s="2566">
        <f>铂郡面积表!K285</f>
        <v>0</v>
      </c>
      <c r="Q348" s="21">
        <f t="shared" si="66"/>
        <v>1</v>
      </c>
      <c r="R348" s="21">
        <f t="shared" si="67"/>
        <v>0</v>
      </c>
      <c r="S348" s="307">
        <f t="shared" si="59"/>
        <v>0</v>
      </c>
    </row>
    <row r="349" spans="1:19">
      <c r="A349" s="629"/>
      <c r="B349" s="629"/>
      <c r="C349" s="21"/>
      <c r="D349" s="2566"/>
      <c r="E349" s="21">
        <f t="shared" si="60"/>
        <v>1</v>
      </c>
      <c r="F349" s="2566">
        <f>铂郡面积表!Q286</f>
        <v>0</v>
      </c>
      <c r="G349" s="21">
        <f t="shared" si="61"/>
        <v>0</v>
      </c>
      <c r="H349" s="631"/>
      <c r="I349" s="21">
        <f t="shared" si="62"/>
        <v>1</v>
      </c>
      <c r="J349" s="631"/>
      <c r="K349" s="21">
        <f t="shared" si="63"/>
        <v>1</v>
      </c>
      <c r="L349" s="631"/>
      <c r="M349" s="21">
        <f t="shared" si="64"/>
        <v>1</v>
      </c>
      <c r="N349" s="631"/>
      <c r="O349" s="21">
        <f t="shared" si="65"/>
        <v>1</v>
      </c>
      <c r="P349" s="2566">
        <f>铂郡面积表!K286</f>
        <v>0</v>
      </c>
      <c r="Q349" s="21">
        <f t="shared" si="66"/>
        <v>1</v>
      </c>
      <c r="R349" s="21">
        <f t="shared" si="67"/>
        <v>0</v>
      </c>
      <c r="S349" s="307">
        <f t="shared" si="59"/>
        <v>0</v>
      </c>
    </row>
    <row r="350" spans="1:19">
      <c r="A350" s="629"/>
      <c r="B350" s="629"/>
      <c r="C350" s="21"/>
      <c r="D350" s="2566"/>
      <c r="E350" s="21">
        <f t="shared" si="60"/>
        <v>1</v>
      </c>
      <c r="F350" s="2566">
        <f>铂郡面积表!Q287</f>
        <v>0</v>
      </c>
      <c r="G350" s="21">
        <f t="shared" si="61"/>
        <v>0</v>
      </c>
      <c r="H350" s="631"/>
      <c r="I350" s="21">
        <f t="shared" si="62"/>
        <v>1</v>
      </c>
      <c r="J350" s="631"/>
      <c r="K350" s="21">
        <f t="shared" si="63"/>
        <v>1</v>
      </c>
      <c r="L350" s="631"/>
      <c r="M350" s="21">
        <f t="shared" si="64"/>
        <v>1</v>
      </c>
      <c r="N350" s="631"/>
      <c r="O350" s="21">
        <f t="shared" si="65"/>
        <v>1</v>
      </c>
      <c r="P350" s="2566">
        <f>铂郡面积表!K287</f>
        <v>0</v>
      </c>
      <c r="Q350" s="21">
        <f t="shared" si="66"/>
        <v>1</v>
      </c>
      <c r="R350" s="21">
        <f t="shared" si="67"/>
        <v>0</v>
      </c>
      <c r="S350" s="307">
        <f t="shared" si="59"/>
        <v>0</v>
      </c>
    </row>
    <row r="351" spans="1:19">
      <c r="A351" s="629"/>
      <c r="B351" s="629"/>
      <c r="C351" s="21"/>
      <c r="D351" s="2566"/>
      <c r="E351" s="21">
        <f t="shared" si="60"/>
        <v>1</v>
      </c>
      <c r="F351" s="2566">
        <f>铂郡面积表!Q288</f>
        <v>0</v>
      </c>
      <c r="G351" s="21">
        <f t="shared" si="61"/>
        <v>0</v>
      </c>
      <c r="H351" s="631"/>
      <c r="I351" s="21">
        <f t="shared" si="62"/>
        <v>1</v>
      </c>
      <c r="J351" s="631"/>
      <c r="K351" s="21">
        <f t="shared" si="63"/>
        <v>1</v>
      </c>
      <c r="L351" s="631"/>
      <c r="M351" s="21">
        <f t="shared" si="64"/>
        <v>1</v>
      </c>
      <c r="N351" s="631"/>
      <c r="O351" s="21">
        <f t="shared" si="65"/>
        <v>1</v>
      </c>
      <c r="P351" s="2566">
        <f>铂郡面积表!K288</f>
        <v>0</v>
      </c>
      <c r="Q351" s="21">
        <f t="shared" si="66"/>
        <v>1</v>
      </c>
      <c r="R351" s="21">
        <f t="shared" si="67"/>
        <v>0</v>
      </c>
      <c r="S351" s="307">
        <f t="shared" si="59"/>
        <v>0</v>
      </c>
    </row>
    <row r="352" spans="1:19">
      <c r="A352" s="629"/>
      <c r="B352" s="629"/>
      <c r="C352" s="21"/>
      <c r="D352" s="2566"/>
      <c r="E352" s="21">
        <f t="shared" si="60"/>
        <v>1</v>
      </c>
      <c r="F352" s="2566">
        <f>铂郡面积表!Q289</f>
        <v>0</v>
      </c>
      <c r="G352" s="21">
        <f t="shared" si="61"/>
        <v>0</v>
      </c>
      <c r="H352" s="631"/>
      <c r="I352" s="21">
        <f t="shared" si="62"/>
        <v>1</v>
      </c>
      <c r="J352" s="631"/>
      <c r="K352" s="21">
        <f t="shared" si="63"/>
        <v>1</v>
      </c>
      <c r="L352" s="631"/>
      <c r="M352" s="21">
        <f t="shared" si="64"/>
        <v>1</v>
      </c>
      <c r="N352" s="631"/>
      <c r="O352" s="21">
        <f t="shared" si="65"/>
        <v>1</v>
      </c>
      <c r="P352" s="2566">
        <f>铂郡面积表!K289</f>
        <v>0</v>
      </c>
      <c r="Q352" s="21">
        <f t="shared" si="66"/>
        <v>1</v>
      </c>
      <c r="R352" s="21">
        <f t="shared" si="67"/>
        <v>0</v>
      </c>
      <c r="S352" s="307">
        <f t="shared" si="59"/>
        <v>0</v>
      </c>
    </row>
    <row r="353" spans="1:19">
      <c r="A353" s="629"/>
      <c r="B353" s="629"/>
      <c r="C353" s="21"/>
      <c r="D353" s="2566"/>
      <c r="E353" s="21">
        <f t="shared" si="60"/>
        <v>1</v>
      </c>
      <c r="F353" s="2566">
        <f>铂郡面积表!Q290</f>
        <v>0</v>
      </c>
      <c r="G353" s="21">
        <f t="shared" si="61"/>
        <v>0</v>
      </c>
      <c r="H353" s="631"/>
      <c r="I353" s="21">
        <f t="shared" si="62"/>
        <v>1</v>
      </c>
      <c r="J353" s="631"/>
      <c r="K353" s="21">
        <f t="shared" si="63"/>
        <v>1</v>
      </c>
      <c r="L353" s="631"/>
      <c r="M353" s="21">
        <f t="shared" si="64"/>
        <v>1</v>
      </c>
      <c r="N353" s="631"/>
      <c r="O353" s="21">
        <f t="shared" si="65"/>
        <v>1</v>
      </c>
      <c r="P353" s="2566">
        <f>铂郡面积表!K290</f>
        <v>0</v>
      </c>
      <c r="Q353" s="21">
        <f t="shared" si="66"/>
        <v>1</v>
      </c>
      <c r="R353" s="21">
        <f t="shared" si="67"/>
        <v>0</v>
      </c>
      <c r="S353" s="307">
        <f t="shared" si="59"/>
        <v>0</v>
      </c>
    </row>
    <row r="354" spans="1:19">
      <c r="A354" s="629"/>
      <c r="B354" s="629"/>
      <c r="C354" s="21"/>
      <c r="D354" s="2566"/>
      <c r="E354" s="21">
        <f t="shared" si="60"/>
        <v>1</v>
      </c>
      <c r="F354" s="2566">
        <f>铂郡面积表!Q291</f>
        <v>0</v>
      </c>
      <c r="G354" s="21">
        <f t="shared" si="61"/>
        <v>0</v>
      </c>
      <c r="H354" s="631"/>
      <c r="I354" s="21">
        <f t="shared" si="62"/>
        <v>1</v>
      </c>
      <c r="J354" s="631"/>
      <c r="K354" s="21">
        <f t="shared" si="63"/>
        <v>1</v>
      </c>
      <c r="L354" s="631"/>
      <c r="M354" s="21">
        <f t="shared" si="64"/>
        <v>1</v>
      </c>
      <c r="N354" s="631"/>
      <c r="O354" s="21">
        <f t="shared" si="65"/>
        <v>1</v>
      </c>
      <c r="P354" s="2566">
        <f>铂郡面积表!K291</f>
        <v>0</v>
      </c>
      <c r="Q354" s="21">
        <f t="shared" si="66"/>
        <v>1</v>
      </c>
      <c r="R354" s="21">
        <f t="shared" si="67"/>
        <v>0</v>
      </c>
      <c r="S354" s="307">
        <f t="shared" si="59"/>
        <v>0</v>
      </c>
    </row>
    <row r="355" spans="1:19">
      <c r="A355" s="629"/>
      <c r="B355" s="629"/>
      <c r="C355" s="21"/>
      <c r="D355" s="2566"/>
      <c r="E355" s="21">
        <f t="shared" si="60"/>
        <v>1</v>
      </c>
      <c r="F355" s="2566">
        <f>铂郡面积表!Q292</f>
        <v>0</v>
      </c>
      <c r="G355" s="21">
        <f t="shared" si="61"/>
        <v>0</v>
      </c>
      <c r="H355" s="631"/>
      <c r="I355" s="21">
        <f t="shared" si="62"/>
        <v>1</v>
      </c>
      <c r="J355" s="631"/>
      <c r="K355" s="21">
        <f t="shared" si="63"/>
        <v>1</v>
      </c>
      <c r="L355" s="631"/>
      <c r="M355" s="21">
        <f t="shared" si="64"/>
        <v>1</v>
      </c>
      <c r="N355" s="631"/>
      <c r="O355" s="21">
        <f t="shared" si="65"/>
        <v>1</v>
      </c>
      <c r="P355" s="2566">
        <f>铂郡面积表!K292</f>
        <v>0</v>
      </c>
      <c r="Q355" s="21">
        <f t="shared" si="66"/>
        <v>1</v>
      </c>
      <c r="R355" s="21">
        <f t="shared" si="67"/>
        <v>0</v>
      </c>
      <c r="S355" s="307">
        <f t="shared" si="59"/>
        <v>0</v>
      </c>
    </row>
    <row r="356" spans="1:19">
      <c r="A356" s="629"/>
      <c r="B356" s="629"/>
      <c r="C356" s="21"/>
      <c r="D356" s="2566"/>
      <c r="E356" s="21">
        <f t="shared" si="60"/>
        <v>1</v>
      </c>
      <c r="F356" s="2566">
        <f>铂郡面积表!Q293</f>
        <v>0</v>
      </c>
      <c r="G356" s="21">
        <f t="shared" si="61"/>
        <v>0</v>
      </c>
      <c r="H356" s="631"/>
      <c r="I356" s="21">
        <f t="shared" si="62"/>
        <v>1</v>
      </c>
      <c r="J356" s="631"/>
      <c r="K356" s="21">
        <f t="shared" si="63"/>
        <v>1</v>
      </c>
      <c r="L356" s="631"/>
      <c r="M356" s="21">
        <f t="shared" si="64"/>
        <v>1</v>
      </c>
      <c r="N356" s="631"/>
      <c r="O356" s="21">
        <f t="shared" si="65"/>
        <v>1</v>
      </c>
      <c r="P356" s="2566">
        <f>铂郡面积表!K293</f>
        <v>0</v>
      </c>
      <c r="Q356" s="21">
        <f t="shared" si="66"/>
        <v>1</v>
      </c>
      <c r="R356" s="21">
        <f t="shared" si="67"/>
        <v>0</v>
      </c>
      <c r="S356" s="307">
        <f t="shared" si="59"/>
        <v>0</v>
      </c>
    </row>
    <row r="357" spans="1:19">
      <c r="A357" s="629"/>
      <c r="B357" s="629"/>
      <c r="C357" s="21"/>
      <c r="D357" s="2566"/>
      <c r="E357" s="21">
        <f t="shared" si="60"/>
        <v>1</v>
      </c>
      <c r="F357" s="2566">
        <f>铂郡面积表!Q294</f>
        <v>0</v>
      </c>
      <c r="G357" s="21">
        <f t="shared" si="61"/>
        <v>0</v>
      </c>
      <c r="H357" s="631"/>
      <c r="I357" s="21">
        <f t="shared" si="62"/>
        <v>1</v>
      </c>
      <c r="J357" s="631"/>
      <c r="K357" s="21">
        <f t="shared" si="63"/>
        <v>1</v>
      </c>
      <c r="L357" s="631"/>
      <c r="M357" s="21">
        <f t="shared" si="64"/>
        <v>1</v>
      </c>
      <c r="N357" s="631"/>
      <c r="O357" s="21">
        <f t="shared" si="65"/>
        <v>1</v>
      </c>
      <c r="P357" s="2566">
        <f>铂郡面积表!K294</f>
        <v>0</v>
      </c>
      <c r="Q357" s="21">
        <f t="shared" si="66"/>
        <v>1</v>
      </c>
      <c r="R357" s="21">
        <f t="shared" si="67"/>
        <v>0</v>
      </c>
      <c r="S357" s="307">
        <f t="shared" si="59"/>
        <v>0</v>
      </c>
    </row>
    <row r="358" spans="1:19">
      <c r="A358" s="629"/>
      <c r="B358" s="629"/>
      <c r="C358" s="21"/>
      <c r="D358" s="2566"/>
      <c r="E358" s="21">
        <f t="shared" si="60"/>
        <v>1</v>
      </c>
      <c r="F358" s="2566">
        <f>铂郡面积表!Q295</f>
        <v>0</v>
      </c>
      <c r="G358" s="21">
        <f t="shared" si="61"/>
        <v>0</v>
      </c>
      <c r="H358" s="631"/>
      <c r="I358" s="21">
        <f t="shared" si="62"/>
        <v>1</v>
      </c>
      <c r="J358" s="631"/>
      <c r="K358" s="21">
        <f t="shared" si="63"/>
        <v>1</v>
      </c>
      <c r="L358" s="631"/>
      <c r="M358" s="21">
        <f t="shared" si="64"/>
        <v>1</v>
      </c>
      <c r="N358" s="631"/>
      <c r="O358" s="21">
        <f t="shared" si="65"/>
        <v>1</v>
      </c>
      <c r="P358" s="2566">
        <f>铂郡面积表!K295</f>
        <v>0</v>
      </c>
      <c r="Q358" s="21">
        <f t="shared" si="66"/>
        <v>1</v>
      </c>
      <c r="R358" s="21">
        <f t="shared" si="67"/>
        <v>0</v>
      </c>
      <c r="S358" s="307">
        <f t="shared" si="59"/>
        <v>0</v>
      </c>
    </row>
    <row r="359" spans="1:19">
      <c r="A359" s="629"/>
      <c r="B359" s="629"/>
      <c r="C359" s="21"/>
      <c r="D359" s="2566"/>
      <c r="E359" s="21">
        <f t="shared" si="60"/>
        <v>1</v>
      </c>
      <c r="F359" s="2566">
        <f>铂郡面积表!Q296</f>
        <v>0</v>
      </c>
      <c r="G359" s="21">
        <f t="shared" si="61"/>
        <v>0</v>
      </c>
      <c r="H359" s="631"/>
      <c r="I359" s="21">
        <f t="shared" si="62"/>
        <v>1</v>
      </c>
      <c r="J359" s="631"/>
      <c r="K359" s="21">
        <f t="shared" si="63"/>
        <v>1</v>
      </c>
      <c r="L359" s="631"/>
      <c r="M359" s="21">
        <f t="shared" si="64"/>
        <v>1</v>
      </c>
      <c r="N359" s="631"/>
      <c r="O359" s="21">
        <f t="shared" si="65"/>
        <v>1</v>
      </c>
      <c r="P359" s="2566">
        <f>铂郡面积表!K296</f>
        <v>0</v>
      </c>
      <c r="Q359" s="21">
        <f t="shared" si="66"/>
        <v>1</v>
      </c>
      <c r="R359" s="21">
        <f t="shared" si="67"/>
        <v>0</v>
      </c>
      <c r="S359" s="307">
        <f t="shared" si="59"/>
        <v>0</v>
      </c>
    </row>
    <row r="360" spans="1:19">
      <c r="A360" s="629"/>
      <c r="B360" s="629"/>
      <c r="C360" s="21"/>
      <c r="D360" s="2566"/>
      <c r="E360" s="21">
        <f t="shared" si="60"/>
        <v>1</v>
      </c>
      <c r="F360" s="2566">
        <f>铂郡面积表!Q297</f>
        <v>0</v>
      </c>
      <c r="G360" s="21">
        <f t="shared" si="61"/>
        <v>0</v>
      </c>
      <c r="H360" s="631"/>
      <c r="I360" s="21">
        <f t="shared" si="62"/>
        <v>1</v>
      </c>
      <c r="J360" s="631"/>
      <c r="K360" s="21">
        <f t="shared" si="63"/>
        <v>1</v>
      </c>
      <c r="L360" s="631"/>
      <c r="M360" s="21">
        <f t="shared" si="64"/>
        <v>1</v>
      </c>
      <c r="N360" s="631"/>
      <c r="O360" s="21">
        <f t="shared" si="65"/>
        <v>1</v>
      </c>
      <c r="P360" s="2566">
        <f>铂郡面积表!K297</f>
        <v>0</v>
      </c>
      <c r="Q360" s="21">
        <f t="shared" si="66"/>
        <v>1</v>
      </c>
      <c r="R360" s="21">
        <f t="shared" si="67"/>
        <v>0</v>
      </c>
      <c r="S360" s="307">
        <f t="shared" si="59"/>
        <v>0</v>
      </c>
    </row>
    <row r="361" spans="1:19">
      <c r="A361" s="629"/>
      <c r="B361" s="629"/>
      <c r="C361" s="21"/>
      <c r="D361" s="2566"/>
      <c r="E361" s="21">
        <f t="shared" si="60"/>
        <v>1</v>
      </c>
      <c r="F361" s="2566">
        <f>铂郡面积表!Q298</f>
        <v>0</v>
      </c>
      <c r="G361" s="21">
        <f t="shared" si="61"/>
        <v>0</v>
      </c>
      <c r="H361" s="631"/>
      <c r="I361" s="21">
        <f t="shared" si="62"/>
        <v>1</v>
      </c>
      <c r="J361" s="631"/>
      <c r="K361" s="21">
        <f t="shared" si="63"/>
        <v>1</v>
      </c>
      <c r="L361" s="631"/>
      <c r="M361" s="21">
        <f t="shared" si="64"/>
        <v>1</v>
      </c>
      <c r="N361" s="631"/>
      <c r="O361" s="21">
        <f t="shared" si="65"/>
        <v>1</v>
      </c>
      <c r="P361" s="2566">
        <f>铂郡面积表!K298</f>
        <v>0</v>
      </c>
      <c r="Q361" s="21">
        <f t="shared" si="66"/>
        <v>1</v>
      </c>
      <c r="R361" s="21">
        <f t="shared" si="67"/>
        <v>0</v>
      </c>
      <c r="S361" s="307">
        <f t="shared" si="59"/>
        <v>0</v>
      </c>
    </row>
    <row r="362" spans="1:19">
      <c r="A362" s="629"/>
      <c r="B362" s="629"/>
      <c r="C362" s="21"/>
      <c r="D362" s="2566"/>
      <c r="E362" s="21">
        <f t="shared" si="60"/>
        <v>1</v>
      </c>
      <c r="F362" s="2566">
        <f>铂郡面积表!Q299</f>
        <v>0</v>
      </c>
      <c r="G362" s="21">
        <f t="shared" si="61"/>
        <v>0</v>
      </c>
      <c r="H362" s="631"/>
      <c r="I362" s="21">
        <f t="shared" si="62"/>
        <v>1</v>
      </c>
      <c r="J362" s="631"/>
      <c r="K362" s="21">
        <f t="shared" si="63"/>
        <v>1</v>
      </c>
      <c r="L362" s="631"/>
      <c r="M362" s="21">
        <f t="shared" si="64"/>
        <v>1</v>
      </c>
      <c r="N362" s="631"/>
      <c r="O362" s="21">
        <f t="shared" si="65"/>
        <v>1</v>
      </c>
      <c r="P362" s="2566">
        <f>铂郡面积表!K299</f>
        <v>0</v>
      </c>
      <c r="Q362" s="21">
        <f t="shared" si="66"/>
        <v>1</v>
      </c>
      <c r="R362" s="21">
        <f t="shared" si="67"/>
        <v>0</v>
      </c>
      <c r="S362" s="307">
        <f t="shared" si="59"/>
        <v>0</v>
      </c>
    </row>
    <row r="363" spans="1:19">
      <c r="A363" s="629"/>
      <c r="B363" s="629"/>
      <c r="C363" s="21"/>
      <c r="D363" s="2566"/>
      <c r="E363" s="21">
        <f t="shared" si="60"/>
        <v>1</v>
      </c>
      <c r="F363" s="2566">
        <f>铂郡面积表!Q300</f>
        <v>0</v>
      </c>
      <c r="G363" s="21">
        <f t="shared" si="61"/>
        <v>0</v>
      </c>
      <c r="H363" s="631"/>
      <c r="I363" s="21">
        <f t="shared" si="62"/>
        <v>1</v>
      </c>
      <c r="J363" s="631"/>
      <c r="K363" s="21">
        <f t="shared" si="63"/>
        <v>1</v>
      </c>
      <c r="L363" s="631"/>
      <c r="M363" s="21">
        <f t="shared" si="64"/>
        <v>1</v>
      </c>
      <c r="N363" s="631"/>
      <c r="O363" s="21">
        <f t="shared" si="65"/>
        <v>1</v>
      </c>
      <c r="P363" s="2566">
        <f>铂郡面积表!K300</f>
        <v>0</v>
      </c>
      <c r="Q363" s="21">
        <f t="shared" si="66"/>
        <v>1</v>
      </c>
      <c r="R363" s="21">
        <f t="shared" si="67"/>
        <v>0</v>
      </c>
      <c r="S363" s="307">
        <f t="shared" si="59"/>
        <v>0</v>
      </c>
    </row>
    <row r="364" spans="1:19">
      <c r="A364" s="629"/>
      <c r="B364" s="629"/>
      <c r="C364" s="21"/>
      <c r="D364" s="2566"/>
      <c r="E364" s="21">
        <f t="shared" si="60"/>
        <v>1</v>
      </c>
      <c r="F364" s="2566">
        <f>铂郡面积表!Q301</f>
        <v>0</v>
      </c>
      <c r="G364" s="21">
        <f t="shared" si="61"/>
        <v>0</v>
      </c>
      <c r="H364" s="631"/>
      <c r="I364" s="21">
        <f t="shared" si="62"/>
        <v>1</v>
      </c>
      <c r="J364" s="631"/>
      <c r="K364" s="21">
        <f t="shared" si="63"/>
        <v>1</v>
      </c>
      <c r="L364" s="631"/>
      <c r="M364" s="21">
        <f t="shared" si="64"/>
        <v>1</v>
      </c>
      <c r="N364" s="631"/>
      <c r="O364" s="21">
        <f t="shared" si="65"/>
        <v>1</v>
      </c>
      <c r="P364" s="2566">
        <f>铂郡面积表!K301</f>
        <v>0</v>
      </c>
      <c r="Q364" s="21">
        <f t="shared" si="66"/>
        <v>1</v>
      </c>
      <c r="R364" s="21">
        <f t="shared" si="67"/>
        <v>0</v>
      </c>
      <c r="S364" s="307">
        <f t="shared" si="59"/>
        <v>0</v>
      </c>
    </row>
    <row r="365" spans="1:19">
      <c r="A365" s="629"/>
      <c r="B365" s="629"/>
      <c r="C365" s="21"/>
      <c r="D365" s="2566"/>
      <c r="E365" s="21">
        <f t="shared" si="60"/>
        <v>1</v>
      </c>
      <c r="F365" s="2566">
        <f>铂郡面积表!Q302</f>
        <v>0</v>
      </c>
      <c r="G365" s="21">
        <f t="shared" si="61"/>
        <v>0</v>
      </c>
      <c r="H365" s="631"/>
      <c r="I365" s="21">
        <f t="shared" si="62"/>
        <v>1</v>
      </c>
      <c r="J365" s="631"/>
      <c r="K365" s="21">
        <f t="shared" si="63"/>
        <v>1</v>
      </c>
      <c r="L365" s="631"/>
      <c r="M365" s="21">
        <f t="shared" si="64"/>
        <v>1</v>
      </c>
      <c r="N365" s="631"/>
      <c r="O365" s="21">
        <f t="shared" si="65"/>
        <v>1</v>
      </c>
      <c r="P365" s="2566">
        <f>铂郡面积表!K302</f>
        <v>0</v>
      </c>
      <c r="Q365" s="21">
        <f t="shared" si="66"/>
        <v>1</v>
      </c>
      <c r="R365" s="21">
        <f t="shared" si="67"/>
        <v>0</v>
      </c>
      <c r="S365" s="307">
        <f t="shared" si="59"/>
        <v>0</v>
      </c>
    </row>
    <row r="366" spans="1:19">
      <c r="A366" s="629"/>
      <c r="B366" s="629"/>
      <c r="C366" s="21"/>
      <c r="D366" s="2566"/>
      <c r="E366" s="21">
        <f t="shared" si="60"/>
        <v>1</v>
      </c>
      <c r="F366" s="2566">
        <f>铂郡面积表!Q303</f>
        <v>0</v>
      </c>
      <c r="G366" s="21">
        <f t="shared" si="61"/>
        <v>0</v>
      </c>
      <c r="H366" s="631"/>
      <c r="I366" s="21">
        <f t="shared" si="62"/>
        <v>1</v>
      </c>
      <c r="J366" s="631"/>
      <c r="K366" s="21">
        <f t="shared" si="63"/>
        <v>1</v>
      </c>
      <c r="L366" s="631"/>
      <c r="M366" s="21">
        <f t="shared" si="64"/>
        <v>1</v>
      </c>
      <c r="N366" s="631"/>
      <c r="O366" s="21">
        <f t="shared" si="65"/>
        <v>1</v>
      </c>
      <c r="P366" s="2566">
        <f>铂郡面积表!K303</f>
        <v>0</v>
      </c>
      <c r="Q366" s="21">
        <f t="shared" si="66"/>
        <v>1</v>
      </c>
      <c r="R366" s="21">
        <f t="shared" si="67"/>
        <v>0</v>
      </c>
      <c r="S366" s="307">
        <f t="shared" si="59"/>
        <v>0</v>
      </c>
    </row>
    <row r="367" spans="1:19">
      <c r="A367" s="629"/>
      <c r="B367" s="629"/>
      <c r="C367" s="21"/>
      <c r="D367" s="2566"/>
      <c r="E367" s="21">
        <f t="shared" si="60"/>
        <v>1</v>
      </c>
      <c r="F367" s="2566">
        <f>铂郡面积表!Q304</f>
        <v>0</v>
      </c>
      <c r="G367" s="21">
        <f t="shared" si="61"/>
        <v>0</v>
      </c>
      <c r="H367" s="631"/>
      <c r="I367" s="21">
        <f t="shared" si="62"/>
        <v>1</v>
      </c>
      <c r="J367" s="631"/>
      <c r="K367" s="21">
        <f t="shared" si="63"/>
        <v>1</v>
      </c>
      <c r="L367" s="631"/>
      <c r="M367" s="21">
        <f t="shared" si="64"/>
        <v>1</v>
      </c>
      <c r="N367" s="631"/>
      <c r="O367" s="21">
        <f t="shared" si="65"/>
        <v>1</v>
      </c>
      <c r="P367" s="2566">
        <f>铂郡面积表!K304</f>
        <v>0</v>
      </c>
      <c r="Q367" s="21">
        <f t="shared" si="66"/>
        <v>1</v>
      </c>
      <c r="R367" s="21">
        <f t="shared" si="67"/>
        <v>0</v>
      </c>
      <c r="S367" s="307">
        <f t="shared" si="59"/>
        <v>0</v>
      </c>
    </row>
    <row r="368" spans="1:19">
      <c r="A368" s="629"/>
      <c r="B368" s="629"/>
      <c r="C368" s="21"/>
      <c r="D368" s="2566"/>
      <c r="E368" s="21">
        <f t="shared" si="60"/>
        <v>1</v>
      </c>
      <c r="F368" s="2566">
        <f>铂郡面积表!Q305</f>
        <v>0</v>
      </c>
      <c r="G368" s="21">
        <f t="shared" si="61"/>
        <v>0</v>
      </c>
      <c r="H368" s="631"/>
      <c r="I368" s="21">
        <f t="shared" si="62"/>
        <v>1</v>
      </c>
      <c r="J368" s="631"/>
      <c r="K368" s="21">
        <f t="shared" si="63"/>
        <v>1</v>
      </c>
      <c r="L368" s="631"/>
      <c r="M368" s="21">
        <f t="shared" si="64"/>
        <v>1</v>
      </c>
      <c r="N368" s="631"/>
      <c r="O368" s="21">
        <f t="shared" si="65"/>
        <v>1</v>
      </c>
      <c r="P368" s="2566">
        <f>铂郡面积表!K305</f>
        <v>0</v>
      </c>
      <c r="Q368" s="21">
        <f t="shared" si="66"/>
        <v>1</v>
      </c>
      <c r="R368" s="21">
        <f t="shared" si="67"/>
        <v>0</v>
      </c>
      <c r="S368" s="307">
        <f t="shared" si="59"/>
        <v>0</v>
      </c>
    </row>
    <row r="369" spans="1:19">
      <c r="A369" s="629"/>
      <c r="B369" s="629"/>
      <c r="C369" s="21"/>
      <c r="D369" s="2566"/>
      <c r="E369" s="21">
        <f t="shared" si="60"/>
        <v>1</v>
      </c>
      <c r="F369" s="2566">
        <f>铂郡面积表!Q306</f>
        <v>0</v>
      </c>
      <c r="G369" s="21">
        <f t="shared" si="61"/>
        <v>0</v>
      </c>
      <c r="H369" s="631"/>
      <c r="I369" s="21">
        <f t="shared" si="62"/>
        <v>1</v>
      </c>
      <c r="J369" s="631"/>
      <c r="K369" s="21">
        <f t="shared" si="63"/>
        <v>1</v>
      </c>
      <c r="L369" s="631"/>
      <c r="M369" s="21">
        <f t="shared" si="64"/>
        <v>1</v>
      </c>
      <c r="N369" s="631"/>
      <c r="O369" s="21">
        <f t="shared" si="65"/>
        <v>1</v>
      </c>
      <c r="P369" s="2566">
        <f>铂郡面积表!K306</f>
        <v>0</v>
      </c>
      <c r="Q369" s="21">
        <f t="shared" si="66"/>
        <v>1</v>
      </c>
      <c r="R369" s="21">
        <f t="shared" si="67"/>
        <v>0</v>
      </c>
      <c r="S369" s="307">
        <f t="shared" si="59"/>
        <v>0</v>
      </c>
    </row>
    <row r="370" spans="1:19">
      <c r="A370" s="629"/>
      <c r="B370" s="629"/>
      <c r="C370" s="21"/>
      <c r="D370" s="2566"/>
      <c r="E370" s="21">
        <f t="shared" si="60"/>
        <v>1</v>
      </c>
      <c r="F370" s="2566">
        <f>铂郡面积表!Q307</f>
        <v>0</v>
      </c>
      <c r="G370" s="21">
        <f t="shared" si="61"/>
        <v>0</v>
      </c>
      <c r="H370" s="631"/>
      <c r="I370" s="21">
        <f t="shared" si="62"/>
        <v>1</v>
      </c>
      <c r="J370" s="631"/>
      <c r="K370" s="21">
        <f t="shared" si="63"/>
        <v>1</v>
      </c>
      <c r="L370" s="631"/>
      <c r="M370" s="21">
        <f t="shared" si="64"/>
        <v>1</v>
      </c>
      <c r="N370" s="631"/>
      <c r="O370" s="21">
        <f t="shared" si="65"/>
        <v>1</v>
      </c>
      <c r="P370" s="2566">
        <f>铂郡面积表!K307</f>
        <v>0</v>
      </c>
      <c r="Q370" s="21">
        <f t="shared" si="66"/>
        <v>1</v>
      </c>
      <c r="R370" s="21">
        <f t="shared" si="67"/>
        <v>0</v>
      </c>
      <c r="S370" s="307">
        <f t="shared" si="59"/>
        <v>0</v>
      </c>
    </row>
    <row r="371" spans="1:19">
      <c r="A371" s="629"/>
      <c r="B371" s="629"/>
      <c r="C371" s="21"/>
      <c r="D371" s="2566"/>
      <c r="E371" s="21">
        <f t="shared" si="60"/>
        <v>1</v>
      </c>
      <c r="F371" s="2566">
        <f>铂郡面积表!Q308</f>
        <v>0</v>
      </c>
      <c r="G371" s="21">
        <f t="shared" si="61"/>
        <v>0</v>
      </c>
      <c r="H371" s="631"/>
      <c r="I371" s="21">
        <f t="shared" si="62"/>
        <v>1</v>
      </c>
      <c r="J371" s="631"/>
      <c r="K371" s="21">
        <f t="shared" si="63"/>
        <v>1</v>
      </c>
      <c r="L371" s="631"/>
      <c r="M371" s="21">
        <f t="shared" si="64"/>
        <v>1</v>
      </c>
      <c r="N371" s="631"/>
      <c r="O371" s="21">
        <f t="shared" si="65"/>
        <v>1</v>
      </c>
      <c r="P371" s="2566">
        <f>铂郡面积表!K308</f>
        <v>0</v>
      </c>
      <c r="Q371" s="21">
        <f t="shared" si="66"/>
        <v>1</v>
      </c>
      <c r="R371" s="21">
        <f t="shared" si="67"/>
        <v>0</v>
      </c>
      <c r="S371" s="307">
        <f t="shared" si="59"/>
        <v>0</v>
      </c>
    </row>
    <row r="372" spans="1:19">
      <c r="A372" s="629"/>
      <c r="B372" s="629"/>
      <c r="C372" s="21"/>
      <c r="D372" s="2566"/>
      <c r="E372" s="21">
        <f t="shared" si="60"/>
        <v>1</v>
      </c>
      <c r="F372" s="2566">
        <f>铂郡面积表!Q309</f>
        <v>0</v>
      </c>
      <c r="G372" s="21">
        <f t="shared" si="61"/>
        <v>0</v>
      </c>
      <c r="H372" s="631"/>
      <c r="I372" s="21">
        <f t="shared" si="62"/>
        <v>1</v>
      </c>
      <c r="J372" s="631"/>
      <c r="K372" s="21">
        <f t="shared" si="63"/>
        <v>1</v>
      </c>
      <c r="L372" s="631"/>
      <c r="M372" s="21">
        <f t="shared" si="64"/>
        <v>1</v>
      </c>
      <c r="N372" s="631"/>
      <c r="O372" s="21">
        <f t="shared" si="65"/>
        <v>1</v>
      </c>
      <c r="P372" s="2566">
        <f>铂郡面积表!K309</f>
        <v>0</v>
      </c>
      <c r="Q372" s="21">
        <f t="shared" si="66"/>
        <v>1</v>
      </c>
      <c r="R372" s="21">
        <f t="shared" si="67"/>
        <v>0</v>
      </c>
      <c r="S372" s="307">
        <f t="shared" si="59"/>
        <v>0</v>
      </c>
    </row>
    <row r="373" spans="1:19">
      <c r="A373" s="629"/>
      <c r="B373" s="629"/>
      <c r="C373" s="21"/>
      <c r="D373" s="2566"/>
      <c r="E373" s="21">
        <f t="shared" si="60"/>
        <v>1</v>
      </c>
      <c r="F373" s="2566">
        <f>铂郡面积表!Q310</f>
        <v>0</v>
      </c>
      <c r="G373" s="21">
        <f t="shared" si="61"/>
        <v>0</v>
      </c>
      <c r="H373" s="631"/>
      <c r="I373" s="21">
        <f t="shared" si="62"/>
        <v>1</v>
      </c>
      <c r="J373" s="631"/>
      <c r="K373" s="21">
        <f t="shared" si="63"/>
        <v>1</v>
      </c>
      <c r="L373" s="631"/>
      <c r="M373" s="21">
        <f t="shared" si="64"/>
        <v>1</v>
      </c>
      <c r="N373" s="631"/>
      <c r="O373" s="21">
        <f t="shared" si="65"/>
        <v>1</v>
      </c>
      <c r="P373" s="2566">
        <f>铂郡面积表!K310</f>
        <v>0</v>
      </c>
      <c r="Q373" s="21">
        <f t="shared" si="66"/>
        <v>1</v>
      </c>
      <c r="R373" s="21">
        <f t="shared" si="67"/>
        <v>0</v>
      </c>
      <c r="S373" s="307">
        <f t="shared" si="59"/>
        <v>0</v>
      </c>
    </row>
    <row r="374" spans="1:19">
      <c r="A374" s="629"/>
      <c r="B374" s="629"/>
      <c r="C374" s="21"/>
      <c r="D374" s="2566"/>
      <c r="E374" s="21">
        <f t="shared" si="60"/>
        <v>1</v>
      </c>
      <c r="F374" s="2566">
        <f>铂郡面积表!Q311</f>
        <v>0</v>
      </c>
      <c r="G374" s="21">
        <f t="shared" si="61"/>
        <v>0</v>
      </c>
      <c r="H374" s="631"/>
      <c r="I374" s="21">
        <f t="shared" si="62"/>
        <v>1</v>
      </c>
      <c r="J374" s="631"/>
      <c r="K374" s="21">
        <f t="shared" si="63"/>
        <v>1</v>
      </c>
      <c r="L374" s="631"/>
      <c r="M374" s="21">
        <f t="shared" si="64"/>
        <v>1</v>
      </c>
      <c r="N374" s="631"/>
      <c r="O374" s="21">
        <f t="shared" si="65"/>
        <v>1</v>
      </c>
      <c r="P374" s="2566">
        <f>铂郡面积表!K311</f>
        <v>0</v>
      </c>
      <c r="Q374" s="21">
        <f t="shared" si="66"/>
        <v>1</v>
      </c>
      <c r="R374" s="21">
        <f t="shared" si="67"/>
        <v>0</v>
      </c>
      <c r="S374" s="307">
        <f t="shared" si="59"/>
        <v>0</v>
      </c>
    </row>
    <row r="375" spans="1:19">
      <c r="A375" s="629"/>
      <c r="B375" s="629"/>
      <c r="C375" s="21"/>
      <c r="D375" s="2566"/>
      <c r="E375" s="21">
        <f t="shared" si="60"/>
        <v>1</v>
      </c>
      <c r="F375" s="2566">
        <f>铂郡面积表!Q312</f>
        <v>0</v>
      </c>
      <c r="G375" s="21">
        <f t="shared" si="61"/>
        <v>0</v>
      </c>
      <c r="H375" s="631"/>
      <c r="I375" s="21">
        <f t="shared" si="62"/>
        <v>1</v>
      </c>
      <c r="J375" s="631"/>
      <c r="K375" s="21">
        <f t="shared" si="63"/>
        <v>1</v>
      </c>
      <c r="L375" s="631"/>
      <c r="M375" s="21">
        <f t="shared" si="64"/>
        <v>1</v>
      </c>
      <c r="N375" s="631"/>
      <c r="O375" s="21">
        <f t="shared" si="65"/>
        <v>1</v>
      </c>
      <c r="P375" s="2566">
        <f>铂郡面积表!K312</f>
        <v>0</v>
      </c>
      <c r="Q375" s="21">
        <f t="shared" si="66"/>
        <v>1</v>
      </c>
      <c r="R375" s="21">
        <f t="shared" si="67"/>
        <v>0</v>
      </c>
      <c r="S375" s="307">
        <f t="shared" si="59"/>
        <v>0</v>
      </c>
    </row>
    <row r="376" spans="1:19">
      <c r="A376" s="629"/>
      <c r="B376" s="629"/>
      <c r="C376" s="21"/>
      <c r="D376" s="2566"/>
      <c r="E376" s="21">
        <f t="shared" si="60"/>
        <v>1</v>
      </c>
      <c r="F376" s="2566">
        <f>铂郡面积表!Q313</f>
        <v>0</v>
      </c>
      <c r="G376" s="21">
        <f t="shared" si="61"/>
        <v>0</v>
      </c>
      <c r="H376" s="631"/>
      <c r="I376" s="21">
        <f t="shared" si="62"/>
        <v>1</v>
      </c>
      <c r="J376" s="631"/>
      <c r="K376" s="21">
        <f t="shared" si="63"/>
        <v>1</v>
      </c>
      <c r="L376" s="631"/>
      <c r="M376" s="21">
        <f t="shared" si="64"/>
        <v>1</v>
      </c>
      <c r="N376" s="631"/>
      <c r="O376" s="21">
        <f t="shared" si="65"/>
        <v>1</v>
      </c>
      <c r="P376" s="2566">
        <f>铂郡面积表!K313</f>
        <v>0</v>
      </c>
      <c r="Q376" s="21">
        <f t="shared" si="66"/>
        <v>1</v>
      </c>
      <c r="R376" s="21">
        <f t="shared" si="67"/>
        <v>0</v>
      </c>
      <c r="S376" s="307">
        <f t="shared" si="59"/>
        <v>0</v>
      </c>
    </row>
    <row r="377" spans="1:19">
      <c r="A377" s="629"/>
      <c r="B377" s="629"/>
      <c r="C377" s="21"/>
      <c r="D377" s="2566"/>
      <c r="E377" s="21">
        <f t="shared" si="60"/>
        <v>1</v>
      </c>
      <c r="F377" s="2566">
        <f>铂郡面积表!Q314</f>
        <v>0</v>
      </c>
      <c r="G377" s="21">
        <f t="shared" si="61"/>
        <v>0</v>
      </c>
      <c r="H377" s="631"/>
      <c r="I377" s="21">
        <f t="shared" si="62"/>
        <v>1</v>
      </c>
      <c r="J377" s="631"/>
      <c r="K377" s="21">
        <f t="shared" si="63"/>
        <v>1</v>
      </c>
      <c r="L377" s="631"/>
      <c r="M377" s="21">
        <f t="shared" si="64"/>
        <v>1</v>
      </c>
      <c r="N377" s="631"/>
      <c r="O377" s="21">
        <f t="shared" si="65"/>
        <v>1</v>
      </c>
      <c r="P377" s="2566">
        <f>铂郡面积表!K314</f>
        <v>0</v>
      </c>
      <c r="Q377" s="21">
        <f t="shared" si="66"/>
        <v>1</v>
      </c>
      <c r="R377" s="21">
        <f t="shared" si="67"/>
        <v>0</v>
      </c>
      <c r="S377" s="307">
        <f t="shared" si="59"/>
        <v>0</v>
      </c>
    </row>
    <row r="378" spans="1:19">
      <c r="A378" s="629"/>
      <c r="B378" s="629"/>
      <c r="C378" s="21"/>
      <c r="D378" s="2566"/>
      <c r="E378" s="21">
        <f t="shared" si="60"/>
        <v>1</v>
      </c>
      <c r="F378" s="2566">
        <f>铂郡面积表!Q315</f>
        <v>0</v>
      </c>
      <c r="G378" s="21">
        <f t="shared" si="61"/>
        <v>0</v>
      </c>
      <c r="H378" s="631"/>
      <c r="I378" s="21">
        <f t="shared" si="62"/>
        <v>1</v>
      </c>
      <c r="J378" s="631"/>
      <c r="K378" s="21">
        <f t="shared" si="63"/>
        <v>1</v>
      </c>
      <c r="L378" s="631"/>
      <c r="M378" s="21">
        <f t="shared" si="64"/>
        <v>1</v>
      </c>
      <c r="N378" s="631"/>
      <c r="O378" s="21">
        <f t="shared" si="65"/>
        <v>1</v>
      </c>
      <c r="P378" s="2566">
        <f>铂郡面积表!K315</f>
        <v>0</v>
      </c>
      <c r="Q378" s="21">
        <f t="shared" si="66"/>
        <v>1</v>
      </c>
      <c r="R378" s="21">
        <f t="shared" si="67"/>
        <v>0</v>
      </c>
      <c r="S378" s="307">
        <f t="shared" si="59"/>
        <v>0</v>
      </c>
    </row>
    <row r="379" spans="1:19">
      <c r="A379" s="629"/>
      <c r="B379" s="629"/>
      <c r="C379" s="21"/>
      <c r="D379" s="2566"/>
      <c r="E379" s="21">
        <f t="shared" si="60"/>
        <v>1</v>
      </c>
      <c r="F379" s="2566">
        <f>铂郡面积表!Q316</f>
        <v>0</v>
      </c>
      <c r="G379" s="21">
        <f t="shared" si="61"/>
        <v>0</v>
      </c>
      <c r="H379" s="631"/>
      <c r="I379" s="21">
        <f t="shared" si="62"/>
        <v>1</v>
      </c>
      <c r="J379" s="631"/>
      <c r="K379" s="21">
        <f t="shared" si="63"/>
        <v>1</v>
      </c>
      <c r="L379" s="631"/>
      <c r="M379" s="21">
        <f t="shared" si="64"/>
        <v>1</v>
      </c>
      <c r="N379" s="631"/>
      <c r="O379" s="21">
        <f t="shared" si="65"/>
        <v>1</v>
      </c>
      <c r="P379" s="2566">
        <f>铂郡面积表!K316</f>
        <v>0</v>
      </c>
      <c r="Q379" s="21">
        <f t="shared" si="66"/>
        <v>1</v>
      </c>
      <c r="R379" s="21">
        <f t="shared" si="67"/>
        <v>0</v>
      </c>
      <c r="S379" s="307">
        <f t="shared" si="59"/>
        <v>0</v>
      </c>
    </row>
    <row r="380" spans="1:19">
      <c r="A380" s="629"/>
      <c r="B380" s="629"/>
      <c r="C380" s="21"/>
      <c r="D380" s="2566"/>
      <c r="E380" s="21">
        <f t="shared" si="60"/>
        <v>1</v>
      </c>
      <c r="F380" s="2566">
        <f>铂郡面积表!Q317</f>
        <v>0</v>
      </c>
      <c r="G380" s="21">
        <f t="shared" si="61"/>
        <v>0</v>
      </c>
      <c r="H380" s="631"/>
      <c r="I380" s="21">
        <f t="shared" si="62"/>
        <v>1</v>
      </c>
      <c r="J380" s="631"/>
      <c r="K380" s="21">
        <f t="shared" si="63"/>
        <v>1</v>
      </c>
      <c r="L380" s="631"/>
      <c r="M380" s="21">
        <f t="shared" si="64"/>
        <v>1</v>
      </c>
      <c r="N380" s="631"/>
      <c r="O380" s="21">
        <f t="shared" si="65"/>
        <v>1</v>
      </c>
      <c r="P380" s="2566">
        <f>铂郡面积表!K317</f>
        <v>0</v>
      </c>
      <c r="Q380" s="21">
        <f t="shared" si="66"/>
        <v>1</v>
      </c>
      <c r="R380" s="21">
        <f t="shared" si="67"/>
        <v>0</v>
      </c>
      <c r="S380" s="307">
        <f t="shared" si="59"/>
        <v>0</v>
      </c>
    </row>
    <row r="381" spans="1:19">
      <c r="A381" s="629"/>
      <c r="B381" s="629"/>
      <c r="C381" s="21"/>
      <c r="D381" s="2566"/>
      <c r="E381" s="21">
        <f t="shared" si="60"/>
        <v>1</v>
      </c>
      <c r="F381" s="2566">
        <f>铂郡面积表!Q318</f>
        <v>0</v>
      </c>
      <c r="G381" s="21">
        <f t="shared" si="61"/>
        <v>0</v>
      </c>
      <c r="H381" s="631"/>
      <c r="I381" s="21">
        <f t="shared" si="62"/>
        <v>1</v>
      </c>
      <c r="J381" s="631"/>
      <c r="K381" s="21">
        <f t="shared" si="63"/>
        <v>1</v>
      </c>
      <c r="L381" s="631"/>
      <c r="M381" s="21">
        <f t="shared" si="64"/>
        <v>1</v>
      </c>
      <c r="N381" s="631"/>
      <c r="O381" s="21">
        <f t="shared" si="65"/>
        <v>1</v>
      </c>
      <c r="P381" s="2566">
        <f>铂郡面积表!K318</f>
        <v>0</v>
      </c>
      <c r="Q381" s="21">
        <f t="shared" si="66"/>
        <v>1</v>
      </c>
      <c r="R381" s="21">
        <f t="shared" si="67"/>
        <v>0</v>
      </c>
      <c r="S381" s="307">
        <f t="shared" si="59"/>
        <v>0</v>
      </c>
    </row>
    <row r="382" spans="1:19">
      <c r="A382" s="629"/>
      <c r="B382" s="629"/>
      <c r="C382" s="21"/>
      <c r="D382" s="2566"/>
      <c r="E382" s="21">
        <f t="shared" si="60"/>
        <v>1</v>
      </c>
      <c r="F382" s="2566">
        <f>铂郡面积表!Q319</f>
        <v>0</v>
      </c>
      <c r="G382" s="21">
        <f t="shared" si="61"/>
        <v>0</v>
      </c>
      <c r="H382" s="631"/>
      <c r="I382" s="21">
        <f t="shared" si="62"/>
        <v>1</v>
      </c>
      <c r="J382" s="631"/>
      <c r="K382" s="21">
        <f t="shared" si="63"/>
        <v>1</v>
      </c>
      <c r="L382" s="631"/>
      <c r="M382" s="21">
        <f t="shared" si="64"/>
        <v>1</v>
      </c>
      <c r="N382" s="631"/>
      <c r="O382" s="21">
        <f t="shared" si="65"/>
        <v>1</v>
      </c>
      <c r="P382" s="2566">
        <f>铂郡面积表!K319</f>
        <v>0</v>
      </c>
      <c r="Q382" s="21">
        <f t="shared" si="66"/>
        <v>1</v>
      </c>
      <c r="R382" s="21">
        <f t="shared" si="67"/>
        <v>0</v>
      </c>
      <c r="S382" s="307">
        <f t="shared" si="59"/>
        <v>0</v>
      </c>
    </row>
    <row r="383" spans="1:19">
      <c r="A383" s="629"/>
      <c r="B383" s="629"/>
      <c r="C383" s="21"/>
      <c r="D383" s="2566"/>
      <c r="E383" s="21">
        <f t="shared" si="60"/>
        <v>1</v>
      </c>
      <c r="F383" s="2566">
        <f>铂郡面积表!Q320</f>
        <v>0</v>
      </c>
      <c r="G383" s="21">
        <f t="shared" si="61"/>
        <v>0</v>
      </c>
      <c r="H383" s="631"/>
      <c r="I383" s="21">
        <f t="shared" si="62"/>
        <v>1</v>
      </c>
      <c r="J383" s="631"/>
      <c r="K383" s="21">
        <f t="shared" si="63"/>
        <v>1</v>
      </c>
      <c r="L383" s="631"/>
      <c r="M383" s="21">
        <f t="shared" si="64"/>
        <v>1</v>
      </c>
      <c r="N383" s="631"/>
      <c r="O383" s="21">
        <f t="shared" si="65"/>
        <v>1</v>
      </c>
      <c r="P383" s="2566">
        <f>铂郡面积表!K320</f>
        <v>0</v>
      </c>
      <c r="Q383" s="21">
        <f t="shared" si="66"/>
        <v>1</v>
      </c>
      <c r="R383" s="21">
        <f t="shared" si="67"/>
        <v>0</v>
      </c>
      <c r="S383" s="307">
        <f t="shared" si="59"/>
        <v>0</v>
      </c>
    </row>
    <row r="384" spans="1:19">
      <c r="A384" s="629"/>
      <c r="B384" s="629"/>
      <c r="C384" s="21"/>
      <c r="D384" s="2566"/>
      <c r="E384" s="21">
        <f t="shared" si="60"/>
        <v>1</v>
      </c>
      <c r="F384" s="2566">
        <f>铂郡面积表!Q321</f>
        <v>0</v>
      </c>
      <c r="G384" s="21">
        <f t="shared" si="61"/>
        <v>0</v>
      </c>
      <c r="H384" s="631"/>
      <c r="I384" s="21">
        <f t="shared" si="62"/>
        <v>1</v>
      </c>
      <c r="J384" s="631"/>
      <c r="K384" s="21">
        <f t="shared" si="63"/>
        <v>1</v>
      </c>
      <c r="L384" s="631"/>
      <c r="M384" s="21">
        <f t="shared" si="64"/>
        <v>1</v>
      </c>
      <c r="N384" s="631"/>
      <c r="O384" s="21">
        <f t="shared" si="65"/>
        <v>1</v>
      </c>
      <c r="P384" s="2566">
        <f>铂郡面积表!K321</f>
        <v>0</v>
      </c>
      <c r="Q384" s="21">
        <f t="shared" si="66"/>
        <v>1</v>
      </c>
      <c r="R384" s="21">
        <f t="shared" si="67"/>
        <v>0</v>
      </c>
      <c r="S384" s="307">
        <f t="shared" si="59"/>
        <v>0</v>
      </c>
    </row>
    <row r="385" spans="1:19">
      <c r="A385" s="629"/>
      <c r="B385" s="629"/>
      <c r="C385" s="21"/>
      <c r="D385" s="2566"/>
      <c r="E385" s="21">
        <f t="shared" si="60"/>
        <v>1</v>
      </c>
      <c r="F385" s="2566">
        <f>铂郡面积表!Q322</f>
        <v>0</v>
      </c>
      <c r="G385" s="21">
        <f t="shared" si="61"/>
        <v>0</v>
      </c>
      <c r="H385" s="631"/>
      <c r="I385" s="21">
        <f t="shared" si="62"/>
        <v>1</v>
      </c>
      <c r="J385" s="631"/>
      <c r="K385" s="21">
        <f t="shared" si="63"/>
        <v>1</v>
      </c>
      <c r="L385" s="631"/>
      <c r="M385" s="21">
        <f t="shared" si="64"/>
        <v>1</v>
      </c>
      <c r="N385" s="631"/>
      <c r="O385" s="21">
        <f t="shared" si="65"/>
        <v>1</v>
      </c>
      <c r="P385" s="2566">
        <f>铂郡面积表!K322</f>
        <v>0</v>
      </c>
      <c r="Q385" s="21">
        <f t="shared" si="66"/>
        <v>1</v>
      </c>
      <c r="R385" s="21">
        <f t="shared" si="67"/>
        <v>0</v>
      </c>
      <c r="S385" s="307">
        <f t="shared" ref="S385:S422" si="68">ROUND(R385*B385/10000,0)</f>
        <v>0</v>
      </c>
    </row>
    <row r="386" spans="1:19">
      <c r="A386" s="629"/>
      <c r="B386" s="629"/>
      <c r="C386" s="21"/>
      <c r="D386" s="2566"/>
      <c r="E386" s="21">
        <f t="shared" si="60"/>
        <v>1</v>
      </c>
      <c r="F386" s="2566">
        <f>铂郡面积表!Q323</f>
        <v>0</v>
      </c>
      <c r="G386" s="21">
        <f t="shared" si="61"/>
        <v>0</v>
      </c>
      <c r="H386" s="631"/>
      <c r="I386" s="21">
        <f t="shared" si="62"/>
        <v>1</v>
      </c>
      <c r="J386" s="631"/>
      <c r="K386" s="21">
        <f t="shared" si="63"/>
        <v>1</v>
      </c>
      <c r="L386" s="631"/>
      <c r="M386" s="21">
        <f t="shared" si="64"/>
        <v>1</v>
      </c>
      <c r="N386" s="631"/>
      <c r="O386" s="21">
        <f t="shared" si="65"/>
        <v>1</v>
      </c>
      <c r="P386" s="2566">
        <f>铂郡面积表!K323</f>
        <v>0</v>
      </c>
      <c r="Q386" s="21">
        <f t="shared" si="66"/>
        <v>1</v>
      </c>
      <c r="R386" s="21">
        <f t="shared" si="67"/>
        <v>0</v>
      </c>
      <c r="S386" s="307">
        <f t="shared" si="68"/>
        <v>0</v>
      </c>
    </row>
    <row r="387" spans="1:19">
      <c r="A387" s="629"/>
      <c r="B387" s="629"/>
      <c r="C387" s="21"/>
      <c r="D387" s="2566"/>
      <c r="E387" s="21">
        <f t="shared" si="60"/>
        <v>1</v>
      </c>
      <c r="F387" s="2566">
        <f>铂郡面积表!Q324</f>
        <v>0</v>
      </c>
      <c r="G387" s="21">
        <f t="shared" si="61"/>
        <v>0</v>
      </c>
      <c r="H387" s="631"/>
      <c r="I387" s="21">
        <f t="shared" si="62"/>
        <v>1</v>
      </c>
      <c r="J387" s="631"/>
      <c r="K387" s="21">
        <f t="shared" si="63"/>
        <v>1</v>
      </c>
      <c r="L387" s="631"/>
      <c r="M387" s="21">
        <f t="shared" si="64"/>
        <v>1</v>
      </c>
      <c r="N387" s="631"/>
      <c r="O387" s="21">
        <f t="shared" si="65"/>
        <v>1</v>
      </c>
      <c r="P387" s="2566">
        <f>铂郡面积表!K324</f>
        <v>0</v>
      </c>
      <c r="Q387" s="21">
        <f t="shared" si="66"/>
        <v>1</v>
      </c>
      <c r="R387" s="21">
        <f t="shared" si="67"/>
        <v>0</v>
      </c>
      <c r="S387" s="307">
        <f t="shared" si="68"/>
        <v>0</v>
      </c>
    </row>
    <row r="388" spans="1:19">
      <c r="A388" s="629"/>
      <c r="B388" s="629"/>
      <c r="C388" s="21"/>
      <c r="D388" s="2566"/>
      <c r="E388" s="21">
        <f t="shared" si="60"/>
        <v>1</v>
      </c>
      <c r="F388" s="2566">
        <f>铂郡面积表!Q325</f>
        <v>0</v>
      </c>
      <c r="G388" s="21">
        <f t="shared" si="61"/>
        <v>0</v>
      </c>
      <c r="H388" s="631"/>
      <c r="I388" s="21">
        <f t="shared" si="62"/>
        <v>1</v>
      </c>
      <c r="J388" s="631"/>
      <c r="K388" s="21">
        <f t="shared" si="63"/>
        <v>1</v>
      </c>
      <c r="L388" s="631"/>
      <c r="M388" s="21">
        <f t="shared" si="64"/>
        <v>1</v>
      </c>
      <c r="N388" s="631"/>
      <c r="O388" s="21">
        <f t="shared" si="65"/>
        <v>1</v>
      </c>
      <c r="P388" s="2566">
        <f>铂郡面积表!K325</f>
        <v>0</v>
      </c>
      <c r="Q388" s="21">
        <f t="shared" si="66"/>
        <v>1</v>
      </c>
      <c r="R388" s="21">
        <f t="shared" si="67"/>
        <v>0</v>
      </c>
      <c r="S388" s="307">
        <f t="shared" si="68"/>
        <v>0</v>
      </c>
    </row>
    <row r="389" spans="1:19">
      <c r="A389" s="629"/>
      <c r="B389" s="629"/>
      <c r="C389" s="21"/>
      <c r="D389" s="2566"/>
      <c r="E389" s="21">
        <f t="shared" si="60"/>
        <v>1</v>
      </c>
      <c r="F389" s="2566">
        <f>铂郡面积表!Q326</f>
        <v>0</v>
      </c>
      <c r="G389" s="21">
        <f t="shared" si="61"/>
        <v>0</v>
      </c>
      <c r="H389" s="631"/>
      <c r="I389" s="21">
        <f t="shared" si="62"/>
        <v>1</v>
      </c>
      <c r="J389" s="631"/>
      <c r="K389" s="21">
        <f t="shared" si="63"/>
        <v>1</v>
      </c>
      <c r="L389" s="631"/>
      <c r="M389" s="21">
        <f t="shared" si="64"/>
        <v>1</v>
      </c>
      <c r="N389" s="631"/>
      <c r="O389" s="21">
        <f t="shared" si="65"/>
        <v>1</v>
      </c>
      <c r="P389" s="2566">
        <f>铂郡面积表!K326</f>
        <v>0</v>
      </c>
      <c r="Q389" s="21">
        <f t="shared" si="66"/>
        <v>1</v>
      </c>
      <c r="R389" s="21">
        <f t="shared" si="67"/>
        <v>0</v>
      </c>
      <c r="S389" s="307">
        <f t="shared" si="68"/>
        <v>0</v>
      </c>
    </row>
    <row r="390" spans="1:19">
      <c r="A390" s="629"/>
      <c r="B390" s="629"/>
      <c r="C390" s="21"/>
      <c r="D390" s="2566"/>
      <c r="E390" s="21">
        <f t="shared" si="60"/>
        <v>1</v>
      </c>
      <c r="F390" s="2566">
        <f>铂郡面积表!Q327</f>
        <v>0</v>
      </c>
      <c r="G390" s="21">
        <f t="shared" si="61"/>
        <v>0</v>
      </c>
      <c r="H390" s="631"/>
      <c r="I390" s="21">
        <f t="shared" si="62"/>
        <v>1</v>
      </c>
      <c r="J390" s="631"/>
      <c r="K390" s="21">
        <f t="shared" si="63"/>
        <v>1</v>
      </c>
      <c r="L390" s="631"/>
      <c r="M390" s="21">
        <f t="shared" si="64"/>
        <v>1</v>
      </c>
      <c r="N390" s="631"/>
      <c r="O390" s="21">
        <f t="shared" si="65"/>
        <v>1</v>
      </c>
      <c r="P390" s="2566">
        <f>铂郡面积表!K327</f>
        <v>0</v>
      </c>
      <c r="Q390" s="21">
        <f t="shared" si="66"/>
        <v>1</v>
      </c>
      <c r="R390" s="21">
        <f t="shared" si="67"/>
        <v>0</v>
      </c>
      <c r="S390" s="307">
        <f t="shared" si="68"/>
        <v>0</v>
      </c>
    </row>
    <row r="391" spans="1:19">
      <c r="A391" s="629"/>
      <c r="B391" s="629"/>
      <c r="C391" s="21"/>
      <c r="D391" s="2566"/>
      <c r="E391" s="21">
        <f t="shared" si="60"/>
        <v>1</v>
      </c>
      <c r="F391" s="2566">
        <f>铂郡面积表!Q328</f>
        <v>0</v>
      </c>
      <c r="G391" s="21">
        <f t="shared" si="61"/>
        <v>0</v>
      </c>
      <c r="H391" s="631"/>
      <c r="I391" s="21">
        <f t="shared" si="62"/>
        <v>1</v>
      </c>
      <c r="J391" s="631"/>
      <c r="K391" s="21">
        <f t="shared" si="63"/>
        <v>1</v>
      </c>
      <c r="L391" s="631"/>
      <c r="M391" s="21">
        <f t="shared" si="64"/>
        <v>1</v>
      </c>
      <c r="N391" s="631"/>
      <c r="O391" s="21">
        <f t="shared" si="65"/>
        <v>1</v>
      </c>
      <c r="P391" s="2566">
        <f>铂郡面积表!K328</f>
        <v>0</v>
      </c>
      <c r="Q391" s="21">
        <f t="shared" si="66"/>
        <v>1</v>
      </c>
      <c r="R391" s="21">
        <f t="shared" si="67"/>
        <v>0</v>
      </c>
      <c r="S391" s="307">
        <f t="shared" si="68"/>
        <v>0</v>
      </c>
    </row>
    <row r="392" spans="1:19">
      <c r="A392" s="629"/>
      <c r="B392" s="629"/>
      <c r="C392" s="21"/>
      <c r="D392" s="2566"/>
      <c r="E392" s="21">
        <f t="shared" si="60"/>
        <v>1</v>
      </c>
      <c r="F392" s="2566">
        <f>铂郡面积表!Q329</f>
        <v>0</v>
      </c>
      <c r="G392" s="21">
        <f t="shared" si="61"/>
        <v>0</v>
      </c>
      <c r="H392" s="631"/>
      <c r="I392" s="21">
        <f t="shared" si="62"/>
        <v>1</v>
      </c>
      <c r="J392" s="631"/>
      <c r="K392" s="21">
        <f t="shared" si="63"/>
        <v>1</v>
      </c>
      <c r="L392" s="631"/>
      <c r="M392" s="21">
        <f t="shared" si="64"/>
        <v>1</v>
      </c>
      <c r="N392" s="631"/>
      <c r="O392" s="21">
        <f t="shared" si="65"/>
        <v>1</v>
      </c>
      <c r="P392" s="2566">
        <f>铂郡面积表!K329</f>
        <v>0</v>
      </c>
      <c r="Q392" s="21">
        <f t="shared" si="66"/>
        <v>1</v>
      </c>
      <c r="R392" s="21">
        <f t="shared" si="67"/>
        <v>0</v>
      </c>
      <c r="S392" s="307">
        <f t="shared" si="68"/>
        <v>0</v>
      </c>
    </row>
    <row r="393" spans="1:19">
      <c r="A393" s="629"/>
      <c r="B393" s="629"/>
      <c r="C393" s="21"/>
      <c r="D393" s="2566"/>
      <c r="E393" s="21">
        <f t="shared" si="60"/>
        <v>1</v>
      </c>
      <c r="F393" s="2566">
        <f>铂郡面积表!Q330</f>
        <v>0</v>
      </c>
      <c r="G393" s="21">
        <f t="shared" si="61"/>
        <v>0</v>
      </c>
      <c r="H393" s="631"/>
      <c r="I393" s="21">
        <f t="shared" si="62"/>
        <v>1</v>
      </c>
      <c r="J393" s="631"/>
      <c r="K393" s="21">
        <f t="shared" si="63"/>
        <v>1</v>
      </c>
      <c r="L393" s="631"/>
      <c r="M393" s="21">
        <f t="shared" si="64"/>
        <v>1</v>
      </c>
      <c r="N393" s="631"/>
      <c r="O393" s="21">
        <f t="shared" si="65"/>
        <v>1</v>
      </c>
      <c r="P393" s="2566">
        <f>铂郡面积表!K330</f>
        <v>0</v>
      </c>
      <c r="Q393" s="21">
        <f t="shared" si="66"/>
        <v>1</v>
      </c>
      <c r="R393" s="21">
        <f t="shared" si="67"/>
        <v>0</v>
      </c>
      <c r="S393" s="307">
        <f t="shared" si="68"/>
        <v>0</v>
      </c>
    </row>
    <row r="394" spans="1:19">
      <c r="A394" s="629"/>
      <c r="B394" s="629"/>
      <c r="C394" s="21"/>
      <c r="D394" s="2566"/>
      <c r="E394" s="21">
        <f t="shared" si="60"/>
        <v>1</v>
      </c>
      <c r="F394" s="2566">
        <f>铂郡面积表!Q331</f>
        <v>0</v>
      </c>
      <c r="G394" s="21">
        <f t="shared" si="61"/>
        <v>0</v>
      </c>
      <c r="H394" s="631"/>
      <c r="I394" s="21">
        <f t="shared" si="62"/>
        <v>1</v>
      </c>
      <c r="J394" s="631"/>
      <c r="K394" s="21">
        <f t="shared" si="63"/>
        <v>1</v>
      </c>
      <c r="L394" s="631"/>
      <c r="M394" s="21">
        <f t="shared" si="64"/>
        <v>1</v>
      </c>
      <c r="N394" s="631"/>
      <c r="O394" s="21">
        <f t="shared" si="65"/>
        <v>1</v>
      </c>
      <c r="P394" s="2566">
        <f>铂郡面积表!K331</f>
        <v>0</v>
      </c>
      <c r="Q394" s="21">
        <f t="shared" si="66"/>
        <v>1</v>
      </c>
      <c r="R394" s="21">
        <f t="shared" si="67"/>
        <v>0</v>
      </c>
      <c r="S394" s="307">
        <f t="shared" si="68"/>
        <v>0</v>
      </c>
    </row>
    <row r="395" spans="1:19">
      <c r="A395" s="629"/>
      <c r="B395" s="629"/>
      <c r="C395" s="21"/>
      <c r="D395" s="2566"/>
      <c r="E395" s="21">
        <f t="shared" si="60"/>
        <v>1</v>
      </c>
      <c r="F395" s="2566">
        <f>铂郡面积表!Q332</f>
        <v>0</v>
      </c>
      <c r="G395" s="21">
        <f t="shared" si="61"/>
        <v>0</v>
      </c>
      <c r="H395" s="631"/>
      <c r="I395" s="21">
        <f t="shared" si="62"/>
        <v>1</v>
      </c>
      <c r="J395" s="631"/>
      <c r="K395" s="21">
        <f t="shared" si="63"/>
        <v>1</v>
      </c>
      <c r="L395" s="631"/>
      <c r="M395" s="21">
        <f t="shared" si="64"/>
        <v>1</v>
      </c>
      <c r="N395" s="631"/>
      <c r="O395" s="21">
        <f t="shared" si="65"/>
        <v>1</v>
      </c>
      <c r="P395" s="2566">
        <f>铂郡面积表!K332</f>
        <v>0</v>
      </c>
      <c r="Q395" s="21">
        <f t="shared" si="66"/>
        <v>1</v>
      </c>
      <c r="R395" s="21">
        <f t="shared" si="67"/>
        <v>0</v>
      </c>
      <c r="S395" s="307">
        <f t="shared" si="68"/>
        <v>0</v>
      </c>
    </row>
    <row r="396" spans="1:19">
      <c r="A396" s="629"/>
      <c r="B396" s="629"/>
      <c r="C396" s="21"/>
      <c r="D396" s="2566"/>
      <c r="E396" s="21">
        <f t="shared" si="60"/>
        <v>1</v>
      </c>
      <c r="F396" s="2566">
        <f>铂郡面积表!Q333</f>
        <v>0</v>
      </c>
      <c r="G396" s="21">
        <f t="shared" si="61"/>
        <v>0</v>
      </c>
      <c r="H396" s="631"/>
      <c r="I396" s="21">
        <f t="shared" si="62"/>
        <v>1</v>
      </c>
      <c r="J396" s="631"/>
      <c r="K396" s="21">
        <f t="shared" si="63"/>
        <v>1</v>
      </c>
      <c r="L396" s="631"/>
      <c r="M396" s="21">
        <f t="shared" si="64"/>
        <v>1</v>
      </c>
      <c r="N396" s="631"/>
      <c r="O396" s="21">
        <f t="shared" si="65"/>
        <v>1</v>
      </c>
      <c r="P396" s="2566">
        <f>铂郡面积表!K333</f>
        <v>0</v>
      </c>
      <c r="Q396" s="21">
        <f t="shared" si="66"/>
        <v>1</v>
      </c>
      <c r="R396" s="21">
        <f t="shared" si="67"/>
        <v>0</v>
      </c>
      <c r="S396" s="307">
        <f t="shared" si="68"/>
        <v>0</v>
      </c>
    </row>
    <row r="397" spans="1:19">
      <c r="A397" s="629"/>
      <c r="B397" s="629"/>
      <c r="C397" s="21"/>
      <c r="D397" s="2566"/>
      <c r="E397" s="21">
        <f t="shared" si="60"/>
        <v>1</v>
      </c>
      <c r="F397" s="2566">
        <f>铂郡面积表!Q334</f>
        <v>0</v>
      </c>
      <c r="G397" s="21">
        <f t="shared" si="61"/>
        <v>0</v>
      </c>
      <c r="H397" s="631"/>
      <c r="I397" s="21">
        <f t="shared" si="62"/>
        <v>1</v>
      </c>
      <c r="J397" s="631"/>
      <c r="K397" s="21">
        <f t="shared" si="63"/>
        <v>1</v>
      </c>
      <c r="L397" s="631"/>
      <c r="M397" s="21">
        <f t="shared" si="64"/>
        <v>1</v>
      </c>
      <c r="N397" s="631"/>
      <c r="O397" s="21">
        <f t="shared" si="65"/>
        <v>1</v>
      </c>
      <c r="P397" s="2566">
        <f>铂郡面积表!K334</f>
        <v>0</v>
      </c>
      <c r="Q397" s="21">
        <f t="shared" si="66"/>
        <v>1</v>
      </c>
      <c r="R397" s="21">
        <f t="shared" si="67"/>
        <v>0</v>
      </c>
      <c r="S397" s="307">
        <f t="shared" si="68"/>
        <v>0</v>
      </c>
    </row>
    <row r="398" spans="1:19">
      <c r="A398" s="629"/>
      <c r="B398" s="629"/>
      <c r="C398" s="21"/>
      <c r="D398" s="2566"/>
      <c r="E398" s="21">
        <f t="shared" si="60"/>
        <v>1</v>
      </c>
      <c r="F398" s="2566">
        <f>铂郡面积表!Q335</f>
        <v>0</v>
      </c>
      <c r="G398" s="21">
        <f t="shared" si="61"/>
        <v>0</v>
      </c>
      <c r="H398" s="631"/>
      <c r="I398" s="21">
        <f t="shared" si="62"/>
        <v>1</v>
      </c>
      <c r="J398" s="631"/>
      <c r="K398" s="21">
        <f t="shared" si="63"/>
        <v>1</v>
      </c>
      <c r="L398" s="631"/>
      <c r="M398" s="21">
        <f t="shared" si="64"/>
        <v>1</v>
      </c>
      <c r="N398" s="631"/>
      <c r="O398" s="21">
        <f t="shared" si="65"/>
        <v>1</v>
      </c>
      <c r="P398" s="2566">
        <f>铂郡面积表!K335</f>
        <v>0</v>
      </c>
      <c r="Q398" s="21">
        <f t="shared" si="66"/>
        <v>1</v>
      </c>
      <c r="R398" s="21">
        <f t="shared" si="67"/>
        <v>0</v>
      </c>
      <c r="S398" s="307">
        <f t="shared" si="68"/>
        <v>0</v>
      </c>
    </row>
    <row r="399" spans="1:19">
      <c r="A399" s="629"/>
      <c r="B399" s="629"/>
      <c r="C399" s="21"/>
      <c r="D399" s="2566"/>
      <c r="E399" s="21">
        <f t="shared" si="60"/>
        <v>1</v>
      </c>
      <c r="F399" s="2566">
        <f>铂郡面积表!Q336</f>
        <v>0</v>
      </c>
      <c r="G399" s="21">
        <f t="shared" si="61"/>
        <v>0</v>
      </c>
      <c r="H399" s="631"/>
      <c r="I399" s="21">
        <f t="shared" si="62"/>
        <v>1</v>
      </c>
      <c r="J399" s="631"/>
      <c r="K399" s="21">
        <f t="shared" si="63"/>
        <v>1</v>
      </c>
      <c r="L399" s="631"/>
      <c r="M399" s="21">
        <f t="shared" si="64"/>
        <v>1</v>
      </c>
      <c r="N399" s="631"/>
      <c r="O399" s="21">
        <f t="shared" si="65"/>
        <v>1</v>
      </c>
      <c r="P399" s="2566">
        <f>铂郡面积表!K336</f>
        <v>0</v>
      </c>
      <c r="Q399" s="21">
        <f t="shared" si="66"/>
        <v>1</v>
      </c>
      <c r="R399" s="21">
        <f t="shared" si="67"/>
        <v>0</v>
      </c>
      <c r="S399" s="307">
        <f t="shared" si="68"/>
        <v>0</v>
      </c>
    </row>
    <row r="400" spans="1:19">
      <c r="A400" s="629"/>
      <c r="B400" s="629"/>
      <c r="C400" s="21"/>
      <c r="D400" s="2566"/>
      <c r="E400" s="21">
        <f t="shared" si="60"/>
        <v>1</v>
      </c>
      <c r="F400" s="2566">
        <f>铂郡面积表!Q337</f>
        <v>0</v>
      </c>
      <c r="G400" s="21">
        <f t="shared" si="61"/>
        <v>0</v>
      </c>
      <c r="H400" s="631"/>
      <c r="I400" s="21">
        <f t="shared" si="62"/>
        <v>1</v>
      </c>
      <c r="J400" s="631"/>
      <c r="K400" s="21">
        <f t="shared" si="63"/>
        <v>1</v>
      </c>
      <c r="L400" s="631"/>
      <c r="M400" s="21">
        <f t="shared" si="64"/>
        <v>1</v>
      </c>
      <c r="N400" s="631"/>
      <c r="O400" s="21">
        <f t="shared" si="65"/>
        <v>1</v>
      </c>
      <c r="P400" s="2566">
        <f>铂郡面积表!K337</f>
        <v>0</v>
      </c>
      <c r="Q400" s="21">
        <f t="shared" si="66"/>
        <v>1</v>
      </c>
      <c r="R400" s="21">
        <f t="shared" si="67"/>
        <v>0</v>
      </c>
      <c r="S400" s="307">
        <f t="shared" si="68"/>
        <v>0</v>
      </c>
    </row>
    <row r="401" spans="1:19">
      <c r="A401" s="629"/>
      <c r="B401" s="629"/>
      <c r="C401" s="21"/>
      <c r="D401" s="2566"/>
      <c r="E401" s="21">
        <f t="shared" si="60"/>
        <v>1</v>
      </c>
      <c r="F401" s="2566">
        <f>铂郡面积表!Q338</f>
        <v>0</v>
      </c>
      <c r="G401" s="21">
        <f t="shared" si="61"/>
        <v>0</v>
      </c>
      <c r="H401" s="631"/>
      <c r="I401" s="21">
        <f t="shared" si="62"/>
        <v>1</v>
      </c>
      <c r="J401" s="631"/>
      <c r="K401" s="21">
        <f t="shared" si="63"/>
        <v>1</v>
      </c>
      <c r="L401" s="631"/>
      <c r="M401" s="21">
        <f t="shared" si="64"/>
        <v>1</v>
      </c>
      <c r="N401" s="631"/>
      <c r="O401" s="21">
        <f t="shared" si="65"/>
        <v>1</v>
      </c>
      <c r="P401" s="2566">
        <f>铂郡面积表!K338</f>
        <v>0</v>
      </c>
      <c r="Q401" s="21">
        <f t="shared" si="66"/>
        <v>1</v>
      </c>
      <c r="R401" s="21">
        <f t="shared" si="67"/>
        <v>0</v>
      </c>
      <c r="S401" s="307">
        <f t="shared" si="68"/>
        <v>0</v>
      </c>
    </row>
    <row r="402" spans="1:19">
      <c r="A402" s="629"/>
      <c r="B402" s="629"/>
      <c r="C402" s="21"/>
      <c r="D402" s="2566"/>
      <c r="E402" s="21">
        <f t="shared" si="60"/>
        <v>1</v>
      </c>
      <c r="F402" s="2566">
        <f>铂郡面积表!Q339</f>
        <v>0</v>
      </c>
      <c r="G402" s="21">
        <f t="shared" si="61"/>
        <v>0</v>
      </c>
      <c r="H402" s="631"/>
      <c r="I402" s="21">
        <f t="shared" si="62"/>
        <v>1</v>
      </c>
      <c r="J402" s="631"/>
      <c r="K402" s="21">
        <f t="shared" si="63"/>
        <v>1</v>
      </c>
      <c r="L402" s="631"/>
      <c r="M402" s="21">
        <f t="shared" si="64"/>
        <v>1</v>
      </c>
      <c r="N402" s="631"/>
      <c r="O402" s="21">
        <f t="shared" si="65"/>
        <v>1</v>
      </c>
      <c r="P402" s="2566">
        <f>铂郡面积表!K339</f>
        <v>0</v>
      </c>
      <c r="Q402" s="21">
        <f t="shared" si="66"/>
        <v>1</v>
      </c>
      <c r="R402" s="21">
        <f t="shared" si="67"/>
        <v>0</v>
      </c>
      <c r="S402" s="307">
        <f t="shared" si="68"/>
        <v>0</v>
      </c>
    </row>
    <row r="403" spans="1:19">
      <c r="A403" s="629"/>
      <c r="B403" s="629"/>
      <c r="C403" s="21"/>
      <c r="D403" s="2566"/>
      <c r="E403" s="21">
        <f t="shared" si="60"/>
        <v>1</v>
      </c>
      <c r="F403" s="2566">
        <f>铂郡面积表!Q340</f>
        <v>0</v>
      </c>
      <c r="G403" s="21">
        <f t="shared" si="61"/>
        <v>0</v>
      </c>
      <c r="H403" s="631"/>
      <c r="I403" s="21">
        <f t="shared" si="62"/>
        <v>1</v>
      </c>
      <c r="J403" s="631"/>
      <c r="K403" s="21">
        <f t="shared" si="63"/>
        <v>1</v>
      </c>
      <c r="L403" s="631"/>
      <c r="M403" s="21">
        <f t="shared" si="64"/>
        <v>1</v>
      </c>
      <c r="N403" s="631"/>
      <c r="O403" s="21">
        <f t="shared" si="65"/>
        <v>1</v>
      </c>
      <c r="P403" s="2566">
        <f>铂郡面积表!K340</f>
        <v>0</v>
      </c>
      <c r="Q403" s="21">
        <f t="shared" si="66"/>
        <v>1</v>
      </c>
      <c r="R403" s="21">
        <f t="shared" si="67"/>
        <v>0</v>
      </c>
      <c r="S403" s="307">
        <f t="shared" si="68"/>
        <v>0</v>
      </c>
    </row>
    <row r="404" spans="1:19">
      <c r="A404" s="629"/>
      <c r="B404" s="629"/>
      <c r="C404" s="21"/>
      <c r="D404" s="2566"/>
      <c r="E404" s="21">
        <f t="shared" si="60"/>
        <v>1</v>
      </c>
      <c r="F404" s="2566">
        <f>铂郡面积表!Q341</f>
        <v>0</v>
      </c>
      <c r="G404" s="21">
        <f t="shared" si="61"/>
        <v>0</v>
      </c>
      <c r="H404" s="631"/>
      <c r="I404" s="21">
        <f t="shared" si="62"/>
        <v>1</v>
      </c>
      <c r="J404" s="631"/>
      <c r="K404" s="21">
        <f t="shared" si="63"/>
        <v>1</v>
      </c>
      <c r="L404" s="631"/>
      <c r="M404" s="21">
        <f t="shared" si="64"/>
        <v>1</v>
      </c>
      <c r="N404" s="631"/>
      <c r="O404" s="21">
        <f t="shared" si="65"/>
        <v>1</v>
      </c>
      <c r="P404" s="2566">
        <f>铂郡面积表!K341</f>
        <v>0</v>
      </c>
      <c r="Q404" s="21">
        <f t="shared" si="66"/>
        <v>1</v>
      </c>
      <c r="R404" s="21">
        <f t="shared" si="67"/>
        <v>0</v>
      </c>
      <c r="S404" s="307">
        <f t="shared" si="68"/>
        <v>0</v>
      </c>
    </row>
    <row r="405" spans="1:19">
      <c r="A405" s="629"/>
      <c r="B405" s="629"/>
      <c r="C405" s="21"/>
      <c r="D405" s="2566"/>
      <c r="E405" s="21">
        <f t="shared" si="60"/>
        <v>1</v>
      </c>
      <c r="F405" s="2566">
        <f>铂郡面积表!Q342</f>
        <v>0</v>
      </c>
      <c r="G405" s="21">
        <f t="shared" si="61"/>
        <v>0</v>
      </c>
      <c r="H405" s="631"/>
      <c r="I405" s="21">
        <f t="shared" si="62"/>
        <v>1</v>
      </c>
      <c r="J405" s="631"/>
      <c r="K405" s="21">
        <f t="shared" si="63"/>
        <v>1</v>
      </c>
      <c r="L405" s="631"/>
      <c r="M405" s="21">
        <f t="shared" si="64"/>
        <v>1</v>
      </c>
      <c r="N405" s="631"/>
      <c r="O405" s="21">
        <f t="shared" si="65"/>
        <v>1</v>
      </c>
      <c r="P405" s="2566">
        <f>铂郡面积表!K342</f>
        <v>0</v>
      </c>
      <c r="Q405" s="21">
        <f t="shared" si="66"/>
        <v>1</v>
      </c>
      <c r="R405" s="21">
        <f t="shared" si="67"/>
        <v>0</v>
      </c>
      <c r="S405" s="307">
        <f t="shared" si="68"/>
        <v>0</v>
      </c>
    </row>
    <row r="406" spans="1:19">
      <c r="A406" s="629"/>
      <c r="B406" s="629"/>
      <c r="C406" s="21"/>
      <c r="D406" s="2566"/>
      <c r="E406" s="21">
        <f t="shared" si="60"/>
        <v>1</v>
      </c>
      <c r="F406" s="2566">
        <f>铂郡面积表!Q343</f>
        <v>0</v>
      </c>
      <c r="G406" s="21">
        <f t="shared" si="61"/>
        <v>0</v>
      </c>
      <c r="H406" s="631"/>
      <c r="I406" s="21">
        <f t="shared" si="62"/>
        <v>1</v>
      </c>
      <c r="J406" s="631"/>
      <c r="K406" s="21">
        <f t="shared" si="63"/>
        <v>1</v>
      </c>
      <c r="L406" s="631"/>
      <c r="M406" s="21">
        <f t="shared" si="64"/>
        <v>1</v>
      </c>
      <c r="N406" s="631"/>
      <c r="O406" s="21">
        <f t="shared" si="65"/>
        <v>1</v>
      </c>
      <c r="P406" s="2566">
        <f>铂郡面积表!K343</f>
        <v>0</v>
      </c>
      <c r="Q406" s="21">
        <f t="shared" si="66"/>
        <v>1</v>
      </c>
      <c r="R406" s="21">
        <f t="shared" si="67"/>
        <v>0</v>
      </c>
      <c r="S406" s="307">
        <f t="shared" si="68"/>
        <v>0</v>
      </c>
    </row>
    <row r="407" spans="1:19">
      <c r="A407" s="629"/>
      <c r="B407" s="629"/>
      <c r="C407" s="21"/>
      <c r="D407" s="2566"/>
      <c r="E407" s="21">
        <f t="shared" si="60"/>
        <v>1</v>
      </c>
      <c r="F407" s="2566">
        <f>铂郡面积表!Q344</f>
        <v>0</v>
      </c>
      <c r="G407" s="21">
        <f t="shared" si="61"/>
        <v>0</v>
      </c>
      <c r="H407" s="631"/>
      <c r="I407" s="21">
        <f t="shared" si="62"/>
        <v>1</v>
      </c>
      <c r="J407" s="631"/>
      <c r="K407" s="21">
        <f t="shared" si="63"/>
        <v>1</v>
      </c>
      <c r="L407" s="631"/>
      <c r="M407" s="21">
        <f t="shared" si="64"/>
        <v>1</v>
      </c>
      <c r="N407" s="631"/>
      <c r="O407" s="21">
        <f t="shared" si="65"/>
        <v>1</v>
      </c>
      <c r="P407" s="2566">
        <f>铂郡面积表!K344</f>
        <v>0</v>
      </c>
      <c r="Q407" s="21">
        <f t="shared" si="66"/>
        <v>1</v>
      </c>
      <c r="R407" s="21">
        <f t="shared" si="67"/>
        <v>0</v>
      </c>
      <c r="S407" s="307">
        <f t="shared" si="68"/>
        <v>0</v>
      </c>
    </row>
    <row r="408" spans="1:19">
      <c r="A408" s="629"/>
      <c r="B408" s="629"/>
      <c r="C408" s="21"/>
      <c r="D408" s="2566"/>
      <c r="E408" s="21">
        <f t="shared" si="60"/>
        <v>1</v>
      </c>
      <c r="F408" s="2566">
        <f>铂郡面积表!Q345</f>
        <v>0</v>
      </c>
      <c r="G408" s="21">
        <f t="shared" si="61"/>
        <v>0</v>
      </c>
      <c r="H408" s="631"/>
      <c r="I408" s="21">
        <f t="shared" si="62"/>
        <v>1</v>
      </c>
      <c r="J408" s="631"/>
      <c r="K408" s="21">
        <f t="shared" si="63"/>
        <v>1</v>
      </c>
      <c r="L408" s="631"/>
      <c r="M408" s="21">
        <f t="shared" si="64"/>
        <v>1</v>
      </c>
      <c r="N408" s="631"/>
      <c r="O408" s="21">
        <f t="shared" si="65"/>
        <v>1</v>
      </c>
      <c r="P408" s="2566">
        <f>铂郡面积表!K345</f>
        <v>0</v>
      </c>
      <c r="Q408" s="21">
        <f t="shared" si="66"/>
        <v>1</v>
      </c>
      <c r="R408" s="21">
        <f t="shared" si="67"/>
        <v>0</v>
      </c>
      <c r="S408" s="307">
        <f t="shared" si="68"/>
        <v>0</v>
      </c>
    </row>
    <row r="409" spans="1:19">
      <c r="A409" s="629"/>
      <c r="B409" s="629"/>
      <c r="C409" s="21"/>
      <c r="D409" s="2566"/>
      <c r="E409" s="21">
        <f t="shared" si="60"/>
        <v>1</v>
      </c>
      <c r="F409" s="2566">
        <f>铂郡面积表!Q346</f>
        <v>0</v>
      </c>
      <c r="G409" s="21">
        <f t="shared" si="61"/>
        <v>0</v>
      </c>
      <c r="H409" s="631"/>
      <c r="I409" s="21">
        <f t="shared" si="62"/>
        <v>1</v>
      </c>
      <c r="J409" s="631"/>
      <c r="K409" s="21">
        <f t="shared" si="63"/>
        <v>1</v>
      </c>
      <c r="L409" s="631"/>
      <c r="M409" s="21">
        <f t="shared" si="64"/>
        <v>1</v>
      </c>
      <c r="N409" s="631"/>
      <c r="O409" s="21">
        <f t="shared" si="65"/>
        <v>1</v>
      </c>
      <c r="P409" s="2566">
        <f>铂郡面积表!K346</f>
        <v>0</v>
      </c>
      <c r="Q409" s="21">
        <f t="shared" si="66"/>
        <v>1</v>
      </c>
      <c r="R409" s="21">
        <f t="shared" si="67"/>
        <v>0</v>
      </c>
      <c r="S409" s="307">
        <f t="shared" si="68"/>
        <v>0</v>
      </c>
    </row>
    <row r="410" spans="1:19">
      <c r="A410" s="629"/>
      <c r="B410" s="629"/>
      <c r="C410" s="21"/>
      <c r="D410" s="2566"/>
      <c r="E410" s="21">
        <f t="shared" ref="E410:E473" si="69">(SUMIF($5:$5,D410,$6:$6)-SUMIF($5:$5,$D$24,$6:$6)+100)/100</f>
        <v>1</v>
      </c>
      <c r="F410" s="2566">
        <f>铂郡面积表!Q347</f>
        <v>0</v>
      </c>
      <c r="G410" s="21">
        <f t="shared" ref="G410:G473" si="70">(SUMIF($7:$7,F410,$8:$8)-SUMIF($7:$7,$F$24,$8:$8)+100)/100</f>
        <v>0</v>
      </c>
      <c r="H410" s="631"/>
      <c r="I410" s="21">
        <f t="shared" ref="I410:I473" si="71">(SUMIF($9:$9,H410,$10:$10)-SUMIF($9:$9,$H$24,$10:$10)+100)/100</f>
        <v>1</v>
      </c>
      <c r="J410" s="631"/>
      <c r="K410" s="21">
        <f t="shared" ref="K410:K473" si="72">(SUMIF($11:$11,J410,$12:$12)-SUMIF($11:$11,$J$24,$12:$12)+100)/100</f>
        <v>1</v>
      </c>
      <c r="L410" s="631"/>
      <c r="M410" s="21">
        <f t="shared" ref="M410:M473" si="73">(SUMIF($13:$13,L410,$14:$14)-SUMIF($13:$13,$L$24,$14:$14)+100)/100</f>
        <v>1</v>
      </c>
      <c r="N410" s="631"/>
      <c r="O410" s="21">
        <f t="shared" ref="O410:O473" si="74">(SUMIF($15:$15,N410,$16:$16)-SUMIF($15:$15,$N$24,$16:$16)+100)/100</f>
        <v>1</v>
      </c>
      <c r="P410" s="2566">
        <f>铂郡面积表!K347</f>
        <v>0</v>
      </c>
      <c r="Q410" s="21">
        <f t="shared" ref="Q410:Q473" si="75">(SUMIF($17:$17,P410,$18:$18)-SUMIF($17:$17,$P$24,$18:$18)+100)/100</f>
        <v>1</v>
      </c>
      <c r="R410" s="21">
        <f t="shared" ref="R410:R473" si="76">IF(B410="",0,ROUND($R$24*C410*E410*G410*I410*K410*M410*O410*Q410,1))</f>
        <v>0</v>
      </c>
      <c r="S410" s="307">
        <f t="shared" si="68"/>
        <v>0</v>
      </c>
    </row>
    <row r="411" spans="1:19">
      <c r="A411" s="629"/>
      <c r="B411" s="629"/>
      <c r="C411" s="21"/>
      <c r="D411" s="2566"/>
      <c r="E411" s="21">
        <f t="shared" si="69"/>
        <v>1</v>
      </c>
      <c r="F411" s="2566">
        <f>铂郡面积表!Q348</f>
        <v>0</v>
      </c>
      <c r="G411" s="21">
        <f t="shared" si="70"/>
        <v>0</v>
      </c>
      <c r="H411" s="631"/>
      <c r="I411" s="21">
        <f t="shared" si="71"/>
        <v>1</v>
      </c>
      <c r="J411" s="631"/>
      <c r="K411" s="21">
        <f t="shared" si="72"/>
        <v>1</v>
      </c>
      <c r="L411" s="631"/>
      <c r="M411" s="21">
        <f t="shared" si="73"/>
        <v>1</v>
      </c>
      <c r="N411" s="631"/>
      <c r="O411" s="21">
        <f t="shared" si="74"/>
        <v>1</v>
      </c>
      <c r="P411" s="2566">
        <f>铂郡面积表!K348</f>
        <v>0</v>
      </c>
      <c r="Q411" s="21">
        <f t="shared" si="75"/>
        <v>1</v>
      </c>
      <c r="R411" s="21">
        <f t="shared" si="76"/>
        <v>0</v>
      </c>
      <c r="S411" s="307">
        <f t="shared" si="68"/>
        <v>0</v>
      </c>
    </row>
    <row r="412" spans="1:19">
      <c r="A412" s="629"/>
      <c r="B412" s="629"/>
      <c r="C412" s="21"/>
      <c r="D412" s="2566"/>
      <c r="E412" s="21">
        <f t="shared" si="69"/>
        <v>1</v>
      </c>
      <c r="F412" s="2566">
        <f>铂郡面积表!Q349</f>
        <v>0</v>
      </c>
      <c r="G412" s="21">
        <f t="shared" si="70"/>
        <v>0</v>
      </c>
      <c r="H412" s="631"/>
      <c r="I412" s="21">
        <f t="shared" si="71"/>
        <v>1</v>
      </c>
      <c r="J412" s="631"/>
      <c r="K412" s="21">
        <f t="shared" si="72"/>
        <v>1</v>
      </c>
      <c r="L412" s="631"/>
      <c r="M412" s="21">
        <f t="shared" si="73"/>
        <v>1</v>
      </c>
      <c r="N412" s="631"/>
      <c r="O412" s="21">
        <f t="shared" si="74"/>
        <v>1</v>
      </c>
      <c r="P412" s="2566">
        <f>铂郡面积表!K349</f>
        <v>0</v>
      </c>
      <c r="Q412" s="21">
        <f t="shared" si="75"/>
        <v>1</v>
      </c>
      <c r="R412" s="21">
        <f t="shared" si="76"/>
        <v>0</v>
      </c>
      <c r="S412" s="307">
        <f t="shared" si="68"/>
        <v>0</v>
      </c>
    </row>
    <row r="413" spans="1:19">
      <c r="A413" s="629"/>
      <c r="B413" s="629"/>
      <c r="C413" s="21"/>
      <c r="D413" s="2566"/>
      <c r="E413" s="21">
        <f t="shared" si="69"/>
        <v>1</v>
      </c>
      <c r="F413" s="2566">
        <f>铂郡面积表!Q350</f>
        <v>0</v>
      </c>
      <c r="G413" s="21">
        <f t="shared" si="70"/>
        <v>0</v>
      </c>
      <c r="H413" s="631"/>
      <c r="I413" s="21">
        <f t="shared" si="71"/>
        <v>1</v>
      </c>
      <c r="J413" s="631"/>
      <c r="K413" s="21">
        <f t="shared" si="72"/>
        <v>1</v>
      </c>
      <c r="L413" s="631"/>
      <c r="M413" s="21">
        <f t="shared" si="73"/>
        <v>1</v>
      </c>
      <c r="N413" s="631"/>
      <c r="O413" s="21">
        <f t="shared" si="74"/>
        <v>1</v>
      </c>
      <c r="P413" s="2566">
        <f>铂郡面积表!K350</f>
        <v>0</v>
      </c>
      <c r="Q413" s="21">
        <f t="shared" si="75"/>
        <v>1</v>
      </c>
      <c r="R413" s="21">
        <f t="shared" si="76"/>
        <v>0</v>
      </c>
      <c r="S413" s="307">
        <f t="shared" si="68"/>
        <v>0</v>
      </c>
    </row>
    <row r="414" spans="1:19">
      <c r="A414" s="629"/>
      <c r="B414" s="629"/>
      <c r="C414" s="21"/>
      <c r="D414" s="2566"/>
      <c r="E414" s="21">
        <f t="shared" si="69"/>
        <v>1</v>
      </c>
      <c r="F414" s="2566">
        <f>铂郡面积表!Q351</f>
        <v>0</v>
      </c>
      <c r="G414" s="21">
        <f t="shared" si="70"/>
        <v>0</v>
      </c>
      <c r="H414" s="631"/>
      <c r="I414" s="21">
        <f t="shared" si="71"/>
        <v>1</v>
      </c>
      <c r="J414" s="631"/>
      <c r="K414" s="21">
        <f t="shared" si="72"/>
        <v>1</v>
      </c>
      <c r="L414" s="631"/>
      <c r="M414" s="21">
        <f t="shared" si="73"/>
        <v>1</v>
      </c>
      <c r="N414" s="631"/>
      <c r="O414" s="21">
        <f t="shared" si="74"/>
        <v>1</v>
      </c>
      <c r="P414" s="2566">
        <f>铂郡面积表!K351</f>
        <v>0</v>
      </c>
      <c r="Q414" s="21">
        <f t="shared" si="75"/>
        <v>1</v>
      </c>
      <c r="R414" s="21">
        <f t="shared" si="76"/>
        <v>0</v>
      </c>
      <c r="S414" s="307">
        <f t="shared" si="68"/>
        <v>0</v>
      </c>
    </row>
    <row r="415" spans="1:19">
      <c r="A415" s="629"/>
      <c r="B415" s="629"/>
      <c r="C415" s="21"/>
      <c r="D415" s="2566"/>
      <c r="E415" s="21">
        <f t="shared" si="69"/>
        <v>1</v>
      </c>
      <c r="F415" s="2566">
        <f>铂郡面积表!Q352</f>
        <v>0</v>
      </c>
      <c r="G415" s="21">
        <f t="shared" si="70"/>
        <v>0</v>
      </c>
      <c r="H415" s="631"/>
      <c r="I415" s="21">
        <f t="shared" si="71"/>
        <v>1</v>
      </c>
      <c r="J415" s="631"/>
      <c r="K415" s="21">
        <f t="shared" si="72"/>
        <v>1</v>
      </c>
      <c r="L415" s="631"/>
      <c r="M415" s="21">
        <f t="shared" si="73"/>
        <v>1</v>
      </c>
      <c r="N415" s="631"/>
      <c r="O415" s="21">
        <f t="shared" si="74"/>
        <v>1</v>
      </c>
      <c r="P415" s="2566">
        <f>铂郡面积表!K352</f>
        <v>0</v>
      </c>
      <c r="Q415" s="21">
        <f t="shared" si="75"/>
        <v>1</v>
      </c>
      <c r="R415" s="21">
        <f t="shared" si="76"/>
        <v>0</v>
      </c>
      <c r="S415" s="307">
        <f t="shared" si="68"/>
        <v>0</v>
      </c>
    </row>
    <row r="416" spans="1:19">
      <c r="A416" s="629"/>
      <c r="B416" s="629"/>
      <c r="C416" s="21"/>
      <c r="D416" s="2566"/>
      <c r="E416" s="21">
        <f t="shared" si="69"/>
        <v>1</v>
      </c>
      <c r="F416" s="2566">
        <f>铂郡面积表!Q353</f>
        <v>0</v>
      </c>
      <c r="G416" s="21">
        <f t="shared" si="70"/>
        <v>0</v>
      </c>
      <c r="H416" s="631"/>
      <c r="I416" s="21">
        <f t="shared" si="71"/>
        <v>1</v>
      </c>
      <c r="J416" s="631"/>
      <c r="K416" s="21">
        <f t="shared" si="72"/>
        <v>1</v>
      </c>
      <c r="L416" s="631"/>
      <c r="M416" s="21">
        <f t="shared" si="73"/>
        <v>1</v>
      </c>
      <c r="N416" s="631"/>
      <c r="O416" s="21">
        <f t="shared" si="74"/>
        <v>1</v>
      </c>
      <c r="P416" s="2566">
        <f>铂郡面积表!K353</f>
        <v>0</v>
      </c>
      <c r="Q416" s="21">
        <f t="shared" si="75"/>
        <v>1</v>
      </c>
      <c r="R416" s="21">
        <f t="shared" si="76"/>
        <v>0</v>
      </c>
      <c r="S416" s="307">
        <f t="shared" si="68"/>
        <v>0</v>
      </c>
    </row>
    <row r="417" spans="1:19">
      <c r="A417" s="629"/>
      <c r="B417" s="629"/>
      <c r="C417" s="21"/>
      <c r="D417" s="2566"/>
      <c r="E417" s="21">
        <f t="shared" si="69"/>
        <v>1</v>
      </c>
      <c r="F417" s="2566">
        <f>铂郡面积表!Q354</f>
        <v>0</v>
      </c>
      <c r="G417" s="21">
        <f t="shared" si="70"/>
        <v>0</v>
      </c>
      <c r="H417" s="631"/>
      <c r="I417" s="21">
        <f t="shared" si="71"/>
        <v>1</v>
      </c>
      <c r="J417" s="631"/>
      <c r="K417" s="21">
        <f t="shared" si="72"/>
        <v>1</v>
      </c>
      <c r="L417" s="631"/>
      <c r="M417" s="21">
        <f t="shared" si="73"/>
        <v>1</v>
      </c>
      <c r="N417" s="631"/>
      <c r="O417" s="21">
        <f t="shared" si="74"/>
        <v>1</v>
      </c>
      <c r="P417" s="2566">
        <f>铂郡面积表!K354</f>
        <v>0</v>
      </c>
      <c r="Q417" s="21">
        <f t="shared" si="75"/>
        <v>1</v>
      </c>
      <c r="R417" s="21">
        <f t="shared" si="76"/>
        <v>0</v>
      </c>
      <c r="S417" s="307">
        <f t="shared" si="68"/>
        <v>0</v>
      </c>
    </row>
    <row r="418" spans="1:19">
      <c r="A418" s="629"/>
      <c r="B418" s="629"/>
      <c r="C418" s="21"/>
      <c r="D418" s="2566"/>
      <c r="E418" s="21">
        <f t="shared" si="69"/>
        <v>1</v>
      </c>
      <c r="F418" s="2566">
        <f>铂郡面积表!Q355</f>
        <v>0</v>
      </c>
      <c r="G418" s="21">
        <f t="shared" si="70"/>
        <v>0</v>
      </c>
      <c r="H418" s="631"/>
      <c r="I418" s="21">
        <f t="shared" si="71"/>
        <v>1</v>
      </c>
      <c r="J418" s="631"/>
      <c r="K418" s="21">
        <f t="shared" si="72"/>
        <v>1</v>
      </c>
      <c r="L418" s="631"/>
      <c r="M418" s="21">
        <f t="shared" si="73"/>
        <v>1</v>
      </c>
      <c r="N418" s="631"/>
      <c r="O418" s="21">
        <f t="shared" si="74"/>
        <v>1</v>
      </c>
      <c r="P418" s="2566">
        <f>铂郡面积表!K355</f>
        <v>0</v>
      </c>
      <c r="Q418" s="21">
        <f t="shared" si="75"/>
        <v>1</v>
      </c>
      <c r="R418" s="21">
        <f t="shared" si="76"/>
        <v>0</v>
      </c>
      <c r="S418" s="307">
        <f t="shared" si="68"/>
        <v>0</v>
      </c>
    </row>
    <row r="419" spans="1:19">
      <c r="A419" s="629"/>
      <c r="B419" s="629"/>
      <c r="C419" s="21"/>
      <c r="D419" s="2566"/>
      <c r="E419" s="21">
        <f t="shared" si="69"/>
        <v>1</v>
      </c>
      <c r="F419" s="2566">
        <f>铂郡面积表!Q356</f>
        <v>0</v>
      </c>
      <c r="G419" s="21">
        <f t="shared" si="70"/>
        <v>0</v>
      </c>
      <c r="H419" s="631"/>
      <c r="I419" s="21">
        <f t="shared" si="71"/>
        <v>1</v>
      </c>
      <c r="J419" s="631"/>
      <c r="K419" s="21">
        <f t="shared" si="72"/>
        <v>1</v>
      </c>
      <c r="L419" s="631"/>
      <c r="M419" s="21">
        <f t="shared" si="73"/>
        <v>1</v>
      </c>
      <c r="N419" s="631"/>
      <c r="O419" s="21">
        <f t="shared" si="74"/>
        <v>1</v>
      </c>
      <c r="P419" s="2566">
        <f>铂郡面积表!K356</f>
        <v>0</v>
      </c>
      <c r="Q419" s="21">
        <f t="shared" si="75"/>
        <v>1</v>
      </c>
      <c r="R419" s="21">
        <f t="shared" si="76"/>
        <v>0</v>
      </c>
      <c r="S419" s="307">
        <f t="shared" si="68"/>
        <v>0</v>
      </c>
    </row>
    <row r="420" spans="1:19">
      <c r="A420" s="629"/>
      <c r="B420" s="629"/>
      <c r="C420" s="21"/>
      <c r="D420" s="2566"/>
      <c r="E420" s="21">
        <f t="shared" si="69"/>
        <v>1</v>
      </c>
      <c r="F420" s="2566">
        <f>铂郡面积表!Q357</f>
        <v>0</v>
      </c>
      <c r="G420" s="21">
        <f t="shared" si="70"/>
        <v>0</v>
      </c>
      <c r="H420" s="631"/>
      <c r="I420" s="21">
        <f t="shared" si="71"/>
        <v>1</v>
      </c>
      <c r="J420" s="631"/>
      <c r="K420" s="21">
        <f t="shared" si="72"/>
        <v>1</v>
      </c>
      <c r="L420" s="631"/>
      <c r="M420" s="21">
        <f t="shared" si="73"/>
        <v>1</v>
      </c>
      <c r="N420" s="631"/>
      <c r="O420" s="21">
        <f t="shared" si="74"/>
        <v>1</v>
      </c>
      <c r="P420" s="2566">
        <f>铂郡面积表!K357</f>
        <v>0</v>
      </c>
      <c r="Q420" s="21">
        <f t="shared" si="75"/>
        <v>1</v>
      </c>
      <c r="R420" s="21">
        <f t="shared" si="76"/>
        <v>0</v>
      </c>
      <c r="S420" s="307">
        <f t="shared" si="68"/>
        <v>0</v>
      </c>
    </row>
    <row r="421" spans="1:19">
      <c r="A421" s="629"/>
      <c r="B421" s="629"/>
      <c r="C421" s="21"/>
      <c r="D421" s="2566"/>
      <c r="E421" s="21">
        <f t="shared" si="69"/>
        <v>1</v>
      </c>
      <c r="F421" s="2566">
        <f>铂郡面积表!Q358</f>
        <v>0</v>
      </c>
      <c r="G421" s="21">
        <f t="shared" si="70"/>
        <v>0</v>
      </c>
      <c r="H421" s="631"/>
      <c r="I421" s="21">
        <f t="shared" si="71"/>
        <v>1</v>
      </c>
      <c r="J421" s="631"/>
      <c r="K421" s="21">
        <f t="shared" si="72"/>
        <v>1</v>
      </c>
      <c r="L421" s="631"/>
      <c r="M421" s="21">
        <f t="shared" si="73"/>
        <v>1</v>
      </c>
      <c r="N421" s="631"/>
      <c r="O421" s="21">
        <f t="shared" si="74"/>
        <v>1</v>
      </c>
      <c r="P421" s="2566">
        <f>铂郡面积表!K358</f>
        <v>0</v>
      </c>
      <c r="Q421" s="21">
        <f t="shared" si="75"/>
        <v>1</v>
      </c>
      <c r="R421" s="21">
        <f t="shared" si="76"/>
        <v>0</v>
      </c>
      <c r="S421" s="307">
        <f t="shared" si="68"/>
        <v>0</v>
      </c>
    </row>
    <row r="422" spans="1:19">
      <c r="A422" s="629"/>
      <c r="B422" s="629"/>
      <c r="C422" s="21"/>
      <c r="D422" s="2566"/>
      <c r="E422" s="21">
        <f t="shared" si="69"/>
        <v>1</v>
      </c>
      <c r="F422" s="2566">
        <f>铂郡面积表!Q359</f>
        <v>0</v>
      </c>
      <c r="G422" s="21">
        <f t="shared" si="70"/>
        <v>0</v>
      </c>
      <c r="H422" s="631"/>
      <c r="I422" s="21">
        <f t="shared" si="71"/>
        <v>1</v>
      </c>
      <c r="J422" s="631"/>
      <c r="K422" s="21">
        <f t="shared" si="72"/>
        <v>1</v>
      </c>
      <c r="L422" s="631"/>
      <c r="M422" s="21">
        <f t="shared" si="73"/>
        <v>1</v>
      </c>
      <c r="N422" s="631"/>
      <c r="O422" s="21">
        <f t="shared" si="74"/>
        <v>1</v>
      </c>
      <c r="P422" s="2566">
        <f>铂郡面积表!K359</f>
        <v>0</v>
      </c>
      <c r="Q422" s="21">
        <f t="shared" si="75"/>
        <v>1</v>
      </c>
      <c r="R422" s="21">
        <f t="shared" si="76"/>
        <v>0</v>
      </c>
      <c r="S422" s="307">
        <f t="shared" si="68"/>
        <v>0</v>
      </c>
    </row>
    <row r="423" spans="1:19">
      <c r="A423" s="629"/>
      <c r="B423" s="629"/>
      <c r="C423" s="21"/>
      <c r="D423" s="2566"/>
      <c r="E423" s="21">
        <f t="shared" si="69"/>
        <v>1</v>
      </c>
      <c r="F423" s="2566">
        <f>铂郡面积表!Q360</f>
        <v>0</v>
      </c>
      <c r="G423" s="21">
        <f t="shared" si="70"/>
        <v>0</v>
      </c>
      <c r="H423" s="631"/>
      <c r="I423" s="21">
        <f t="shared" si="71"/>
        <v>1</v>
      </c>
      <c r="J423" s="631"/>
      <c r="K423" s="21">
        <f t="shared" si="72"/>
        <v>1</v>
      </c>
      <c r="L423" s="631"/>
      <c r="M423" s="21">
        <f t="shared" si="73"/>
        <v>1</v>
      </c>
      <c r="N423" s="631"/>
      <c r="O423" s="21">
        <f t="shared" si="74"/>
        <v>1</v>
      </c>
      <c r="P423" s="2566">
        <f>铂郡面积表!K360</f>
        <v>0</v>
      </c>
      <c r="Q423" s="21">
        <f t="shared" si="75"/>
        <v>1</v>
      </c>
      <c r="R423" s="21">
        <f t="shared" si="76"/>
        <v>0</v>
      </c>
      <c r="S423" s="307">
        <f t="shared" ref="S423:S467" si="77">ROUND(R423*B423/10000,0)</f>
        <v>0</v>
      </c>
    </row>
    <row r="424" spans="1:19">
      <c r="A424" s="629"/>
      <c r="B424" s="629"/>
      <c r="C424" s="21"/>
      <c r="D424" s="2566"/>
      <c r="E424" s="21">
        <f t="shared" si="69"/>
        <v>1</v>
      </c>
      <c r="F424" s="2566">
        <f>铂郡面积表!Q361</f>
        <v>0</v>
      </c>
      <c r="G424" s="21">
        <f t="shared" si="70"/>
        <v>0</v>
      </c>
      <c r="H424" s="631"/>
      <c r="I424" s="21">
        <f t="shared" si="71"/>
        <v>1</v>
      </c>
      <c r="J424" s="631"/>
      <c r="K424" s="21">
        <f t="shared" si="72"/>
        <v>1</v>
      </c>
      <c r="L424" s="631"/>
      <c r="M424" s="21">
        <f t="shared" si="73"/>
        <v>1</v>
      </c>
      <c r="N424" s="631"/>
      <c r="O424" s="21">
        <f t="shared" si="74"/>
        <v>1</v>
      </c>
      <c r="P424" s="2566">
        <f>铂郡面积表!K361</f>
        <v>0</v>
      </c>
      <c r="Q424" s="21">
        <f t="shared" si="75"/>
        <v>1</v>
      </c>
      <c r="R424" s="21">
        <f t="shared" si="76"/>
        <v>0</v>
      </c>
      <c r="S424" s="307">
        <f t="shared" si="77"/>
        <v>0</v>
      </c>
    </row>
    <row r="425" spans="1:19">
      <c r="A425" s="629"/>
      <c r="B425" s="629"/>
      <c r="C425" s="21"/>
      <c r="D425" s="2566"/>
      <c r="E425" s="21">
        <f t="shared" si="69"/>
        <v>1</v>
      </c>
      <c r="F425" s="2566">
        <f>铂郡面积表!Q362</f>
        <v>0</v>
      </c>
      <c r="G425" s="21">
        <f t="shared" si="70"/>
        <v>0</v>
      </c>
      <c r="H425" s="631"/>
      <c r="I425" s="21">
        <f t="shared" si="71"/>
        <v>1</v>
      </c>
      <c r="J425" s="631"/>
      <c r="K425" s="21">
        <f t="shared" si="72"/>
        <v>1</v>
      </c>
      <c r="L425" s="631"/>
      <c r="M425" s="21">
        <f t="shared" si="73"/>
        <v>1</v>
      </c>
      <c r="N425" s="631"/>
      <c r="O425" s="21">
        <f t="shared" si="74"/>
        <v>1</v>
      </c>
      <c r="P425" s="2566">
        <f>铂郡面积表!K362</f>
        <v>0</v>
      </c>
      <c r="Q425" s="21">
        <f t="shared" si="75"/>
        <v>1</v>
      </c>
      <c r="R425" s="21">
        <f t="shared" si="76"/>
        <v>0</v>
      </c>
      <c r="S425" s="307">
        <f t="shared" si="77"/>
        <v>0</v>
      </c>
    </row>
    <row r="426" spans="1:19">
      <c r="A426" s="629"/>
      <c r="B426" s="629"/>
      <c r="C426" s="21"/>
      <c r="D426" s="2566"/>
      <c r="E426" s="21">
        <f t="shared" si="69"/>
        <v>1</v>
      </c>
      <c r="F426" s="2566">
        <f>铂郡面积表!Q363</f>
        <v>0</v>
      </c>
      <c r="G426" s="21">
        <f t="shared" si="70"/>
        <v>0</v>
      </c>
      <c r="H426" s="631"/>
      <c r="I426" s="21">
        <f t="shared" si="71"/>
        <v>1</v>
      </c>
      <c r="J426" s="631"/>
      <c r="K426" s="21">
        <f t="shared" si="72"/>
        <v>1</v>
      </c>
      <c r="L426" s="631"/>
      <c r="M426" s="21">
        <f t="shared" si="73"/>
        <v>1</v>
      </c>
      <c r="N426" s="631"/>
      <c r="O426" s="21">
        <f t="shared" si="74"/>
        <v>1</v>
      </c>
      <c r="P426" s="2566">
        <f>铂郡面积表!K363</f>
        <v>0</v>
      </c>
      <c r="Q426" s="21">
        <f t="shared" si="75"/>
        <v>1</v>
      </c>
      <c r="R426" s="21">
        <f t="shared" si="76"/>
        <v>0</v>
      </c>
      <c r="S426" s="307">
        <f t="shared" si="77"/>
        <v>0</v>
      </c>
    </row>
    <row r="427" spans="1:19">
      <c r="A427" s="629"/>
      <c r="B427" s="629"/>
      <c r="C427" s="21"/>
      <c r="D427" s="2566"/>
      <c r="E427" s="21">
        <f t="shared" si="69"/>
        <v>1</v>
      </c>
      <c r="F427" s="2566">
        <f>铂郡面积表!Q364</f>
        <v>0</v>
      </c>
      <c r="G427" s="21">
        <f t="shared" si="70"/>
        <v>0</v>
      </c>
      <c r="H427" s="631"/>
      <c r="I427" s="21">
        <f t="shared" si="71"/>
        <v>1</v>
      </c>
      <c r="J427" s="631"/>
      <c r="K427" s="21">
        <f t="shared" si="72"/>
        <v>1</v>
      </c>
      <c r="L427" s="631"/>
      <c r="M427" s="21">
        <f t="shared" si="73"/>
        <v>1</v>
      </c>
      <c r="N427" s="631"/>
      <c r="O427" s="21">
        <f t="shared" si="74"/>
        <v>1</v>
      </c>
      <c r="P427" s="2566">
        <f>铂郡面积表!K364</f>
        <v>0</v>
      </c>
      <c r="Q427" s="21">
        <f t="shared" si="75"/>
        <v>1</v>
      </c>
      <c r="R427" s="21">
        <f t="shared" si="76"/>
        <v>0</v>
      </c>
      <c r="S427" s="307">
        <f t="shared" si="77"/>
        <v>0</v>
      </c>
    </row>
    <row r="428" spans="1:19">
      <c r="A428" s="629"/>
      <c r="B428" s="629"/>
      <c r="C428" s="21"/>
      <c r="D428" s="2566"/>
      <c r="E428" s="21">
        <f t="shared" si="69"/>
        <v>1</v>
      </c>
      <c r="F428" s="2566">
        <f>铂郡面积表!Q365</f>
        <v>0</v>
      </c>
      <c r="G428" s="21">
        <f t="shared" si="70"/>
        <v>0</v>
      </c>
      <c r="H428" s="631"/>
      <c r="I428" s="21">
        <f t="shared" si="71"/>
        <v>1</v>
      </c>
      <c r="J428" s="631"/>
      <c r="K428" s="21">
        <f t="shared" si="72"/>
        <v>1</v>
      </c>
      <c r="L428" s="631"/>
      <c r="M428" s="21">
        <f t="shared" si="73"/>
        <v>1</v>
      </c>
      <c r="N428" s="631"/>
      <c r="O428" s="21">
        <f t="shared" si="74"/>
        <v>1</v>
      </c>
      <c r="P428" s="2566">
        <f>铂郡面积表!K365</f>
        <v>0</v>
      </c>
      <c r="Q428" s="21">
        <f t="shared" si="75"/>
        <v>1</v>
      </c>
      <c r="R428" s="21">
        <f t="shared" si="76"/>
        <v>0</v>
      </c>
      <c r="S428" s="307">
        <f t="shared" si="77"/>
        <v>0</v>
      </c>
    </row>
    <row r="429" spans="1:19">
      <c r="A429" s="629"/>
      <c r="B429" s="629"/>
      <c r="C429" s="21"/>
      <c r="D429" s="2566"/>
      <c r="E429" s="21">
        <f t="shared" si="69"/>
        <v>1</v>
      </c>
      <c r="F429" s="2566">
        <f>铂郡面积表!Q366</f>
        <v>0</v>
      </c>
      <c r="G429" s="21">
        <f t="shared" si="70"/>
        <v>0</v>
      </c>
      <c r="H429" s="631"/>
      <c r="I429" s="21">
        <f t="shared" si="71"/>
        <v>1</v>
      </c>
      <c r="J429" s="631"/>
      <c r="K429" s="21">
        <f t="shared" si="72"/>
        <v>1</v>
      </c>
      <c r="L429" s="631"/>
      <c r="M429" s="21">
        <f t="shared" si="73"/>
        <v>1</v>
      </c>
      <c r="N429" s="631"/>
      <c r="O429" s="21">
        <f t="shared" si="74"/>
        <v>1</v>
      </c>
      <c r="P429" s="2566">
        <f>铂郡面积表!K366</f>
        <v>0</v>
      </c>
      <c r="Q429" s="21">
        <f t="shared" si="75"/>
        <v>1</v>
      </c>
      <c r="R429" s="21">
        <f t="shared" si="76"/>
        <v>0</v>
      </c>
      <c r="S429" s="307">
        <f t="shared" si="77"/>
        <v>0</v>
      </c>
    </row>
    <row r="430" spans="1:19">
      <c r="A430" s="629"/>
      <c r="B430" s="629"/>
      <c r="C430" s="21"/>
      <c r="D430" s="2566"/>
      <c r="E430" s="21">
        <f t="shared" si="69"/>
        <v>1</v>
      </c>
      <c r="F430" s="2566">
        <f>铂郡面积表!Q367</f>
        <v>0</v>
      </c>
      <c r="G430" s="21">
        <f t="shared" si="70"/>
        <v>0</v>
      </c>
      <c r="H430" s="631"/>
      <c r="I430" s="21">
        <f t="shared" si="71"/>
        <v>1</v>
      </c>
      <c r="J430" s="631"/>
      <c r="K430" s="21">
        <f t="shared" si="72"/>
        <v>1</v>
      </c>
      <c r="L430" s="631"/>
      <c r="M430" s="21">
        <f t="shared" si="73"/>
        <v>1</v>
      </c>
      <c r="N430" s="631"/>
      <c r="O430" s="21">
        <f t="shared" si="74"/>
        <v>1</v>
      </c>
      <c r="P430" s="2566">
        <f>铂郡面积表!K367</f>
        <v>0</v>
      </c>
      <c r="Q430" s="21">
        <f t="shared" si="75"/>
        <v>1</v>
      </c>
      <c r="R430" s="21">
        <f t="shared" si="76"/>
        <v>0</v>
      </c>
      <c r="S430" s="307">
        <f t="shared" si="77"/>
        <v>0</v>
      </c>
    </row>
    <row r="431" spans="1:19">
      <c r="A431" s="629"/>
      <c r="B431" s="629"/>
      <c r="C431" s="21"/>
      <c r="D431" s="2566"/>
      <c r="E431" s="21">
        <f t="shared" si="69"/>
        <v>1</v>
      </c>
      <c r="F431" s="2566">
        <f>铂郡面积表!Q368</f>
        <v>0</v>
      </c>
      <c r="G431" s="21">
        <f t="shared" si="70"/>
        <v>0</v>
      </c>
      <c r="H431" s="631"/>
      <c r="I431" s="21">
        <f t="shared" si="71"/>
        <v>1</v>
      </c>
      <c r="J431" s="631"/>
      <c r="K431" s="21">
        <f t="shared" si="72"/>
        <v>1</v>
      </c>
      <c r="L431" s="631"/>
      <c r="M431" s="21">
        <f t="shared" si="73"/>
        <v>1</v>
      </c>
      <c r="N431" s="631"/>
      <c r="O431" s="21">
        <f t="shared" si="74"/>
        <v>1</v>
      </c>
      <c r="P431" s="2566">
        <f>铂郡面积表!K368</f>
        <v>0</v>
      </c>
      <c r="Q431" s="21">
        <f t="shared" si="75"/>
        <v>1</v>
      </c>
      <c r="R431" s="21">
        <f t="shared" si="76"/>
        <v>0</v>
      </c>
      <c r="S431" s="307">
        <f t="shared" si="77"/>
        <v>0</v>
      </c>
    </row>
    <row r="432" spans="1:19">
      <c r="A432" s="629"/>
      <c r="B432" s="629"/>
      <c r="C432" s="21"/>
      <c r="D432" s="2566"/>
      <c r="E432" s="21">
        <f t="shared" si="69"/>
        <v>1</v>
      </c>
      <c r="F432" s="2566">
        <f>铂郡面积表!Q369</f>
        <v>0</v>
      </c>
      <c r="G432" s="21">
        <f t="shared" si="70"/>
        <v>0</v>
      </c>
      <c r="H432" s="631"/>
      <c r="I432" s="21">
        <f t="shared" si="71"/>
        <v>1</v>
      </c>
      <c r="J432" s="631"/>
      <c r="K432" s="21">
        <f t="shared" si="72"/>
        <v>1</v>
      </c>
      <c r="L432" s="631"/>
      <c r="M432" s="21">
        <f t="shared" si="73"/>
        <v>1</v>
      </c>
      <c r="N432" s="631"/>
      <c r="O432" s="21">
        <f t="shared" si="74"/>
        <v>1</v>
      </c>
      <c r="P432" s="2566">
        <f>铂郡面积表!K369</f>
        <v>0</v>
      </c>
      <c r="Q432" s="21">
        <f t="shared" si="75"/>
        <v>1</v>
      </c>
      <c r="R432" s="21">
        <f t="shared" si="76"/>
        <v>0</v>
      </c>
      <c r="S432" s="307">
        <f t="shared" si="77"/>
        <v>0</v>
      </c>
    </row>
    <row r="433" spans="1:19">
      <c r="A433" s="629"/>
      <c r="B433" s="629"/>
      <c r="C433" s="21"/>
      <c r="D433" s="2566"/>
      <c r="E433" s="21">
        <f t="shared" si="69"/>
        <v>1</v>
      </c>
      <c r="F433" s="2566">
        <f>铂郡面积表!Q370</f>
        <v>0</v>
      </c>
      <c r="G433" s="21">
        <f t="shared" si="70"/>
        <v>0</v>
      </c>
      <c r="H433" s="631"/>
      <c r="I433" s="21">
        <f t="shared" si="71"/>
        <v>1</v>
      </c>
      <c r="J433" s="631"/>
      <c r="K433" s="21">
        <f t="shared" si="72"/>
        <v>1</v>
      </c>
      <c r="L433" s="631"/>
      <c r="M433" s="21">
        <f t="shared" si="73"/>
        <v>1</v>
      </c>
      <c r="N433" s="631"/>
      <c r="O433" s="21">
        <f t="shared" si="74"/>
        <v>1</v>
      </c>
      <c r="P433" s="2566">
        <f>铂郡面积表!K370</f>
        <v>0</v>
      </c>
      <c r="Q433" s="21">
        <f t="shared" si="75"/>
        <v>1</v>
      </c>
      <c r="R433" s="21">
        <f t="shared" si="76"/>
        <v>0</v>
      </c>
      <c r="S433" s="307">
        <f t="shared" si="77"/>
        <v>0</v>
      </c>
    </row>
    <row r="434" spans="1:19">
      <c r="A434" s="629"/>
      <c r="B434" s="629"/>
      <c r="C434" s="21"/>
      <c r="D434" s="2566"/>
      <c r="E434" s="21">
        <f t="shared" si="69"/>
        <v>1</v>
      </c>
      <c r="F434" s="2566">
        <f>铂郡面积表!Q371</f>
        <v>0</v>
      </c>
      <c r="G434" s="21">
        <f t="shared" si="70"/>
        <v>0</v>
      </c>
      <c r="H434" s="631"/>
      <c r="I434" s="21">
        <f t="shared" si="71"/>
        <v>1</v>
      </c>
      <c r="J434" s="631"/>
      <c r="K434" s="21">
        <f t="shared" si="72"/>
        <v>1</v>
      </c>
      <c r="L434" s="631"/>
      <c r="M434" s="21">
        <f t="shared" si="73"/>
        <v>1</v>
      </c>
      <c r="N434" s="631"/>
      <c r="O434" s="21">
        <f t="shared" si="74"/>
        <v>1</v>
      </c>
      <c r="P434" s="2566">
        <f>铂郡面积表!K371</f>
        <v>0</v>
      </c>
      <c r="Q434" s="21">
        <f t="shared" si="75"/>
        <v>1</v>
      </c>
      <c r="R434" s="21">
        <f t="shared" si="76"/>
        <v>0</v>
      </c>
      <c r="S434" s="307">
        <f t="shared" si="77"/>
        <v>0</v>
      </c>
    </row>
    <row r="435" spans="1:19">
      <c r="A435" s="629"/>
      <c r="B435" s="629"/>
      <c r="C435" s="21"/>
      <c r="D435" s="2566"/>
      <c r="E435" s="21">
        <f t="shared" si="69"/>
        <v>1</v>
      </c>
      <c r="F435" s="2566">
        <f>铂郡面积表!Q372</f>
        <v>0</v>
      </c>
      <c r="G435" s="21">
        <f t="shared" si="70"/>
        <v>0</v>
      </c>
      <c r="H435" s="631"/>
      <c r="I435" s="21">
        <f t="shared" si="71"/>
        <v>1</v>
      </c>
      <c r="J435" s="631"/>
      <c r="K435" s="21">
        <f t="shared" si="72"/>
        <v>1</v>
      </c>
      <c r="L435" s="631"/>
      <c r="M435" s="21">
        <f t="shared" si="73"/>
        <v>1</v>
      </c>
      <c r="N435" s="631"/>
      <c r="O435" s="21">
        <f t="shared" si="74"/>
        <v>1</v>
      </c>
      <c r="P435" s="2566">
        <f>铂郡面积表!K372</f>
        <v>0</v>
      </c>
      <c r="Q435" s="21">
        <f t="shared" si="75"/>
        <v>1</v>
      </c>
      <c r="R435" s="21">
        <f t="shared" si="76"/>
        <v>0</v>
      </c>
      <c r="S435" s="307">
        <f t="shared" si="77"/>
        <v>0</v>
      </c>
    </row>
    <row r="436" spans="1:19">
      <c r="A436" s="629"/>
      <c r="B436" s="629"/>
      <c r="C436" s="21"/>
      <c r="D436" s="2566"/>
      <c r="E436" s="21">
        <f t="shared" si="69"/>
        <v>1</v>
      </c>
      <c r="F436" s="2566">
        <f>铂郡面积表!Q373</f>
        <v>0</v>
      </c>
      <c r="G436" s="21">
        <f t="shared" si="70"/>
        <v>0</v>
      </c>
      <c r="H436" s="631"/>
      <c r="I436" s="21">
        <f t="shared" si="71"/>
        <v>1</v>
      </c>
      <c r="J436" s="631"/>
      <c r="K436" s="21">
        <f t="shared" si="72"/>
        <v>1</v>
      </c>
      <c r="L436" s="631"/>
      <c r="M436" s="21">
        <f t="shared" si="73"/>
        <v>1</v>
      </c>
      <c r="N436" s="631"/>
      <c r="O436" s="21">
        <f t="shared" si="74"/>
        <v>1</v>
      </c>
      <c r="P436" s="2566">
        <f>铂郡面积表!K373</f>
        <v>0</v>
      </c>
      <c r="Q436" s="21">
        <f t="shared" si="75"/>
        <v>1</v>
      </c>
      <c r="R436" s="21">
        <f t="shared" si="76"/>
        <v>0</v>
      </c>
      <c r="S436" s="307">
        <f t="shared" si="77"/>
        <v>0</v>
      </c>
    </row>
    <row r="437" spans="1:19">
      <c r="A437" s="629"/>
      <c r="B437" s="629"/>
      <c r="C437" s="21"/>
      <c r="D437" s="2566"/>
      <c r="E437" s="21">
        <f t="shared" si="69"/>
        <v>1</v>
      </c>
      <c r="F437" s="2566">
        <f>铂郡面积表!Q374</f>
        <v>0</v>
      </c>
      <c r="G437" s="21">
        <f t="shared" si="70"/>
        <v>0</v>
      </c>
      <c r="H437" s="631"/>
      <c r="I437" s="21">
        <f t="shared" si="71"/>
        <v>1</v>
      </c>
      <c r="J437" s="631"/>
      <c r="K437" s="21">
        <f t="shared" si="72"/>
        <v>1</v>
      </c>
      <c r="L437" s="631"/>
      <c r="M437" s="21">
        <f t="shared" si="73"/>
        <v>1</v>
      </c>
      <c r="N437" s="631"/>
      <c r="O437" s="21">
        <f t="shared" si="74"/>
        <v>1</v>
      </c>
      <c r="P437" s="2566">
        <f>铂郡面积表!K374</f>
        <v>0</v>
      </c>
      <c r="Q437" s="21">
        <f t="shared" si="75"/>
        <v>1</v>
      </c>
      <c r="R437" s="21">
        <f t="shared" si="76"/>
        <v>0</v>
      </c>
      <c r="S437" s="307">
        <f t="shared" si="77"/>
        <v>0</v>
      </c>
    </row>
    <row r="438" spans="1:19">
      <c r="A438" s="629"/>
      <c r="B438" s="629"/>
      <c r="C438" s="21"/>
      <c r="D438" s="2566"/>
      <c r="E438" s="21">
        <f t="shared" si="69"/>
        <v>1</v>
      </c>
      <c r="F438" s="2566">
        <f>铂郡面积表!Q375</f>
        <v>0</v>
      </c>
      <c r="G438" s="21">
        <f t="shared" si="70"/>
        <v>0</v>
      </c>
      <c r="H438" s="631"/>
      <c r="I438" s="21">
        <f t="shared" si="71"/>
        <v>1</v>
      </c>
      <c r="J438" s="631"/>
      <c r="K438" s="21">
        <f t="shared" si="72"/>
        <v>1</v>
      </c>
      <c r="L438" s="631"/>
      <c r="M438" s="21">
        <f t="shared" si="73"/>
        <v>1</v>
      </c>
      <c r="N438" s="631"/>
      <c r="O438" s="21">
        <f t="shared" si="74"/>
        <v>1</v>
      </c>
      <c r="P438" s="2566">
        <f>铂郡面积表!K375</f>
        <v>0</v>
      </c>
      <c r="Q438" s="21">
        <f t="shared" si="75"/>
        <v>1</v>
      </c>
      <c r="R438" s="21">
        <f t="shared" si="76"/>
        <v>0</v>
      </c>
      <c r="S438" s="307">
        <f t="shared" si="77"/>
        <v>0</v>
      </c>
    </row>
    <row r="439" spans="1:19">
      <c r="A439" s="629"/>
      <c r="B439" s="629"/>
      <c r="C439" s="21"/>
      <c r="D439" s="2566"/>
      <c r="E439" s="21">
        <f t="shared" si="69"/>
        <v>1</v>
      </c>
      <c r="F439" s="2566">
        <f>铂郡面积表!Q376</f>
        <v>0</v>
      </c>
      <c r="G439" s="21">
        <f t="shared" si="70"/>
        <v>0</v>
      </c>
      <c r="H439" s="631"/>
      <c r="I439" s="21">
        <f t="shared" si="71"/>
        <v>1</v>
      </c>
      <c r="J439" s="631"/>
      <c r="K439" s="21">
        <f t="shared" si="72"/>
        <v>1</v>
      </c>
      <c r="L439" s="631"/>
      <c r="M439" s="21">
        <f t="shared" si="73"/>
        <v>1</v>
      </c>
      <c r="N439" s="631"/>
      <c r="O439" s="21">
        <f t="shared" si="74"/>
        <v>1</v>
      </c>
      <c r="P439" s="2566">
        <f>铂郡面积表!K376</f>
        <v>0</v>
      </c>
      <c r="Q439" s="21">
        <f t="shared" si="75"/>
        <v>1</v>
      </c>
      <c r="R439" s="21">
        <f t="shared" si="76"/>
        <v>0</v>
      </c>
      <c r="S439" s="307">
        <f t="shared" si="77"/>
        <v>0</v>
      </c>
    </row>
    <row r="440" spans="1:19">
      <c r="A440" s="629"/>
      <c r="B440" s="629"/>
      <c r="C440" s="21"/>
      <c r="D440" s="2566"/>
      <c r="E440" s="21">
        <f t="shared" si="69"/>
        <v>1</v>
      </c>
      <c r="F440" s="2566">
        <f>铂郡面积表!Q377</f>
        <v>0</v>
      </c>
      <c r="G440" s="21">
        <f t="shared" si="70"/>
        <v>0</v>
      </c>
      <c r="H440" s="631"/>
      <c r="I440" s="21">
        <f t="shared" si="71"/>
        <v>1</v>
      </c>
      <c r="J440" s="631"/>
      <c r="K440" s="21">
        <f t="shared" si="72"/>
        <v>1</v>
      </c>
      <c r="L440" s="631"/>
      <c r="M440" s="21">
        <f t="shared" si="73"/>
        <v>1</v>
      </c>
      <c r="N440" s="631"/>
      <c r="O440" s="21">
        <f t="shared" si="74"/>
        <v>1</v>
      </c>
      <c r="P440" s="2566">
        <f>铂郡面积表!K377</f>
        <v>0</v>
      </c>
      <c r="Q440" s="21">
        <f t="shared" si="75"/>
        <v>1</v>
      </c>
      <c r="R440" s="21">
        <f t="shared" si="76"/>
        <v>0</v>
      </c>
      <c r="S440" s="307">
        <f t="shared" si="77"/>
        <v>0</v>
      </c>
    </row>
    <row r="441" spans="1:19">
      <c r="A441" s="629"/>
      <c r="B441" s="629"/>
      <c r="C441" s="21"/>
      <c r="D441" s="2566"/>
      <c r="E441" s="21">
        <f t="shared" si="69"/>
        <v>1</v>
      </c>
      <c r="F441" s="2566">
        <f>铂郡面积表!Q378</f>
        <v>0</v>
      </c>
      <c r="G441" s="21">
        <f t="shared" si="70"/>
        <v>0</v>
      </c>
      <c r="H441" s="631"/>
      <c r="I441" s="21">
        <f t="shared" si="71"/>
        <v>1</v>
      </c>
      <c r="J441" s="631"/>
      <c r="K441" s="21">
        <f t="shared" si="72"/>
        <v>1</v>
      </c>
      <c r="L441" s="631"/>
      <c r="M441" s="21">
        <f t="shared" si="73"/>
        <v>1</v>
      </c>
      <c r="N441" s="631"/>
      <c r="O441" s="21">
        <f t="shared" si="74"/>
        <v>1</v>
      </c>
      <c r="P441" s="2566">
        <f>铂郡面积表!K378</f>
        <v>0</v>
      </c>
      <c r="Q441" s="21">
        <f t="shared" si="75"/>
        <v>1</v>
      </c>
      <c r="R441" s="21">
        <f t="shared" si="76"/>
        <v>0</v>
      </c>
      <c r="S441" s="307">
        <f t="shared" si="77"/>
        <v>0</v>
      </c>
    </row>
    <row r="442" spans="1:19">
      <c r="A442" s="629"/>
      <c r="B442" s="629"/>
      <c r="C442" s="21"/>
      <c r="D442" s="2566"/>
      <c r="E442" s="21">
        <f t="shared" si="69"/>
        <v>1</v>
      </c>
      <c r="F442" s="2566">
        <f>铂郡面积表!Q379</f>
        <v>0</v>
      </c>
      <c r="G442" s="21">
        <f t="shared" si="70"/>
        <v>0</v>
      </c>
      <c r="H442" s="631"/>
      <c r="I442" s="21">
        <f t="shared" si="71"/>
        <v>1</v>
      </c>
      <c r="J442" s="631"/>
      <c r="K442" s="21">
        <f t="shared" si="72"/>
        <v>1</v>
      </c>
      <c r="L442" s="631"/>
      <c r="M442" s="21">
        <f t="shared" si="73"/>
        <v>1</v>
      </c>
      <c r="N442" s="631"/>
      <c r="O442" s="21">
        <f t="shared" si="74"/>
        <v>1</v>
      </c>
      <c r="P442" s="2566">
        <f>铂郡面积表!K379</f>
        <v>0</v>
      </c>
      <c r="Q442" s="21">
        <f t="shared" si="75"/>
        <v>1</v>
      </c>
      <c r="R442" s="21">
        <f t="shared" si="76"/>
        <v>0</v>
      </c>
      <c r="S442" s="307">
        <f t="shared" si="77"/>
        <v>0</v>
      </c>
    </row>
    <row r="443" spans="1:19">
      <c r="A443" s="629"/>
      <c r="B443" s="629"/>
      <c r="C443" s="21"/>
      <c r="D443" s="2566"/>
      <c r="E443" s="21">
        <f t="shared" si="69"/>
        <v>1</v>
      </c>
      <c r="F443" s="2566">
        <f>铂郡面积表!Q380</f>
        <v>0</v>
      </c>
      <c r="G443" s="21">
        <f t="shared" si="70"/>
        <v>0</v>
      </c>
      <c r="H443" s="631"/>
      <c r="I443" s="21">
        <f t="shared" si="71"/>
        <v>1</v>
      </c>
      <c r="J443" s="631"/>
      <c r="K443" s="21">
        <f t="shared" si="72"/>
        <v>1</v>
      </c>
      <c r="L443" s="631"/>
      <c r="M443" s="21">
        <f t="shared" si="73"/>
        <v>1</v>
      </c>
      <c r="N443" s="631"/>
      <c r="O443" s="21">
        <f t="shared" si="74"/>
        <v>1</v>
      </c>
      <c r="P443" s="2566">
        <f>铂郡面积表!K380</f>
        <v>0</v>
      </c>
      <c r="Q443" s="21">
        <f t="shared" si="75"/>
        <v>1</v>
      </c>
      <c r="R443" s="21">
        <f t="shared" si="76"/>
        <v>0</v>
      </c>
      <c r="S443" s="307">
        <f t="shared" si="77"/>
        <v>0</v>
      </c>
    </row>
    <row r="444" spans="1:19">
      <c r="A444" s="629"/>
      <c r="B444" s="629"/>
      <c r="C444" s="21"/>
      <c r="D444" s="2566"/>
      <c r="E444" s="21">
        <f t="shared" si="69"/>
        <v>1</v>
      </c>
      <c r="F444" s="2566">
        <f>铂郡面积表!Q381</f>
        <v>0</v>
      </c>
      <c r="G444" s="21">
        <f t="shared" si="70"/>
        <v>0</v>
      </c>
      <c r="H444" s="631"/>
      <c r="I444" s="21">
        <f t="shared" si="71"/>
        <v>1</v>
      </c>
      <c r="J444" s="631"/>
      <c r="K444" s="21">
        <f t="shared" si="72"/>
        <v>1</v>
      </c>
      <c r="L444" s="631"/>
      <c r="M444" s="21">
        <f t="shared" si="73"/>
        <v>1</v>
      </c>
      <c r="N444" s="631"/>
      <c r="O444" s="21">
        <f t="shared" si="74"/>
        <v>1</v>
      </c>
      <c r="P444" s="2566">
        <f>铂郡面积表!K381</f>
        <v>0</v>
      </c>
      <c r="Q444" s="21">
        <f t="shared" si="75"/>
        <v>1</v>
      </c>
      <c r="R444" s="21">
        <f t="shared" si="76"/>
        <v>0</v>
      </c>
      <c r="S444" s="307">
        <f t="shared" si="77"/>
        <v>0</v>
      </c>
    </row>
    <row r="445" spans="1:19">
      <c r="A445" s="629"/>
      <c r="B445" s="629"/>
      <c r="C445" s="21"/>
      <c r="D445" s="2566"/>
      <c r="E445" s="21">
        <f t="shared" si="69"/>
        <v>1</v>
      </c>
      <c r="F445" s="2566">
        <f>铂郡面积表!Q382</f>
        <v>0</v>
      </c>
      <c r="G445" s="21">
        <f t="shared" si="70"/>
        <v>0</v>
      </c>
      <c r="H445" s="631"/>
      <c r="I445" s="21">
        <f t="shared" si="71"/>
        <v>1</v>
      </c>
      <c r="J445" s="631"/>
      <c r="K445" s="21">
        <f t="shared" si="72"/>
        <v>1</v>
      </c>
      <c r="L445" s="631"/>
      <c r="M445" s="21">
        <f t="shared" si="73"/>
        <v>1</v>
      </c>
      <c r="N445" s="631"/>
      <c r="O445" s="21">
        <f t="shared" si="74"/>
        <v>1</v>
      </c>
      <c r="P445" s="2566">
        <f>铂郡面积表!K382</f>
        <v>0</v>
      </c>
      <c r="Q445" s="21">
        <f t="shared" si="75"/>
        <v>1</v>
      </c>
      <c r="R445" s="21">
        <f t="shared" si="76"/>
        <v>0</v>
      </c>
      <c r="S445" s="307">
        <f t="shared" si="77"/>
        <v>0</v>
      </c>
    </row>
    <row r="446" spans="1:19">
      <c r="A446" s="629"/>
      <c r="B446" s="629"/>
      <c r="C446" s="21"/>
      <c r="D446" s="2566"/>
      <c r="E446" s="21">
        <f t="shared" si="69"/>
        <v>1</v>
      </c>
      <c r="F446" s="2566">
        <f>铂郡面积表!Q383</f>
        <v>0</v>
      </c>
      <c r="G446" s="21">
        <f t="shared" si="70"/>
        <v>0</v>
      </c>
      <c r="H446" s="631"/>
      <c r="I446" s="21">
        <f t="shared" si="71"/>
        <v>1</v>
      </c>
      <c r="J446" s="631"/>
      <c r="K446" s="21">
        <f t="shared" si="72"/>
        <v>1</v>
      </c>
      <c r="L446" s="631"/>
      <c r="M446" s="21">
        <f t="shared" si="73"/>
        <v>1</v>
      </c>
      <c r="N446" s="631"/>
      <c r="O446" s="21">
        <f t="shared" si="74"/>
        <v>1</v>
      </c>
      <c r="P446" s="2566">
        <f>铂郡面积表!K383</f>
        <v>0</v>
      </c>
      <c r="Q446" s="21">
        <f t="shared" si="75"/>
        <v>1</v>
      </c>
      <c r="R446" s="21">
        <f t="shared" si="76"/>
        <v>0</v>
      </c>
      <c r="S446" s="307">
        <f t="shared" si="77"/>
        <v>0</v>
      </c>
    </row>
    <row r="447" spans="1:19">
      <c r="A447" s="629"/>
      <c r="B447" s="629"/>
      <c r="C447" s="21"/>
      <c r="D447" s="2566"/>
      <c r="E447" s="21">
        <f t="shared" si="69"/>
        <v>1</v>
      </c>
      <c r="F447" s="2566">
        <f>铂郡面积表!Q384</f>
        <v>0</v>
      </c>
      <c r="G447" s="21">
        <f t="shared" si="70"/>
        <v>0</v>
      </c>
      <c r="H447" s="631"/>
      <c r="I447" s="21">
        <f t="shared" si="71"/>
        <v>1</v>
      </c>
      <c r="J447" s="631"/>
      <c r="K447" s="21">
        <f t="shared" si="72"/>
        <v>1</v>
      </c>
      <c r="L447" s="631"/>
      <c r="M447" s="21">
        <f t="shared" si="73"/>
        <v>1</v>
      </c>
      <c r="N447" s="631"/>
      <c r="O447" s="21">
        <f t="shared" si="74"/>
        <v>1</v>
      </c>
      <c r="P447" s="2566">
        <f>铂郡面积表!K384</f>
        <v>0</v>
      </c>
      <c r="Q447" s="21">
        <f t="shared" si="75"/>
        <v>1</v>
      </c>
      <c r="R447" s="21">
        <f t="shared" si="76"/>
        <v>0</v>
      </c>
      <c r="S447" s="307">
        <f t="shared" si="77"/>
        <v>0</v>
      </c>
    </row>
    <row r="448" spans="1:19">
      <c r="A448" s="629"/>
      <c r="B448" s="629"/>
      <c r="C448" s="21"/>
      <c r="D448" s="2566"/>
      <c r="E448" s="21">
        <f t="shared" si="69"/>
        <v>1</v>
      </c>
      <c r="F448" s="2566">
        <f>铂郡面积表!Q385</f>
        <v>0</v>
      </c>
      <c r="G448" s="21">
        <f t="shared" si="70"/>
        <v>0</v>
      </c>
      <c r="H448" s="631"/>
      <c r="I448" s="21">
        <f t="shared" si="71"/>
        <v>1</v>
      </c>
      <c r="J448" s="631"/>
      <c r="K448" s="21">
        <f t="shared" si="72"/>
        <v>1</v>
      </c>
      <c r="L448" s="631"/>
      <c r="M448" s="21">
        <f t="shared" si="73"/>
        <v>1</v>
      </c>
      <c r="N448" s="631"/>
      <c r="O448" s="21">
        <f t="shared" si="74"/>
        <v>1</v>
      </c>
      <c r="P448" s="2566">
        <f>铂郡面积表!K385</f>
        <v>0</v>
      </c>
      <c r="Q448" s="21">
        <f t="shared" si="75"/>
        <v>1</v>
      </c>
      <c r="R448" s="21">
        <f t="shared" si="76"/>
        <v>0</v>
      </c>
      <c r="S448" s="307">
        <f t="shared" si="77"/>
        <v>0</v>
      </c>
    </row>
    <row r="449" spans="1:19">
      <c r="A449" s="629"/>
      <c r="B449" s="629"/>
      <c r="C449" s="21"/>
      <c r="D449" s="2566"/>
      <c r="E449" s="21">
        <f t="shared" si="69"/>
        <v>1</v>
      </c>
      <c r="F449" s="2566">
        <f>铂郡面积表!Q386</f>
        <v>0</v>
      </c>
      <c r="G449" s="21">
        <f t="shared" si="70"/>
        <v>0</v>
      </c>
      <c r="H449" s="631"/>
      <c r="I449" s="21">
        <f t="shared" si="71"/>
        <v>1</v>
      </c>
      <c r="J449" s="631"/>
      <c r="K449" s="21">
        <f t="shared" si="72"/>
        <v>1</v>
      </c>
      <c r="L449" s="631"/>
      <c r="M449" s="21">
        <f t="shared" si="73"/>
        <v>1</v>
      </c>
      <c r="N449" s="631"/>
      <c r="O449" s="21">
        <f t="shared" si="74"/>
        <v>1</v>
      </c>
      <c r="P449" s="2566">
        <f>铂郡面积表!K386</f>
        <v>0</v>
      </c>
      <c r="Q449" s="21">
        <f t="shared" si="75"/>
        <v>1</v>
      </c>
      <c r="R449" s="21">
        <f t="shared" si="76"/>
        <v>0</v>
      </c>
      <c r="S449" s="307">
        <f t="shared" si="77"/>
        <v>0</v>
      </c>
    </row>
    <row r="450" spans="1:19">
      <c r="A450" s="629"/>
      <c r="B450" s="629"/>
      <c r="C450" s="21"/>
      <c r="D450" s="2566"/>
      <c r="E450" s="21">
        <f t="shared" si="69"/>
        <v>1</v>
      </c>
      <c r="F450" s="2566">
        <f>铂郡面积表!Q387</f>
        <v>0</v>
      </c>
      <c r="G450" s="21">
        <f t="shared" si="70"/>
        <v>0</v>
      </c>
      <c r="H450" s="631"/>
      <c r="I450" s="21">
        <f t="shared" si="71"/>
        <v>1</v>
      </c>
      <c r="J450" s="631"/>
      <c r="K450" s="21">
        <f t="shared" si="72"/>
        <v>1</v>
      </c>
      <c r="L450" s="631"/>
      <c r="M450" s="21">
        <f t="shared" si="73"/>
        <v>1</v>
      </c>
      <c r="N450" s="631"/>
      <c r="O450" s="21">
        <f t="shared" si="74"/>
        <v>1</v>
      </c>
      <c r="P450" s="2566">
        <f>铂郡面积表!K387</f>
        <v>0</v>
      </c>
      <c r="Q450" s="21">
        <f t="shared" si="75"/>
        <v>1</v>
      </c>
      <c r="R450" s="21">
        <f t="shared" si="76"/>
        <v>0</v>
      </c>
      <c r="S450" s="307">
        <f t="shared" si="77"/>
        <v>0</v>
      </c>
    </row>
    <row r="451" spans="1:19">
      <c r="A451" s="629"/>
      <c r="B451" s="629"/>
      <c r="C451" s="21"/>
      <c r="D451" s="2566"/>
      <c r="E451" s="21">
        <f t="shared" si="69"/>
        <v>1</v>
      </c>
      <c r="F451" s="2566">
        <f>铂郡面积表!Q388</f>
        <v>0</v>
      </c>
      <c r="G451" s="21">
        <f t="shared" si="70"/>
        <v>0</v>
      </c>
      <c r="H451" s="631"/>
      <c r="I451" s="21">
        <f t="shared" si="71"/>
        <v>1</v>
      </c>
      <c r="J451" s="631"/>
      <c r="K451" s="21">
        <f t="shared" si="72"/>
        <v>1</v>
      </c>
      <c r="L451" s="631"/>
      <c r="M451" s="21">
        <f t="shared" si="73"/>
        <v>1</v>
      </c>
      <c r="N451" s="631"/>
      <c r="O451" s="21">
        <f t="shared" si="74"/>
        <v>1</v>
      </c>
      <c r="P451" s="2566">
        <f>铂郡面积表!K388</f>
        <v>0</v>
      </c>
      <c r="Q451" s="21">
        <f t="shared" si="75"/>
        <v>1</v>
      </c>
      <c r="R451" s="21">
        <f t="shared" si="76"/>
        <v>0</v>
      </c>
      <c r="S451" s="307">
        <f t="shared" si="77"/>
        <v>0</v>
      </c>
    </row>
    <row r="452" spans="1:19">
      <c r="A452" s="629"/>
      <c r="B452" s="629"/>
      <c r="C452" s="21"/>
      <c r="D452" s="2566"/>
      <c r="E452" s="21">
        <f t="shared" si="69"/>
        <v>1</v>
      </c>
      <c r="F452" s="2566">
        <f>铂郡面积表!Q389</f>
        <v>0</v>
      </c>
      <c r="G452" s="21">
        <f t="shared" si="70"/>
        <v>0</v>
      </c>
      <c r="H452" s="631"/>
      <c r="I452" s="21">
        <f t="shared" si="71"/>
        <v>1</v>
      </c>
      <c r="J452" s="631"/>
      <c r="K452" s="21">
        <f t="shared" si="72"/>
        <v>1</v>
      </c>
      <c r="L452" s="631"/>
      <c r="M452" s="21">
        <f t="shared" si="73"/>
        <v>1</v>
      </c>
      <c r="N452" s="631"/>
      <c r="O452" s="21">
        <f t="shared" si="74"/>
        <v>1</v>
      </c>
      <c r="P452" s="2566">
        <f>铂郡面积表!K389</f>
        <v>0</v>
      </c>
      <c r="Q452" s="21">
        <f t="shared" si="75"/>
        <v>1</v>
      </c>
      <c r="R452" s="21">
        <f t="shared" si="76"/>
        <v>0</v>
      </c>
      <c r="S452" s="307">
        <f t="shared" si="77"/>
        <v>0</v>
      </c>
    </row>
    <row r="453" spans="1:19">
      <c r="A453" s="629"/>
      <c r="B453" s="629"/>
      <c r="C453" s="21"/>
      <c r="D453" s="2566"/>
      <c r="E453" s="21">
        <f t="shared" si="69"/>
        <v>1</v>
      </c>
      <c r="F453" s="2566">
        <f>铂郡面积表!Q390</f>
        <v>0</v>
      </c>
      <c r="G453" s="21">
        <f t="shared" si="70"/>
        <v>0</v>
      </c>
      <c r="H453" s="631"/>
      <c r="I453" s="21">
        <f t="shared" si="71"/>
        <v>1</v>
      </c>
      <c r="J453" s="631"/>
      <c r="K453" s="21">
        <f t="shared" si="72"/>
        <v>1</v>
      </c>
      <c r="L453" s="631"/>
      <c r="M453" s="21">
        <f t="shared" si="73"/>
        <v>1</v>
      </c>
      <c r="N453" s="631"/>
      <c r="O453" s="21">
        <f t="shared" si="74"/>
        <v>1</v>
      </c>
      <c r="P453" s="2566">
        <f>铂郡面积表!K390</f>
        <v>0</v>
      </c>
      <c r="Q453" s="21">
        <f t="shared" si="75"/>
        <v>1</v>
      </c>
      <c r="R453" s="21">
        <f t="shared" si="76"/>
        <v>0</v>
      </c>
      <c r="S453" s="307">
        <f t="shared" si="77"/>
        <v>0</v>
      </c>
    </row>
    <row r="454" spans="1:19">
      <c r="A454" s="629"/>
      <c r="B454" s="629"/>
      <c r="C454" s="21"/>
      <c r="D454" s="2566"/>
      <c r="E454" s="21">
        <f t="shared" si="69"/>
        <v>1</v>
      </c>
      <c r="F454" s="2566">
        <f>铂郡面积表!Q391</f>
        <v>0</v>
      </c>
      <c r="G454" s="21">
        <f t="shared" si="70"/>
        <v>0</v>
      </c>
      <c r="H454" s="631"/>
      <c r="I454" s="21">
        <f t="shared" si="71"/>
        <v>1</v>
      </c>
      <c r="J454" s="631"/>
      <c r="K454" s="21">
        <f t="shared" si="72"/>
        <v>1</v>
      </c>
      <c r="L454" s="631"/>
      <c r="M454" s="21">
        <f t="shared" si="73"/>
        <v>1</v>
      </c>
      <c r="N454" s="631"/>
      <c r="O454" s="21">
        <f t="shared" si="74"/>
        <v>1</v>
      </c>
      <c r="P454" s="2566">
        <f>铂郡面积表!K391</f>
        <v>0</v>
      </c>
      <c r="Q454" s="21">
        <f t="shared" si="75"/>
        <v>1</v>
      </c>
      <c r="R454" s="21">
        <f t="shared" si="76"/>
        <v>0</v>
      </c>
      <c r="S454" s="307">
        <f t="shared" si="77"/>
        <v>0</v>
      </c>
    </row>
    <row r="455" spans="1:19">
      <c r="A455" s="629"/>
      <c r="B455" s="629"/>
      <c r="C455" s="21"/>
      <c r="D455" s="2566"/>
      <c r="E455" s="21">
        <f t="shared" si="69"/>
        <v>1</v>
      </c>
      <c r="F455" s="2566">
        <f>铂郡面积表!Q392</f>
        <v>0</v>
      </c>
      <c r="G455" s="21">
        <f t="shared" si="70"/>
        <v>0</v>
      </c>
      <c r="H455" s="631"/>
      <c r="I455" s="21">
        <f t="shared" si="71"/>
        <v>1</v>
      </c>
      <c r="J455" s="631"/>
      <c r="K455" s="21">
        <f t="shared" si="72"/>
        <v>1</v>
      </c>
      <c r="L455" s="631"/>
      <c r="M455" s="21">
        <f t="shared" si="73"/>
        <v>1</v>
      </c>
      <c r="N455" s="631"/>
      <c r="O455" s="21">
        <f t="shared" si="74"/>
        <v>1</v>
      </c>
      <c r="P455" s="2566">
        <f>铂郡面积表!K392</f>
        <v>0</v>
      </c>
      <c r="Q455" s="21">
        <f t="shared" si="75"/>
        <v>1</v>
      </c>
      <c r="R455" s="21">
        <f t="shared" si="76"/>
        <v>0</v>
      </c>
      <c r="S455" s="307">
        <f t="shared" si="77"/>
        <v>0</v>
      </c>
    </row>
    <row r="456" spans="1:19">
      <c r="A456" s="629"/>
      <c r="B456" s="629"/>
      <c r="C456" s="21"/>
      <c r="D456" s="2566"/>
      <c r="E456" s="21">
        <f t="shared" si="69"/>
        <v>1</v>
      </c>
      <c r="F456" s="2566">
        <f>铂郡面积表!Q393</f>
        <v>0</v>
      </c>
      <c r="G456" s="21">
        <f t="shared" si="70"/>
        <v>0</v>
      </c>
      <c r="H456" s="631"/>
      <c r="I456" s="21">
        <f t="shared" si="71"/>
        <v>1</v>
      </c>
      <c r="J456" s="631"/>
      <c r="K456" s="21">
        <f t="shared" si="72"/>
        <v>1</v>
      </c>
      <c r="L456" s="631"/>
      <c r="M456" s="21">
        <f t="shared" si="73"/>
        <v>1</v>
      </c>
      <c r="N456" s="631"/>
      <c r="O456" s="21">
        <f t="shared" si="74"/>
        <v>1</v>
      </c>
      <c r="P456" s="2566">
        <f>铂郡面积表!K393</f>
        <v>0</v>
      </c>
      <c r="Q456" s="21">
        <f t="shared" si="75"/>
        <v>1</v>
      </c>
      <c r="R456" s="21">
        <f t="shared" si="76"/>
        <v>0</v>
      </c>
      <c r="S456" s="307">
        <f t="shared" si="77"/>
        <v>0</v>
      </c>
    </row>
    <row r="457" spans="1:19">
      <c r="A457" s="629"/>
      <c r="B457" s="629"/>
      <c r="C457" s="21"/>
      <c r="D457" s="2566"/>
      <c r="E457" s="21">
        <f t="shared" si="69"/>
        <v>1</v>
      </c>
      <c r="F457" s="2566">
        <f>铂郡面积表!Q394</f>
        <v>0</v>
      </c>
      <c r="G457" s="21">
        <f t="shared" si="70"/>
        <v>0</v>
      </c>
      <c r="H457" s="631"/>
      <c r="I457" s="21">
        <f t="shared" si="71"/>
        <v>1</v>
      </c>
      <c r="J457" s="631"/>
      <c r="K457" s="21">
        <f t="shared" si="72"/>
        <v>1</v>
      </c>
      <c r="L457" s="631"/>
      <c r="M457" s="21">
        <f t="shared" si="73"/>
        <v>1</v>
      </c>
      <c r="N457" s="631"/>
      <c r="O457" s="21">
        <f t="shared" si="74"/>
        <v>1</v>
      </c>
      <c r="P457" s="2566">
        <f>铂郡面积表!K394</f>
        <v>0</v>
      </c>
      <c r="Q457" s="21">
        <f t="shared" si="75"/>
        <v>1</v>
      </c>
      <c r="R457" s="21">
        <f t="shared" si="76"/>
        <v>0</v>
      </c>
      <c r="S457" s="307">
        <f t="shared" si="77"/>
        <v>0</v>
      </c>
    </row>
    <row r="458" spans="1:19">
      <c r="A458" s="629"/>
      <c r="B458" s="629"/>
      <c r="C458" s="21"/>
      <c r="D458" s="2566"/>
      <c r="E458" s="21">
        <f t="shared" si="69"/>
        <v>1</v>
      </c>
      <c r="F458" s="2566">
        <f>铂郡面积表!Q395</f>
        <v>0</v>
      </c>
      <c r="G458" s="21">
        <f t="shared" si="70"/>
        <v>0</v>
      </c>
      <c r="H458" s="631"/>
      <c r="I458" s="21">
        <f t="shared" si="71"/>
        <v>1</v>
      </c>
      <c r="J458" s="631"/>
      <c r="K458" s="21">
        <f t="shared" si="72"/>
        <v>1</v>
      </c>
      <c r="L458" s="631"/>
      <c r="M458" s="21">
        <f t="shared" si="73"/>
        <v>1</v>
      </c>
      <c r="N458" s="631"/>
      <c r="O458" s="21">
        <f t="shared" si="74"/>
        <v>1</v>
      </c>
      <c r="P458" s="2566">
        <f>铂郡面积表!K395</f>
        <v>0</v>
      </c>
      <c r="Q458" s="21">
        <f t="shared" si="75"/>
        <v>1</v>
      </c>
      <c r="R458" s="21">
        <f t="shared" si="76"/>
        <v>0</v>
      </c>
      <c r="S458" s="307">
        <f t="shared" si="77"/>
        <v>0</v>
      </c>
    </row>
    <row r="459" spans="1:19">
      <c r="A459" s="629"/>
      <c r="B459" s="629"/>
      <c r="C459" s="21"/>
      <c r="D459" s="2566"/>
      <c r="E459" s="21">
        <f t="shared" si="69"/>
        <v>1</v>
      </c>
      <c r="F459" s="2566">
        <f>铂郡面积表!Q396</f>
        <v>0</v>
      </c>
      <c r="G459" s="21">
        <f t="shared" si="70"/>
        <v>0</v>
      </c>
      <c r="H459" s="631"/>
      <c r="I459" s="21">
        <f t="shared" si="71"/>
        <v>1</v>
      </c>
      <c r="J459" s="631"/>
      <c r="K459" s="21">
        <f t="shared" si="72"/>
        <v>1</v>
      </c>
      <c r="L459" s="631"/>
      <c r="M459" s="21">
        <f t="shared" si="73"/>
        <v>1</v>
      </c>
      <c r="N459" s="631"/>
      <c r="O459" s="21">
        <f t="shared" si="74"/>
        <v>1</v>
      </c>
      <c r="P459" s="2566">
        <f>铂郡面积表!K396</f>
        <v>0</v>
      </c>
      <c r="Q459" s="21">
        <f t="shared" si="75"/>
        <v>1</v>
      </c>
      <c r="R459" s="21">
        <f t="shared" si="76"/>
        <v>0</v>
      </c>
      <c r="S459" s="307">
        <f t="shared" si="77"/>
        <v>0</v>
      </c>
    </row>
    <row r="460" spans="1:19">
      <c r="A460" s="629"/>
      <c r="B460" s="629"/>
      <c r="C460" s="21"/>
      <c r="D460" s="2566"/>
      <c r="E460" s="21">
        <f t="shared" si="69"/>
        <v>1</v>
      </c>
      <c r="F460" s="2566">
        <f>铂郡面积表!Q397</f>
        <v>0</v>
      </c>
      <c r="G460" s="21">
        <f t="shared" si="70"/>
        <v>0</v>
      </c>
      <c r="H460" s="631"/>
      <c r="I460" s="21">
        <f t="shared" si="71"/>
        <v>1</v>
      </c>
      <c r="J460" s="631"/>
      <c r="K460" s="21">
        <f t="shared" si="72"/>
        <v>1</v>
      </c>
      <c r="L460" s="631"/>
      <c r="M460" s="21">
        <f t="shared" si="73"/>
        <v>1</v>
      </c>
      <c r="N460" s="631"/>
      <c r="O460" s="21">
        <f t="shared" si="74"/>
        <v>1</v>
      </c>
      <c r="P460" s="2566">
        <f>铂郡面积表!K397</f>
        <v>0</v>
      </c>
      <c r="Q460" s="21">
        <f t="shared" si="75"/>
        <v>1</v>
      </c>
      <c r="R460" s="21">
        <f t="shared" si="76"/>
        <v>0</v>
      </c>
      <c r="S460" s="307">
        <f t="shared" si="77"/>
        <v>0</v>
      </c>
    </row>
    <row r="461" spans="1:19">
      <c r="A461" s="629"/>
      <c r="B461" s="629"/>
      <c r="C461" s="21"/>
      <c r="D461" s="2566"/>
      <c r="E461" s="21">
        <f t="shared" si="69"/>
        <v>1</v>
      </c>
      <c r="F461" s="2566">
        <f>铂郡面积表!Q398</f>
        <v>0</v>
      </c>
      <c r="G461" s="21">
        <f t="shared" si="70"/>
        <v>0</v>
      </c>
      <c r="H461" s="631"/>
      <c r="I461" s="21">
        <f t="shared" si="71"/>
        <v>1</v>
      </c>
      <c r="J461" s="631"/>
      <c r="K461" s="21">
        <f t="shared" si="72"/>
        <v>1</v>
      </c>
      <c r="L461" s="631"/>
      <c r="M461" s="21">
        <f t="shared" si="73"/>
        <v>1</v>
      </c>
      <c r="N461" s="631"/>
      <c r="O461" s="21">
        <f t="shared" si="74"/>
        <v>1</v>
      </c>
      <c r="P461" s="2566">
        <f>铂郡面积表!K398</f>
        <v>0</v>
      </c>
      <c r="Q461" s="21">
        <f t="shared" si="75"/>
        <v>1</v>
      </c>
      <c r="R461" s="21">
        <f t="shared" si="76"/>
        <v>0</v>
      </c>
      <c r="S461" s="307">
        <f t="shared" si="77"/>
        <v>0</v>
      </c>
    </row>
    <row r="462" spans="1:19">
      <c r="A462" s="629"/>
      <c r="B462" s="629"/>
      <c r="C462" s="21"/>
      <c r="D462" s="2566"/>
      <c r="E462" s="21">
        <f t="shared" si="69"/>
        <v>1</v>
      </c>
      <c r="F462" s="2566">
        <f>铂郡面积表!Q399</f>
        <v>0</v>
      </c>
      <c r="G462" s="21">
        <f t="shared" si="70"/>
        <v>0</v>
      </c>
      <c r="H462" s="631"/>
      <c r="I462" s="21">
        <f t="shared" si="71"/>
        <v>1</v>
      </c>
      <c r="J462" s="631"/>
      <c r="K462" s="21">
        <f t="shared" si="72"/>
        <v>1</v>
      </c>
      <c r="L462" s="631"/>
      <c r="M462" s="21">
        <f t="shared" si="73"/>
        <v>1</v>
      </c>
      <c r="N462" s="631"/>
      <c r="O462" s="21">
        <f t="shared" si="74"/>
        <v>1</v>
      </c>
      <c r="P462" s="2566">
        <f>铂郡面积表!K399</f>
        <v>0</v>
      </c>
      <c r="Q462" s="21">
        <f t="shared" si="75"/>
        <v>1</v>
      </c>
      <c r="R462" s="21">
        <f t="shared" si="76"/>
        <v>0</v>
      </c>
      <c r="S462" s="307">
        <f t="shared" si="77"/>
        <v>0</v>
      </c>
    </row>
    <row r="463" spans="1:19">
      <c r="A463" s="629"/>
      <c r="B463" s="629"/>
      <c r="C463" s="21"/>
      <c r="D463" s="2566"/>
      <c r="E463" s="21">
        <f t="shared" si="69"/>
        <v>1</v>
      </c>
      <c r="F463" s="2566">
        <f>铂郡面积表!Q400</f>
        <v>0</v>
      </c>
      <c r="G463" s="21">
        <f t="shared" si="70"/>
        <v>0</v>
      </c>
      <c r="H463" s="631"/>
      <c r="I463" s="21">
        <f t="shared" si="71"/>
        <v>1</v>
      </c>
      <c r="J463" s="631"/>
      <c r="K463" s="21">
        <f t="shared" si="72"/>
        <v>1</v>
      </c>
      <c r="L463" s="631"/>
      <c r="M463" s="21">
        <f t="shared" si="73"/>
        <v>1</v>
      </c>
      <c r="N463" s="631"/>
      <c r="O463" s="21">
        <f t="shared" si="74"/>
        <v>1</v>
      </c>
      <c r="P463" s="2566">
        <f>铂郡面积表!K400</f>
        <v>0</v>
      </c>
      <c r="Q463" s="21">
        <f t="shared" si="75"/>
        <v>1</v>
      </c>
      <c r="R463" s="21">
        <f t="shared" si="76"/>
        <v>0</v>
      </c>
      <c r="S463" s="307">
        <f t="shared" si="77"/>
        <v>0</v>
      </c>
    </row>
    <row r="464" spans="1:19">
      <c r="A464" s="629"/>
      <c r="B464" s="629"/>
      <c r="C464" s="21"/>
      <c r="D464" s="2566"/>
      <c r="E464" s="21">
        <f t="shared" si="69"/>
        <v>1</v>
      </c>
      <c r="F464" s="2566">
        <f>铂郡面积表!Q401</f>
        <v>0</v>
      </c>
      <c r="G464" s="21">
        <f t="shared" si="70"/>
        <v>0</v>
      </c>
      <c r="H464" s="631"/>
      <c r="I464" s="21">
        <f t="shared" si="71"/>
        <v>1</v>
      </c>
      <c r="J464" s="631"/>
      <c r="K464" s="21">
        <f t="shared" si="72"/>
        <v>1</v>
      </c>
      <c r="L464" s="631"/>
      <c r="M464" s="21">
        <f t="shared" si="73"/>
        <v>1</v>
      </c>
      <c r="N464" s="631"/>
      <c r="O464" s="21">
        <f t="shared" si="74"/>
        <v>1</v>
      </c>
      <c r="P464" s="2566">
        <f>铂郡面积表!K401</f>
        <v>0</v>
      </c>
      <c r="Q464" s="21">
        <f t="shared" si="75"/>
        <v>1</v>
      </c>
      <c r="R464" s="21">
        <f t="shared" si="76"/>
        <v>0</v>
      </c>
      <c r="S464" s="307">
        <f t="shared" si="77"/>
        <v>0</v>
      </c>
    </row>
    <row r="465" spans="1:19">
      <c r="A465" s="629"/>
      <c r="B465" s="629"/>
      <c r="C465" s="21"/>
      <c r="D465" s="2566"/>
      <c r="E465" s="21">
        <f t="shared" si="69"/>
        <v>1</v>
      </c>
      <c r="F465" s="2566">
        <f>铂郡面积表!Q402</f>
        <v>0</v>
      </c>
      <c r="G465" s="21">
        <f t="shared" si="70"/>
        <v>0</v>
      </c>
      <c r="H465" s="631"/>
      <c r="I465" s="21">
        <f t="shared" si="71"/>
        <v>1</v>
      </c>
      <c r="J465" s="631"/>
      <c r="K465" s="21">
        <f t="shared" si="72"/>
        <v>1</v>
      </c>
      <c r="L465" s="631"/>
      <c r="M465" s="21">
        <f t="shared" si="73"/>
        <v>1</v>
      </c>
      <c r="N465" s="631"/>
      <c r="O465" s="21">
        <f t="shared" si="74"/>
        <v>1</v>
      </c>
      <c r="P465" s="2566">
        <f>铂郡面积表!K402</f>
        <v>0</v>
      </c>
      <c r="Q465" s="21">
        <f t="shared" si="75"/>
        <v>1</v>
      </c>
      <c r="R465" s="21">
        <f t="shared" si="76"/>
        <v>0</v>
      </c>
      <c r="S465" s="307">
        <f t="shared" si="77"/>
        <v>0</v>
      </c>
    </row>
    <row r="466" spans="1:19">
      <c r="A466" s="629"/>
      <c r="B466" s="629"/>
      <c r="C466" s="21"/>
      <c r="D466" s="2566"/>
      <c r="E466" s="21">
        <f t="shared" si="69"/>
        <v>1</v>
      </c>
      <c r="F466" s="2566">
        <f>铂郡面积表!Q403</f>
        <v>0</v>
      </c>
      <c r="G466" s="21">
        <f t="shared" si="70"/>
        <v>0</v>
      </c>
      <c r="H466" s="631"/>
      <c r="I466" s="21">
        <f t="shared" si="71"/>
        <v>1</v>
      </c>
      <c r="J466" s="631"/>
      <c r="K466" s="21">
        <f t="shared" si="72"/>
        <v>1</v>
      </c>
      <c r="L466" s="631"/>
      <c r="M466" s="21">
        <f t="shared" si="73"/>
        <v>1</v>
      </c>
      <c r="N466" s="631"/>
      <c r="O466" s="21">
        <f t="shared" si="74"/>
        <v>1</v>
      </c>
      <c r="P466" s="2566">
        <f>铂郡面积表!K403</f>
        <v>0</v>
      </c>
      <c r="Q466" s="21">
        <f t="shared" si="75"/>
        <v>1</v>
      </c>
      <c r="R466" s="21">
        <f t="shared" si="76"/>
        <v>0</v>
      </c>
      <c r="S466" s="307">
        <f t="shared" si="77"/>
        <v>0</v>
      </c>
    </row>
    <row r="467" spans="1:19">
      <c r="A467" s="629"/>
      <c r="B467" s="629"/>
      <c r="C467" s="21"/>
      <c r="D467" s="2566"/>
      <c r="E467" s="21">
        <f t="shared" si="69"/>
        <v>1</v>
      </c>
      <c r="F467" s="2566">
        <f>铂郡面积表!Q404</f>
        <v>0</v>
      </c>
      <c r="G467" s="21">
        <f t="shared" si="70"/>
        <v>0</v>
      </c>
      <c r="H467" s="631"/>
      <c r="I467" s="21">
        <f t="shared" si="71"/>
        <v>1</v>
      </c>
      <c r="J467" s="631"/>
      <c r="K467" s="21">
        <f t="shared" si="72"/>
        <v>1</v>
      </c>
      <c r="L467" s="631"/>
      <c r="M467" s="21">
        <f t="shared" si="73"/>
        <v>1</v>
      </c>
      <c r="N467" s="631"/>
      <c r="O467" s="21">
        <f t="shared" si="74"/>
        <v>1</v>
      </c>
      <c r="P467" s="2566">
        <f>铂郡面积表!K404</f>
        <v>0</v>
      </c>
      <c r="Q467" s="21">
        <f t="shared" si="75"/>
        <v>1</v>
      </c>
      <c r="R467" s="21">
        <f t="shared" si="76"/>
        <v>0</v>
      </c>
      <c r="S467" s="307">
        <f t="shared" si="77"/>
        <v>0</v>
      </c>
    </row>
    <row r="468" spans="1:19">
      <c r="A468" s="629"/>
      <c r="B468" s="629"/>
      <c r="C468" s="21"/>
      <c r="D468" s="2566"/>
      <c r="E468" s="21">
        <f t="shared" si="69"/>
        <v>1</v>
      </c>
      <c r="F468" s="2566">
        <f>铂郡面积表!Q405</f>
        <v>0</v>
      </c>
      <c r="G468" s="21">
        <f t="shared" si="70"/>
        <v>0</v>
      </c>
      <c r="H468" s="631"/>
      <c r="I468" s="21">
        <f t="shared" si="71"/>
        <v>1</v>
      </c>
      <c r="J468" s="631"/>
      <c r="K468" s="21">
        <f t="shared" si="72"/>
        <v>1</v>
      </c>
      <c r="L468" s="631"/>
      <c r="M468" s="21">
        <f t="shared" si="73"/>
        <v>1</v>
      </c>
      <c r="N468" s="631"/>
      <c r="O468" s="21">
        <f t="shared" si="74"/>
        <v>1</v>
      </c>
      <c r="P468" s="2566">
        <f>铂郡面积表!K405</f>
        <v>0</v>
      </c>
      <c r="Q468" s="21">
        <f t="shared" si="75"/>
        <v>1</v>
      </c>
      <c r="R468" s="21">
        <f t="shared" si="76"/>
        <v>0</v>
      </c>
      <c r="S468" s="307">
        <f t="shared" ref="S468:S497" si="78">ROUND(R468*B468/10000,0)</f>
        <v>0</v>
      </c>
    </row>
    <row r="469" spans="1:19">
      <c r="A469" s="629"/>
      <c r="B469" s="629"/>
      <c r="C469" s="21"/>
      <c r="D469" s="2566"/>
      <c r="E469" s="21">
        <f t="shared" si="69"/>
        <v>1</v>
      </c>
      <c r="F469" s="2566">
        <f>铂郡面积表!Q406</f>
        <v>0</v>
      </c>
      <c r="G469" s="21">
        <f t="shared" si="70"/>
        <v>0</v>
      </c>
      <c r="H469" s="631"/>
      <c r="I469" s="21">
        <f t="shared" si="71"/>
        <v>1</v>
      </c>
      <c r="J469" s="631"/>
      <c r="K469" s="21">
        <f t="shared" si="72"/>
        <v>1</v>
      </c>
      <c r="L469" s="631"/>
      <c r="M469" s="21">
        <f t="shared" si="73"/>
        <v>1</v>
      </c>
      <c r="N469" s="631"/>
      <c r="O469" s="21">
        <f t="shared" si="74"/>
        <v>1</v>
      </c>
      <c r="P469" s="2566">
        <f>铂郡面积表!K406</f>
        <v>0</v>
      </c>
      <c r="Q469" s="21">
        <f t="shared" si="75"/>
        <v>1</v>
      </c>
      <c r="R469" s="21">
        <f t="shared" si="76"/>
        <v>0</v>
      </c>
      <c r="S469" s="307">
        <f t="shared" si="78"/>
        <v>0</v>
      </c>
    </row>
    <row r="470" spans="1:19">
      <c r="A470" s="629"/>
      <c r="B470" s="629"/>
      <c r="C470" s="21"/>
      <c r="D470" s="2566"/>
      <c r="E470" s="21">
        <f t="shared" si="69"/>
        <v>1</v>
      </c>
      <c r="F470" s="2566">
        <f>铂郡面积表!Q407</f>
        <v>0</v>
      </c>
      <c r="G470" s="21">
        <f t="shared" si="70"/>
        <v>0</v>
      </c>
      <c r="H470" s="631"/>
      <c r="I470" s="21">
        <f t="shared" si="71"/>
        <v>1</v>
      </c>
      <c r="J470" s="631"/>
      <c r="K470" s="21">
        <f t="shared" si="72"/>
        <v>1</v>
      </c>
      <c r="L470" s="631"/>
      <c r="M470" s="21">
        <f t="shared" si="73"/>
        <v>1</v>
      </c>
      <c r="N470" s="631"/>
      <c r="O470" s="21">
        <f t="shared" si="74"/>
        <v>1</v>
      </c>
      <c r="P470" s="2566">
        <f>铂郡面积表!K407</f>
        <v>0</v>
      </c>
      <c r="Q470" s="21">
        <f t="shared" si="75"/>
        <v>1</v>
      </c>
      <c r="R470" s="21">
        <f t="shared" si="76"/>
        <v>0</v>
      </c>
      <c r="S470" s="307">
        <f t="shared" si="78"/>
        <v>0</v>
      </c>
    </row>
    <row r="471" spans="1:19">
      <c r="A471" s="629"/>
      <c r="B471" s="629"/>
      <c r="C471" s="21"/>
      <c r="D471" s="2566"/>
      <c r="E471" s="21">
        <f t="shared" si="69"/>
        <v>1</v>
      </c>
      <c r="F471" s="2566">
        <f>铂郡面积表!Q408</f>
        <v>0</v>
      </c>
      <c r="G471" s="21">
        <f t="shared" si="70"/>
        <v>0</v>
      </c>
      <c r="H471" s="631"/>
      <c r="I471" s="21">
        <f t="shared" si="71"/>
        <v>1</v>
      </c>
      <c r="J471" s="631"/>
      <c r="K471" s="21">
        <f t="shared" si="72"/>
        <v>1</v>
      </c>
      <c r="L471" s="631"/>
      <c r="M471" s="21">
        <f t="shared" si="73"/>
        <v>1</v>
      </c>
      <c r="N471" s="631"/>
      <c r="O471" s="21">
        <f t="shared" si="74"/>
        <v>1</v>
      </c>
      <c r="P471" s="2566">
        <f>铂郡面积表!K408</f>
        <v>0</v>
      </c>
      <c r="Q471" s="21">
        <f t="shared" si="75"/>
        <v>1</v>
      </c>
      <c r="R471" s="21">
        <f t="shared" si="76"/>
        <v>0</v>
      </c>
      <c r="S471" s="307">
        <f t="shared" si="78"/>
        <v>0</v>
      </c>
    </row>
    <row r="472" spans="1:19">
      <c r="A472" s="629"/>
      <c r="B472" s="629"/>
      <c r="C472" s="21"/>
      <c r="D472" s="2566"/>
      <c r="E472" s="21">
        <f t="shared" si="69"/>
        <v>1</v>
      </c>
      <c r="F472" s="2566">
        <f>铂郡面积表!Q409</f>
        <v>0</v>
      </c>
      <c r="G472" s="21">
        <f t="shared" si="70"/>
        <v>0</v>
      </c>
      <c r="H472" s="631"/>
      <c r="I472" s="21">
        <f t="shared" si="71"/>
        <v>1</v>
      </c>
      <c r="J472" s="631"/>
      <c r="K472" s="21">
        <f t="shared" si="72"/>
        <v>1</v>
      </c>
      <c r="L472" s="631"/>
      <c r="M472" s="21">
        <f t="shared" si="73"/>
        <v>1</v>
      </c>
      <c r="N472" s="631"/>
      <c r="O472" s="21">
        <f t="shared" si="74"/>
        <v>1</v>
      </c>
      <c r="P472" s="2566">
        <f>铂郡面积表!K409</f>
        <v>0</v>
      </c>
      <c r="Q472" s="21">
        <f t="shared" si="75"/>
        <v>1</v>
      </c>
      <c r="R472" s="21">
        <f t="shared" si="76"/>
        <v>0</v>
      </c>
      <c r="S472" s="307">
        <f t="shared" si="78"/>
        <v>0</v>
      </c>
    </row>
    <row r="473" spans="1:19">
      <c r="A473" s="629"/>
      <c r="B473" s="629"/>
      <c r="C473" s="21"/>
      <c r="D473" s="2566"/>
      <c r="E473" s="21">
        <f t="shared" si="69"/>
        <v>1</v>
      </c>
      <c r="F473" s="2566">
        <f>铂郡面积表!Q410</f>
        <v>0</v>
      </c>
      <c r="G473" s="21">
        <f t="shared" si="70"/>
        <v>0</v>
      </c>
      <c r="H473" s="631"/>
      <c r="I473" s="21">
        <f t="shared" si="71"/>
        <v>1</v>
      </c>
      <c r="J473" s="631"/>
      <c r="K473" s="21">
        <f t="shared" si="72"/>
        <v>1</v>
      </c>
      <c r="L473" s="631"/>
      <c r="M473" s="21">
        <f t="shared" si="73"/>
        <v>1</v>
      </c>
      <c r="N473" s="631"/>
      <c r="O473" s="21">
        <f t="shared" si="74"/>
        <v>1</v>
      </c>
      <c r="P473" s="2566">
        <f>铂郡面积表!K410</f>
        <v>0</v>
      </c>
      <c r="Q473" s="21">
        <f t="shared" si="75"/>
        <v>1</v>
      </c>
      <c r="R473" s="21">
        <f t="shared" si="76"/>
        <v>0</v>
      </c>
      <c r="S473" s="307">
        <f t="shared" si="78"/>
        <v>0</v>
      </c>
    </row>
    <row r="474" spans="1:19">
      <c r="A474" s="629"/>
      <c r="B474" s="629"/>
      <c r="C474" s="21"/>
      <c r="D474" s="2566"/>
      <c r="E474" s="21">
        <f t="shared" ref="E474:E524" si="79">(SUMIF($5:$5,D474,$6:$6)-SUMIF($5:$5,$D$24,$6:$6)+100)/100</f>
        <v>1</v>
      </c>
      <c r="F474" s="2566">
        <f>铂郡面积表!Q411</f>
        <v>0</v>
      </c>
      <c r="G474" s="21">
        <f t="shared" ref="G474:G524" si="80">(SUMIF($7:$7,F474,$8:$8)-SUMIF($7:$7,$F$24,$8:$8)+100)/100</f>
        <v>0</v>
      </c>
      <c r="H474" s="631"/>
      <c r="I474" s="21">
        <f t="shared" ref="I474:I524" si="81">(SUMIF($9:$9,H474,$10:$10)-SUMIF($9:$9,$H$24,$10:$10)+100)/100</f>
        <v>1</v>
      </c>
      <c r="J474" s="631"/>
      <c r="K474" s="21">
        <f t="shared" ref="K474:K524" si="82">(SUMIF($11:$11,J474,$12:$12)-SUMIF($11:$11,$J$24,$12:$12)+100)/100</f>
        <v>1</v>
      </c>
      <c r="L474" s="631"/>
      <c r="M474" s="21">
        <f t="shared" ref="M474:M524" si="83">(SUMIF($13:$13,L474,$14:$14)-SUMIF($13:$13,$L$24,$14:$14)+100)/100</f>
        <v>1</v>
      </c>
      <c r="N474" s="631"/>
      <c r="O474" s="21">
        <f t="shared" ref="O474:O524" si="84">(SUMIF($15:$15,N474,$16:$16)-SUMIF($15:$15,$N$24,$16:$16)+100)/100</f>
        <v>1</v>
      </c>
      <c r="P474" s="2566">
        <f>铂郡面积表!K411</f>
        <v>0</v>
      </c>
      <c r="Q474" s="21">
        <f t="shared" ref="Q474:Q524" si="85">(SUMIF($17:$17,P474,$18:$18)-SUMIF($17:$17,$P$24,$18:$18)+100)/100</f>
        <v>1</v>
      </c>
      <c r="R474" s="21">
        <f t="shared" ref="R474:R524" si="86">IF(B474="",0,ROUND($R$24*C474*E474*G474*I474*K474*M474*O474*Q474,1))</f>
        <v>0</v>
      </c>
      <c r="S474" s="307">
        <f t="shared" si="78"/>
        <v>0</v>
      </c>
    </row>
    <row r="475" spans="1:19">
      <c r="A475" s="629"/>
      <c r="B475" s="629"/>
      <c r="C475" s="21"/>
      <c r="D475" s="2566"/>
      <c r="E475" s="21">
        <f t="shared" si="79"/>
        <v>1</v>
      </c>
      <c r="F475" s="2566">
        <f>铂郡面积表!Q412</f>
        <v>0</v>
      </c>
      <c r="G475" s="21">
        <f t="shared" si="80"/>
        <v>0</v>
      </c>
      <c r="H475" s="631"/>
      <c r="I475" s="21">
        <f t="shared" si="81"/>
        <v>1</v>
      </c>
      <c r="J475" s="631"/>
      <c r="K475" s="21">
        <f t="shared" si="82"/>
        <v>1</v>
      </c>
      <c r="L475" s="631"/>
      <c r="M475" s="21">
        <f t="shared" si="83"/>
        <v>1</v>
      </c>
      <c r="N475" s="631"/>
      <c r="O475" s="21">
        <f t="shared" si="84"/>
        <v>1</v>
      </c>
      <c r="P475" s="2566">
        <f>铂郡面积表!K412</f>
        <v>0</v>
      </c>
      <c r="Q475" s="21">
        <f t="shared" si="85"/>
        <v>1</v>
      </c>
      <c r="R475" s="21">
        <f t="shared" si="86"/>
        <v>0</v>
      </c>
      <c r="S475" s="307">
        <f t="shared" si="78"/>
        <v>0</v>
      </c>
    </row>
    <row r="476" spans="1:19">
      <c r="A476" s="629"/>
      <c r="B476" s="629"/>
      <c r="C476" s="21"/>
      <c r="D476" s="2566"/>
      <c r="E476" s="21">
        <f t="shared" si="79"/>
        <v>1</v>
      </c>
      <c r="F476" s="2566">
        <f>铂郡面积表!Q413</f>
        <v>0</v>
      </c>
      <c r="G476" s="21">
        <f t="shared" si="80"/>
        <v>0</v>
      </c>
      <c r="H476" s="631"/>
      <c r="I476" s="21">
        <f t="shared" si="81"/>
        <v>1</v>
      </c>
      <c r="J476" s="631"/>
      <c r="K476" s="21">
        <f t="shared" si="82"/>
        <v>1</v>
      </c>
      <c r="L476" s="631"/>
      <c r="M476" s="21">
        <f t="shared" si="83"/>
        <v>1</v>
      </c>
      <c r="N476" s="631"/>
      <c r="O476" s="21">
        <f t="shared" si="84"/>
        <v>1</v>
      </c>
      <c r="P476" s="2566">
        <f>铂郡面积表!K413</f>
        <v>0</v>
      </c>
      <c r="Q476" s="21">
        <f t="shared" si="85"/>
        <v>1</v>
      </c>
      <c r="R476" s="21">
        <f t="shared" si="86"/>
        <v>0</v>
      </c>
      <c r="S476" s="307">
        <f t="shared" si="78"/>
        <v>0</v>
      </c>
    </row>
    <row r="477" spans="1:19">
      <c r="A477" s="629"/>
      <c r="B477" s="629"/>
      <c r="C477" s="21"/>
      <c r="D477" s="2566"/>
      <c r="E477" s="21">
        <f t="shared" si="79"/>
        <v>1</v>
      </c>
      <c r="F477" s="2566">
        <f>铂郡面积表!Q414</f>
        <v>0</v>
      </c>
      <c r="G477" s="21">
        <f t="shared" si="80"/>
        <v>0</v>
      </c>
      <c r="H477" s="631"/>
      <c r="I477" s="21">
        <f t="shared" si="81"/>
        <v>1</v>
      </c>
      <c r="J477" s="631"/>
      <c r="K477" s="21">
        <f t="shared" si="82"/>
        <v>1</v>
      </c>
      <c r="L477" s="631"/>
      <c r="M477" s="21">
        <f t="shared" si="83"/>
        <v>1</v>
      </c>
      <c r="N477" s="631"/>
      <c r="O477" s="21">
        <f t="shared" si="84"/>
        <v>1</v>
      </c>
      <c r="P477" s="2566">
        <f>铂郡面积表!K414</f>
        <v>0</v>
      </c>
      <c r="Q477" s="21">
        <f t="shared" si="85"/>
        <v>1</v>
      </c>
      <c r="R477" s="21">
        <f t="shared" si="86"/>
        <v>0</v>
      </c>
      <c r="S477" s="307">
        <f t="shared" si="78"/>
        <v>0</v>
      </c>
    </row>
    <row r="478" spans="1:19">
      <c r="A478" s="629"/>
      <c r="B478" s="629"/>
      <c r="C478" s="21"/>
      <c r="D478" s="2566"/>
      <c r="E478" s="21">
        <f t="shared" si="79"/>
        <v>1</v>
      </c>
      <c r="F478" s="2566">
        <f>铂郡面积表!Q415</f>
        <v>0</v>
      </c>
      <c r="G478" s="21">
        <f t="shared" si="80"/>
        <v>0</v>
      </c>
      <c r="H478" s="631"/>
      <c r="I478" s="21">
        <f t="shared" si="81"/>
        <v>1</v>
      </c>
      <c r="J478" s="631"/>
      <c r="K478" s="21">
        <f t="shared" si="82"/>
        <v>1</v>
      </c>
      <c r="L478" s="631"/>
      <c r="M478" s="21">
        <f t="shared" si="83"/>
        <v>1</v>
      </c>
      <c r="N478" s="631"/>
      <c r="O478" s="21">
        <f t="shared" si="84"/>
        <v>1</v>
      </c>
      <c r="P478" s="2566">
        <f>铂郡面积表!K415</f>
        <v>0</v>
      </c>
      <c r="Q478" s="21">
        <f t="shared" si="85"/>
        <v>1</v>
      </c>
      <c r="R478" s="21">
        <f t="shared" si="86"/>
        <v>0</v>
      </c>
      <c r="S478" s="307">
        <f t="shared" si="78"/>
        <v>0</v>
      </c>
    </row>
    <row r="479" spans="1:19">
      <c r="A479" s="629"/>
      <c r="B479" s="629"/>
      <c r="C479" s="21"/>
      <c r="D479" s="2566"/>
      <c r="E479" s="21">
        <f t="shared" si="79"/>
        <v>1</v>
      </c>
      <c r="F479" s="2566">
        <f>铂郡面积表!Q416</f>
        <v>0</v>
      </c>
      <c r="G479" s="21">
        <f t="shared" si="80"/>
        <v>0</v>
      </c>
      <c r="H479" s="631"/>
      <c r="I479" s="21">
        <f t="shared" si="81"/>
        <v>1</v>
      </c>
      <c r="J479" s="631"/>
      <c r="K479" s="21">
        <f t="shared" si="82"/>
        <v>1</v>
      </c>
      <c r="L479" s="631"/>
      <c r="M479" s="21">
        <f t="shared" si="83"/>
        <v>1</v>
      </c>
      <c r="N479" s="631"/>
      <c r="O479" s="21">
        <f t="shared" si="84"/>
        <v>1</v>
      </c>
      <c r="P479" s="2566">
        <f>铂郡面积表!K416</f>
        <v>0</v>
      </c>
      <c r="Q479" s="21">
        <f t="shared" si="85"/>
        <v>1</v>
      </c>
      <c r="R479" s="21">
        <f t="shared" si="86"/>
        <v>0</v>
      </c>
      <c r="S479" s="307">
        <f t="shared" si="78"/>
        <v>0</v>
      </c>
    </row>
    <row r="480" spans="1:19">
      <c r="A480" s="629"/>
      <c r="B480" s="629"/>
      <c r="C480" s="21"/>
      <c r="D480" s="2566"/>
      <c r="E480" s="21">
        <f t="shared" si="79"/>
        <v>1</v>
      </c>
      <c r="F480" s="2566">
        <f>铂郡面积表!Q417</f>
        <v>0</v>
      </c>
      <c r="G480" s="21">
        <f t="shared" si="80"/>
        <v>0</v>
      </c>
      <c r="H480" s="631"/>
      <c r="I480" s="21">
        <f t="shared" si="81"/>
        <v>1</v>
      </c>
      <c r="J480" s="631"/>
      <c r="K480" s="21">
        <f t="shared" si="82"/>
        <v>1</v>
      </c>
      <c r="L480" s="631"/>
      <c r="M480" s="21">
        <f t="shared" si="83"/>
        <v>1</v>
      </c>
      <c r="N480" s="631"/>
      <c r="O480" s="21">
        <f t="shared" si="84"/>
        <v>1</v>
      </c>
      <c r="P480" s="2566">
        <f>铂郡面积表!K417</f>
        <v>0</v>
      </c>
      <c r="Q480" s="21">
        <f t="shared" si="85"/>
        <v>1</v>
      </c>
      <c r="R480" s="21">
        <f t="shared" si="86"/>
        <v>0</v>
      </c>
      <c r="S480" s="307">
        <f t="shared" si="78"/>
        <v>0</v>
      </c>
    </row>
    <row r="481" spans="1:19">
      <c r="A481" s="629"/>
      <c r="B481" s="629"/>
      <c r="C481" s="21"/>
      <c r="D481" s="2566"/>
      <c r="E481" s="21">
        <f t="shared" si="79"/>
        <v>1</v>
      </c>
      <c r="F481" s="2566">
        <f>铂郡面积表!Q418</f>
        <v>0</v>
      </c>
      <c r="G481" s="21">
        <f t="shared" si="80"/>
        <v>0</v>
      </c>
      <c r="H481" s="631"/>
      <c r="I481" s="21">
        <f t="shared" si="81"/>
        <v>1</v>
      </c>
      <c r="J481" s="631"/>
      <c r="K481" s="21">
        <f t="shared" si="82"/>
        <v>1</v>
      </c>
      <c r="L481" s="631"/>
      <c r="M481" s="21">
        <f t="shared" si="83"/>
        <v>1</v>
      </c>
      <c r="N481" s="631"/>
      <c r="O481" s="21">
        <f t="shared" si="84"/>
        <v>1</v>
      </c>
      <c r="P481" s="2566">
        <f>铂郡面积表!K418</f>
        <v>0</v>
      </c>
      <c r="Q481" s="21">
        <f t="shared" si="85"/>
        <v>1</v>
      </c>
      <c r="R481" s="21">
        <f t="shared" si="86"/>
        <v>0</v>
      </c>
      <c r="S481" s="307">
        <f t="shared" si="78"/>
        <v>0</v>
      </c>
    </row>
    <row r="482" spans="1:19">
      <c r="A482" s="629"/>
      <c r="B482" s="629"/>
      <c r="C482" s="21"/>
      <c r="D482" s="2566"/>
      <c r="E482" s="21">
        <f t="shared" si="79"/>
        <v>1</v>
      </c>
      <c r="F482" s="2566">
        <f>铂郡面积表!Q419</f>
        <v>0</v>
      </c>
      <c r="G482" s="21">
        <f t="shared" si="80"/>
        <v>0</v>
      </c>
      <c r="H482" s="631"/>
      <c r="I482" s="21">
        <f t="shared" si="81"/>
        <v>1</v>
      </c>
      <c r="J482" s="631"/>
      <c r="K482" s="21">
        <f t="shared" si="82"/>
        <v>1</v>
      </c>
      <c r="L482" s="631"/>
      <c r="M482" s="21">
        <f t="shared" si="83"/>
        <v>1</v>
      </c>
      <c r="N482" s="631"/>
      <c r="O482" s="21">
        <f t="shared" si="84"/>
        <v>1</v>
      </c>
      <c r="P482" s="2566">
        <f>铂郡面积表!K419</f>
        <v>0</v>
      </c>
      <c r="Q482" s="21">
        <f t="shared" si="85"/>
        <v>1</v>
      </c>
      <c r="R482" s="21">
        <f t="shared" si="86"/>
        <v>0</v>
      </c>
      <c r="S482" s="307">
        <f t="shared" si="78"/>
        <v>0</v>
      </c>
    </row>
    <row r="483" spans="1:19">
      <c r="A483" s="629"/>
      <c r="B483" s="629"/>
      <c r="C483" s="21"/>
      <c r="D483" s="2566"/>
      <c r="E483" s="21">
        <f t="shared" si="79"/>
        <v>1</v>
      </c>
      <c r="F483" s="2566">
        <f>铂郡面积表!Q420</f>
        <v>0</v>
      </c>
      <c r="G483" s="21">
        <f t="shared" si="80"/>
        <v>0</v>
      </c>
      <c r="H483" s="631"/>
      <c r="I483" s="21">
        <f t="shared" si="81"/>
        <v>1</v>
      </c>
      <c r="J483" s="631"/>
      <c r="K483" s="21">
        <f t="shared" si="82"/>
        <v>1</v>
      </c>
      <c r="L483" s="631"/>
      <c r="M483" s="21">
        <f t="shared" si="83"/>
        <v>1</v>
      </c>
      <c r="N483" s="631"/>
      <c r="O483" s="21">
        <f t="shared" si="84"/>
        <v>1</v>
      </c>
      <c r="P483" s="2566">
        <f>铂郡面积表!K420</f>
        <v>0</v>
      </c>
      <c r="Q483" s="21">
        <f t="shared" si="85"/>
        <v>1</v>
      </c>
      <c r="R483" s="21">
        <f t="shared" si="86"/>
        <v>0</v>
      </c>
      <c r="S483" s="307">
        <f t="shared" si="78"/>
        <v>0</v>
      </c>
    </row>
    <row r="484" spans="1:19">
      <c r="A484" s="629"/>
      <c r="B484" s="629"/>
      <c r="C484" s="21"/>
      <c r="D484" s="2566"/>
      <c r="E484" s="21">
        <f t="shared" si="79"/>
        <v>1</v>
      </c>
      <c r="F484" s="2566">
        <f>铂郡面积表!Q421</f>
        <v>0</v>
      </c>
      <c r="G484" s="21">
        <f t="shared" si="80"/>
        <v>0</v>
      </c>
      <c r="H484" s="631"/>
      <c r="I484" s="21">
        <f t="shared" si="81"/>
        <v>1</v>
      </c>
      <c r="J484" s="631"/>
      <c r="K484" s="21">
        <f t="shared" si="82"/>
        <v>1</v>
      </c>
      <c r="L484" s="631"/>
      <c r="M484" s="21">
        <f t="shared" si="83"/>
        <v>1</v>
      </c>
      <c r="N484" s="631"/>
      <c r="O484" s="21">
        <f t="shared" si="84"/>
        <v>1</v>
      </c>
      <c r="P484" s="2566">
        <f>铂郡面积表!K421</f>
        <v>0</v>
      </c>
      <c r="Q484" s="21">
        <f t="shared" si="85"/>
        <v>1</v>
      </c>
      <c r="R484" s="21">
        <f t="shared" si="86"/>
        <v>0</v>
      </c>
      <c r="S484" s="307">
        <f t="shared" si="78"/>
        <v>0</v>
      </c>
    </row>
    <row r="485" spans="1:19">
      <c r="A485" s="629"/>
      <c r="B485" s="629"/>
      <c r="C485" s="21"/>
      <c r="D485" s="2566"/>
      <c r="E485" s="21">
        <f t="shared" si="79"/>
        <v>1</v>
      </c>
      <c r="F485" s="2566">
        <f>铂郡面积表!Q422</f>
        <v>0</v>
      </c>
      <c r="G485" s="21">
        <f t="shared" si="80"/>
        <v>0</v>
      </c>
      <c r="H485" s="631"/>
      <c r="I485" s="21">
        <f t="shared" si="81"/>
        <v>1</v>
      </c>
      <c r="J485" s="631"/>
      <c r="K485" s="21">
        <f t="shared" si="82"/>
        <v>1</v>
      </c>
      <c r="L485" s="631"/>
      <c r="M485" s="21">
        <f t="shared" si="83"/>
        <v>1</v>
      </c>
      <c r="N485" s="631"/>
      <c r="O485" s="21">
        <f t="shared" si="84"/>
        <v>1</v>
      </c>
      <c r="P485" s="2566">
        <f>铂郡面积表!K422</f>
        <v>0</v>
      </c>
      <c r="Q485" s="21">
        <f t="shared" si="85"/>
        <v>1</v>
      </c>
      <c r="R485" s="21">
        <f t="shared" si="86"/>
        <v>0</v>
      </c>
      <c r="S485" s="307">
        <f t="shared" si="78"/>
        <v>0</v>
      </c>
    </row>
    <row r="486" spans="1:19">
      <c r="A486" s="629"/>
      <c r="B486" s="629"/>
      <c r="C486" s="21"/>
      <c r="D486" s="2566"/>
      <c r="E486" s="21">
        <f t="shared" si="79"/>
        <v>1</v>
      </c>
      <c r="F486" s="2566">
        <f>铂郡面积表!Q423</f>
        <v>0</v>
      </c>
      <c r="G486" s="21">
        <f t="shared" si="80"/>
        <v>0</v>
      </c>
      <c r="H486" s="631"/>
      <c r="I486" s="21">
        <f t="shared" si="81"/>
        <v>1</v>
      </c>
      <c r="J486" s="631"/>
      <c r="K486" s="21">
        <f t="shared" si="82"/>
        <v>1</v>
      </c>
      <c r="L486" s="631"/>
      <c r="M486" s="21">
        <f t="shared" si="83"/>
        <v>1</v>
      </c>
      <c r="N486" s="631"/>
      <c r="O486" s="21">
        <f t="shared" si="84"/>
        <v>1</v>
      </c>
      <c r="P486" s="2566">
        <f>铂郡面积表!K423</f>
        <v>0</v>
      </c>
      <c r="Q486" s="21">
        <f t="shared" si="85"/>
        <v>1</v>
      </c>
      <c r="R486" s="21">
        <f t="shared" si="86"/>
        <v>0</v>
      </c>
      <c r="S486" s="307">
        <f t="shared" si="78"/>
        <v>0</v>
      </c>
    </row>
    <row r="487" spans="1:19">
      <c r="A487" s="629"/>
      <c r="B487" s="629"/>
      <c r="C487" s="21"/>
      <c r="D487" s="2566"/>
      <c r="E487" s="21">
        <f t="shared" si="79"/>
        <v>1</v>
      </c>
      <c r="F487" s="2566">
        <f>铂郡面积表!Q424</f>
        <v>0</v>
      </c>
      <c r="G487" s="21">
        <f t="shared" si="80"/>
        <v>0</v>
      </c>
      <c r="H487" s="631"/>
      <c r="I487" s="21">
        <f t="shared" si="81"/>
        <v>1</v>
      </c>
      <c r="J487" s="631"/>
      <c r="K487" s="21">
        <f t="shared" si="82"/>
        <v>1</v>
      </c>
      <c r="L487" s="631"/>
      <c r="M487" s="21">
        <f t="shared" si="83"/>
        <v>1</v>
      </c>
      <c r="N487" s="631"/>
      <c r="O487" s="21">
        <f t="shared" si="84"/>
        <v>1</v>
      </c>
      <c r="P487" s="2566">
        <f>铂郡面积表!K424</f>
        <v>0</v>
      </c>
      <c r="Q487" s="21">
        <f t="shared" si="85"/>
        <v>1</v>
      </c>
      <c r="R487" s="21">
        <f t="shared" si="86"/>
        <v>0</v>
      </c>
      <c r="S487" s="307">
        <f t="shared" si="78"/>
        <v>0</v>
      </c>
    </row>
    <row r="488" spans="1:19">
      <c r="A488" s="629"/>
      <c r="B488" s="629"/>
      <c r="C488" s="21"/>
      <c r="D488" s="2566"/>
      <c r="E488" s="21">
        <f t="shared" si="79"/>
        <v>1</v>
      </c>
      <c r="F488" s="2566">
        <f>铂郡面积表!Q425</f>
        <v>0</v>
      </c>
      <c r="G488" s="21">
        <f t="shared" si="80"/>
        <v>0</v>
      </c>
      <c r="H488" s="631"/>
      <c r="I488" s="21">
        <f t="shared" si="81"/>
        <v>1</v>
      </c>
      <c r="J488" s="631"/>
      <c r="K488" s="21">
        <f t="shared" si="82"/>
        <v>1</v>
      </c>
      <c r="L488" s="631"/>
      <c r="M488" s="21">
        <f t="shared" si="83"/>
        <v>1</v>
      </c>
      <c r="N488" s="631"/>
      <c r="O488" s="21">
        <f t="shared" si="84"/>
        <v>1</v>
      </c>
      <c r="P488" s="2566">
        <f>铂郡面积表!K425</f>
        <v>0</v>
      </c>
      <c r="Q488" s="21">
        <f t="shared" si="85"/>
        <v>1</v>
      </c>
      <c r="R488" s="21">
        <f t="shared" si="86"/>
        <v>0</v>
      </c>
      <c r="S488" s="307">
        <f t="shared" si="78"/>
        <v>0</v>
      </c>
    </row>
    <row r="489" spans="1:19">
      <c r="A489" s="629"/>
      <c r="B489" s="629"/>
      <c r="C489" s="21"/>
      <c r="D489" s="2566"/>
      <c r="E489" s="21">
        <f t="shared" si="79"/>
        <v>1</v>
      </c>
      <c r="F489" s="2566">
        <f>铂郡面积表!Q426</f>
        <v>0</v>
      </c>
      <c r="G489" s="21">
        <f t="shared" si="80"/>
        <v>0</v>
      </c>
      <c r="H489" s="631"/>
      <c r="I489" s="21">
        <f t="shared" si="81"/>
        <v>1</v>
      </c>
      <c r="J489" s="631"/>
      <c r="K489" s="21">
        <f t="shared" si="82"/>
        <v>1</v>
      </c>
      <c r="L489" s="631"/>
      <c r="M489" s="21">
        <f t="shared" si="83"/>
        <v>1</v>
      </c>
      <c r="N489" s="631"/>
      <c r="O489" s="21">
        <f t="shared" si="84"/>
        <v>1</v>
      </c>
      <c r="P489" s="2566">
        <f>铂郡面积表!K426</f>
        <v>0</v>
      </c>
      <c r="Q489" s="21">
        <f t="shared" si="85"/>
        <v>1</v>
      </c>
      <c r="R489" s="21">
        <f t="shared" si="86"/>
        <v>0</v>
      </c>
      <c r="S489" s="307">
        <f t="shared" si="78"/>
        <v>0</v>
      </c>
    </row>
    <row r="490" spans="1:19">
      <c r="A490" s="629"/>
      <c r="B490" s="629"/>
      <c r="C490" s="21"/>
      <c r="D490" s="2566"/>
      <c r="E490" s="21">
        <f t="shared" si="79"/>
        <v>1</v>
      </c>
      <c r="F490" s="2566">
        <f>铂郡面积表!Q427</f>
        <v>0</v>
      </c>
      <c r="G490" s="21">
        <f t="shared" si="80"/>
        <v>0</v>
      </c>
      <c r="H490" s="631"/>
      <c r="I490" s="21">
        <f t="shared" si="81"/>
        <v>1</v>
      </c>
      <c r="J490" s="631"/>
      <c r="K490" s="21">
        <f t="shared" si="82"/>
        <v>1</v>
      </c>
      <c r="L490" s="631"/>
      <c r="M490" s="21">
        <f t="shared" si="83"/>
        <v>1</v>
      </c>
      <c r="N490" s="631"/>
      <c r="O490" s="21">
        <f t="shared" si="84"/>
        <v>1</v>
      </c>
      <c r="P490" s="2566">
        <f>铂郡面积表!K427</f>
        <v>0</v>
      </c>
      <c r="Q490" s="21">
        <f t="shared" si="85"/>
        <v>1</v>
      </c>
      <c r="R490" s="21">
        <f t="shared" si="86"/>
        <v>0</v>
      </c>
      <c r="S490" s="307">
        <f t="shared" si="78"/>
        <v>0</v>
      </c>
    </row>
    <row r="491" spans="1:19">
      <c r="A491" s="629"/>
      <c r="B491" s="629"/>
      <c r="C491" s="21"/>
      <c r="D491" s="2566"/>
      <c r="E491" s="21">
        <f t="shared" si="79"/>
        <v>1</v>
      </c>
      <c r="F491" s="2566">
        <f>铂郡面积表!Q428</f>
        <v>0</v>
      </c>
      <c r="G491" s="21">
        <f t="shared" si="80"/>
        <v>0</v>
      </c>
      <c r="H491" s="631"/>
      <c r="I491" s="21">
        <f t="shared" si="81"/>
        <v>1</v>
      </c>
      <c r="J491" s="631"/>
      <c r="K491" s="21">
        <f t="shared" si="82"/>
        <v>1</v>
      </c>
      <c r="L491" s="631"/>
      <c r="M491" s="21">
        <f t="shared" si="83"/>
        <v>1</v>
      </c>
      <c r="N491" s="631"/>
      <c r="O491" s="21">
        <f t="shared" si="84"/>
        <v>1</v>
      </c>
      <c r="P491" s="2566">
        <f>铂郡面积表!K428</f>
        <v>0</v>
      </c>
      <c r="Q491" s="21">
        <f t="shared" si="85"/>
        <v>1</v>
      </c>
      <c r="R491" s="21">
        <f t="shared" si="86"/>
        <v>0</v>
      </c>
      <c r="S491" s="307">
        <f t="shared" si="78"/>
        <v>0</v>
      </c>
    </row>
    <row r="492" spans="1:19">
      <c r="A492" s="629"/>
      <c r="B492" s="629"/>
      <c r="C492" s="21"/>
      <c r="D492" s="2566"/>
      <c r="E492" s="21">
        <f t="shared" si="79"/>
        <v>1</v>
      </c>
      <c r="F492" s="2566">
        <f>铂郡面积表!Q429</f>
        <v>0</v>
      </c>
      <c r="G492" s="21">
        <f t="shared" si="80"/>
        <v>0</v>
      </c>
      <c r="H492" s="631"/>
      <c r="I492" s="21">
        <f t="shared" si="81"/>
        <v>1</v>
      </c>
      <c r="J492" s="631"/>
      <c r="K492" s="21">
        <f t="shared" si="82"/>
        <v>1</v>
      </c>
      <c r="L492" s="631"/>
      <c r="M492" s="21">
        <f t="shared" si="83"/>
        <v>1</v>
      </c>
      <c r="N492" s="631"/>
      <c r="O492" s="21">
        <f t="shared" si="84"/>
        <v>1</v>
      </c>
      <c r="P492" s="2566">
        <f>铂郡面积表!K429</f>
        <v>0</v>
      </c>
      <c r="Q492" s="21">
        <f t="shared" si="85"/>
        <v>1</v>
      </c>
      <c r="R492" s="21">
        <f t="shared" si="86"/>
        <v>0</v>
      </c>
      <c r="S492" s="307">
        <f t="shared" si="78"/>
        <v>0</v>
      </c>
    </row>
    <row r="493" spans="1:19">
      <c r="A493" s="629"/>
      <c r="B493" s="629"/>
      <c r="C493" s="21"/>
      <c r="D493" s="2566"/>
      <c r="E493" s="21">
        <f t="shared" si="79"/>
        <v>1</v>
      </c>
      <c r="F493" s="2566">
        <f>铂郡面积表!Q430</f>
        <v>0</v>
      </c>
      <c r="G493" s="21">
        <f t="shared" si="80"/>
        <v>0</v>
      </c>
      <c r="H493" s="631"/>
      <c r="I493" s="21">
        <f t="shared" si="81"/>
        <v>1</v>
      </c>
      <c r="J493" s="631"/>
      <c r="K493" s="21">
        <f t="shared" si="82"/>
        <v>1</v>
      </c>
      <c r="L493" s="631"/>
      <c r="M493" s="21">
        <f t="shared" si="83"/>
        <v>1</v>
      </c>
      <c r="N493" s="631"/>
      <c r="O493" s="21">
        <f t="shared" si="84"/>
        <v>1</v>
      </c>
      <c r="P493" s="2566">
        <f>铂郡面积表!K430</f>
        <v>0</v>
      </c>
      <c r="Q493" s="21">
        <f t="shared" si="85"/>
        <v>1</v>
      </c>
      <c r="R493" s="21">
        <f t="shared" si="86"/>
        <v>0</v>
      </c>
      <c r="S493" s="307">
        <f t="shared" si="78"/>
        <v>0</v>
      </c>
    </row>
    <row r="494" spans="1:19">
      <c r="A494" s="629"/>
      <c r="B494" s="629"/>
      <c r="C494" s="21"/>
      <c r="D494" s="2566"/>
      <c r="E494" s="21">
        <f t="shared" si="79"/>
        <v>1</v>
      </c>
      <c r="F494" s="2566">
        <f>铂郡面积表!Q431</f>
        <v>0</v>
      </c>
      <c r="G494" s="21">
        <f t="shared" si="80"/>
        <v>0</v>
      </c>
      <c r="H494" s="631"/>
      <c r="I494" s="21">
        <f t="shared" si="81"/>
        <v>1</v>
      </c>
      <c r="J494" s="631"/>
      <c r="K494" s="21">
        <f t="shared" si="82"/>
        <v>1</v>
      </c>
      <c r="L494" s="631"/>
      <c r="M494" s="21">
        <f t="shared" si="83"/>
        <v>1</v>
      </c>
      <c r="N494" s="631"/>
      <c r="O494" s="21">
        <f t="shared" si="84"/>
        <v>1</v>
      </c>
      <c r="P494" s="2566">
        <f>铂郡面积表!K431</f>
        <v>0</v>
      </c>
      <c r="Q494" s="21">
        <f t="shared" si="85"/>
        <v>1</v>
      </c>
      <c r="R494" s="21">
        <f t="shared" si="86"/>
        <v>0</v>
      </c>
      <c r="S494" s="307">
        <f t="shared" si="78"/>
        <v>0</v>
      </c>
    </row>
    <row r="495" spans="1:19">
      <c r="A495" s="629"/>
      <c r="B495" s="629"/>
      <c r="C495" s="21"/>
      <c r="D495" s="2566"/>
      <c r="E495" s="21">
        <f t="shared" si="79"/>
        <v>1</v>
      </c>
      <c r="F495" s="2566">
        <f>铂郡面积表!Q432</f>
        <v>0</v>
      </c>
      <c r="G495" s="21">
        <f t="shared" si="80"/>
        <v>0</v>
      </c>
      <c r="H495" s="631"/>
      <c r="I495" s="21">
        <f t="shared" si="81"/>
        <v>1</v>
      </c>
      <c r="J495" s="631"/>
      <c r="K495" s="21">
        <f t="shared" si="82"/>
        <v>1</v>
      </c>
      <c r="L495" s="631"/>
      <c r="M495" s="21">
        <f t="shared" si="83"/>
        <v>1</v>
      </c>
      <c r="N495" s="631"/>
      <c r="O495" s="21">
        <f t="shared" si="84"/>
        <v>1</v>
      </c>
      <c r="P495" s="2566">
        <f>铂郡面积表!K432</f>
        <v>0</v>
      </c>
      <c r="Q495" s="21">
        <f t="shared" si="85"/>
        <v>1</v>
      </c>
      <c r="R495" s="21">
        <f t="shared" si="86"/>
        <v>0</v>
      </c>
      <c r="S495" s="307">
        <f t="shared" si="78"/>
        <v>0</v>
      </c>
    </row>
    <row r="496" spans="1:19">
      <c r="A496" s="629"/>
      <c r="B496" s="629"/>
      <c r="C496" s="21"/>
      <c r="D496" s="2566"/>
      <c r="E496" s="21">
        <f t="shared" si="79"/>
        <v>1</v>
      </c>
      <c r="F496" s="2566">
        <f>铂郡面积表!Q433</f>
        <v>0</v>
      </c>
      <c r="G496" s="21">
        <f t="shared" si="80"/>
        <v>0</v>
      </c>
      <c r="H496" s="631"/>
      <c r="I496" s="21">
        <f t="shared" si="81"/>
        <v>1</v>
      </c>
      <c r="J496" s="631"/>
      <c r="K496" s="21">
        <f t="shared" si="82"/>
        <v>1</v>
      </c>
      <c r="L496" s="631"/>
      <c r="M496" s="21">
        <f t="shared" si="83"/>
        <v>1</v>
      </c>
      <c r="N496" s="631"/>
      <c r="O496" s="21">
        <f t="shared" si="84"/>
        <v>1</v>
      </c>
      <c r="P496" s="2566">
        <f>铂郡面积表!K433</f>
        <v>0</v>
      </c>
      <c r="Q496" s="21">
        <f t="shared" si="85"/>
        <v>1</v>
      </c>
      <c r="R496" s="21">
        <f t="shared" si="86"/>
        <v>0</v>
      </c>
      <c r="S496" s="307">
        <f t="shared" si="78"/>
        <v>0</v>
      </c>
    </row>
    <row r="497" spans="1:19">
      <c r="A497" s="629"/>
      <c r="B497" s="629"/>
      <c r="C497" s="21"/>
      <c r="D497" s="2566"/>
      <c r="E497" s="21">
        <f t="shared" si="79"/>
        <v>1</v>
      </c>
      <c r="F497" s="2566">
        <f>铂郡面积表!Q434</f>
        <v>0</v>
      </c>
      <c r="G497" s="21">
        <f t="shared" si="80"/>
        <v>0</v>
      </c>
      <c r="H497" s="631"/>
      <c r="I497" s="21">
        <f t="shared" si="81"/>
        <v>1</v>
      </c>
      <c r="J497" s="631"/>
      <c r="K497" s="21">
        <f t="shared" si="82"/>
        <v>1</v>
      </c>
      <c r="L497" s="631"/>
      <c r="M497" s="21">
        <f t="shared" si="83"/>
        <v>1</v>
      </c>
      <c r="N497" s="631"/>
      <c r="O497" s="21">
        <f t="shared" si="84"/>
        <v>1</v>
      </c>
      <c r="P497" s="2566">
        <f>铂郡面积表!K434</f>
        <v>0</v>
      </c>
      <c r="Q497" s="21">
        <f t="shared" si="85"/>
        <v>1</v>
      </c>
      <c r="R497" s="21">
        <f t="shared" si="86"/>
        <v>0</v>
      </c>
      <c r="S497" s="307">
        <f t="shared" si="78"/>
        <v>0</v>
      </c>
    </row>
    <row r="498" spans="1:19">
      <c r="A498" s="629"/>
      <c r="B498" s="629"/>
      <c r="C498" s="21"/>
      <c r="D498" s="2566"/>
      <c r="E498" s="21">
        <f t="shared" si="79"/>
        <v>1</v>
      </c>
      <c r="F498" s="2566">
        <f>铂郡面积表!Q435</f>
        <v>0</v>
      </c>
      <c r="G498" s="21">
        <f t="shared" si="80"/>
        <v>0</v>
      </c>
      <c r="H498" s="631"/>
      <c r="I498" s="21">
        <f t="shared" si="81"/>
        <v>1</v>
      </c>
      <c r="J498" s="631"/>
      <c r="K498" s="21">
        <f t="shared" si="82"/>
        <v>1</v>
      </c>
      <c r="L498" s="631"/>
      <c r="M498" s="21">
        <f t="shared" si="83"/>
        <v>1</v>
      </c>
      <c r="N498" s="631"/>
      <c r="O498" s="21">
        <f t="shared" si="84"/>
        <v>1</v>
      </c>
      <c r="P498" s="2566">
        <f>铂郡面积表!K435</f>
        <v>0</v>
      </c>
      <c r="Q498" s="21">
        <f t="shared" si="85"/>
        <v>1</v>
      </c>
      <c r="R498" s="21">
        <f t="shared" si="86"/>
        <v>0</v>
      </c>
      <c r="S498" s="307">
        <f t="shared" ref="S498:S524" si="87">ROUND(R498*B498/10000,0)</f>
        <v>0</v>
      </c>
    </row>
    <row r="499" spans="1:19">
      <c r="A499" s="629"/>
      <c r="B499" s="629"/>
      <c r="C499" s="21"/>
      <c r="D499" s="2566"/>
      <c r="E499" s="21">
        <f t="shared" si="79"/>
        <v>1</v>
      </c>
      <c r="F499" s="2566">
        <f>铂郡面积表!Q436</f>
        <v>0</v>
      </c>
      <c r="G499" s="21">
        <f t="shared" si="80"/>
        <v>0</v>
      </c>
      <c r="H499" s="631"/>
      <c r="I499" s="21">
        <f t="shared" si="81"/>
        <v>1</v>
      </c>
      <c r="J499" s="631"/>
      <c r="K499" s="21">
        <f t="shared" si="82"/>
        <v>1</v>
      </c>
      <c r="L499" s="631"/>
      <c r="M499" s="21">
        <f t="shared" si="83"/>
        <v>1</v>
      </c>
      <c r="N499" s="631"/>
      <c r="O499" s="21">
        <f t="shared" si="84"/>
        <v>1</v>
      </c>
      <c r="P499" s="2566">
        <f>铂郡面积表!K436</f>
        <v>0</v>
      </c>
      <c r="Q499" s="21">
        <f t="shared" si="85"/>
        <v>1</v>
      </c>
      <c r="R499" s="21">
        <f t="shared" si="86"/>
        <v>0</v>
      </c>
      <c r="S499" s="307">
        <f t="shared" si="87"/>
        <v>0</v>
      </c>
    </row>
    <row r="500" spans="1:19">
      <c r="A500" s="629"/>
      <c r="B500" s="629"/>
      <c r="C500" s="21"/>
      <c r="D500" s="2566"/>
      <c r="E500" s="21">
        <f t="shared" si="79"/>
        <v>1</v>
      </c>
      <c r="F500" s="2566">
        <f>铂郡面积表!Q437</f>
        <v>0</v>
      </c>
      <c r="G500" s="21">
        <f t="shared" si="80"/>
        <v>0</v>
      </c>
      <c r="H500" s="631"/>
      <c r="I500" s="21">
        <f t="shared" si="81"/>
        <v>1</v>
      </c>
      <c r="J500" s="631"/>
      <c r="K500" s="21">
        <f t="shared" si="82"/>
        <v>1</v>
      </c>
      <c r="L500" s="631"/>
      <c r="M500" s="21">
        <f t="shared" si="83"/>
        <v>1</v>
      </c>
      <c r="N500" s="631"/>
      <c r="O500" s="21">
        <f t="shared" si="84"/>
        <v>1</v>
      </c>
      <c r="P500" s="2566">
        <f>铂郡面积表!K437</f>
        <v>0</v>
      </c>
      <c r="Q500" s="21">
        <f t="shared" si="85"/>
        <v>1</v>
      </c>
      <c r="R500" s="21">
        <f t="shared" si="86"/>
        <v>0</v>
      </c>
      <c r="S500" s="307">
        <f t="shared" si="87"/>
        <v>0</v>
      </c>
    </row>
    <row r="501" spans="1:19">
      <c r="A501" s="629"/>
      <c r="B501" s="629"/>
      <c r="C501" s="21"/>
      <c r="D501" s="2566"/>
      <c r="E501" s="21">
        <f t="shared" si="79"/>
        <v>1</v>
      </c>
      <c r="F501" s="2566">
        <f>铂郡面积表!Q438</f>
        <v>0</v>
      </c>
      <c r="G501" s="21">
        <f t="shared" si="80"/>
        <v>0</v>
      </c>
      <c r="H501" s="631"/>
      <c r="I501" s="21">
        <f t="shared" si="81"/>
        <v>1</v>
      </c>
      <c r="J501" s="631"/>
      <c r="K501" s="21">
        <f t="shared" si="82"/>
        <v>1</v>
      </c>
      <c r="L501" s="631"/>
      <c r="M501" s="21">
        <f t="shared" si="83"/>
        <v>1</v>
      </c>
      <c r="N501" s="631"/>
      <c r="O501" s="21">
        <f t="shared" si="84"/>
        <v>1</v>
      </c>
      <c r="P501" s="2566">
        <f>铂郡面积表!K438</f>
        <v>0</v>
      </c>
      <c r="Q501" s="21">
        <f t="shared" si="85"/>
        <v>1</v>
      </c>
      <c r="R501" s="21">
        <f t="shared" si="86"/>
        <v>0</v>
      </c>
      <c r="S501" s="307">
        <f t="shared" si="87"/>
        <v>0</v>
      </c>
    </row>
    <row r="502" spans="1:19">
      <c r="A502" s="629"/>
      <c r="B502" s="629"/>
      <c r="C502" s="21"/>
      <c r="D502" s="2566"/>
      <c r="E502" s="21">
        <f t="shared" si="79"/>
        <v>1</v>
      </c>
      <c r="F502" s="2566">
        <f>铂郡面积表!Q439</f>
        <v>0</v>
      </c>
      <c r="G502" s="21">
        <f t="shared" si="80"/>
        <v>0</v>
      </c>
      <c r="H502" s="631"/>
      <c r="I502" s="21">
        <f t="shared" si="81"/>
        <v>1</v>
      </c>
      <c r="J502" s="631"/>
      <c r="K502" s="21">
        <f t="shared" si="82"/>
        <v>1</v>
      </c>
      <c r="L502" s="631"/>
      <c r="M502" s="21">
        <f t="shared" si="83"/>
        <v>1</v>
      </c>
      <c r="N502" s="631"/>
      <c r="O502" s="21">
        <f t="shared" si="84"/>
        <v>1</v>
      </c>
      <c r="P502" s="2566">
        <f>铂郡面积表!K439</f>
        <v>0</v>
      </c>
      <c r="Q502" s="21">
        <f t="shared" si="85"/>
        <v>1</v>
      </c>
      <c r="R502" s="21">
        <f t="shared" si="86"/>
        <v>0</v>
      </c>
      <c r="S502" s="307">
        <f t="shared" si="87"/>
        <v>0</v>
      </c>
    </row>
    <row r="503" spans="1:19">
      <c r="A503" s="629"/>
      <c r="B503" s="629"/>
      <c r="C503" s="21"/>
      <c r="D503" s="2566"/>
      <c r="E503" s="21">
        <f t="shared" si="79"/>
        <v>1</v>
      </c>
      <c r="F503" s="2566">
        <f>铂郡面积表!Q440</f>
        <v>0</v>
      </c>
      <c r="G503" s="21">
        <f t="shared" si="80"/>
        <v>0</v>
      </c>
      <c r="H503" s="631"/>
      <c r="I503" s="21">
        <f t="shared" si="81"/>
        <v>1</v>
      </c>
      <c r="J503" s="631"/>
      <c r="K503" s="21">
        <f t="shared" si="82"/>
        <v>1</v>
      </c>
      <c r="L503" s="631"/>
      <c r="M503" s="21">
        <f t="shared" si="83"/>
        <v>1</v>
      </c>
      <c r="N503" s="631"/>
      <c r="O503" s="21">
        <f t="shared" si="84"/>
        <v>1</v>
      </c>
      <c r="P503" s="2566">
        <f>铂郡面积表!K440</f>
        <v>0</v>
      </c>
      <c r="Q503" s="21">
        <f t="shared" si="85"/>
        <v>1</v>
      </c>
      <c r="R503" s="21">
        <f t="shared" si="86"/>
        <v>0</v>
      </c>
      <c r="S503" s="307">
        <f t="shared" si="87"/>
        <v>0</v>
      </c>
    </row>
    <row r="504" spans="1:19">
      <c r="A504" s="629"/>
      <c r="B504" s="629"/>
      <c r="C504" s="21"/>
      <c r="D504" s="2566"/>
      <c r="E504" s="21">
        <f t="shared" si="79"/>
        <v>1</v>
      </c>
      <c r="F504" s="2566">
        <f>铂郡面积表!Q441</f>
        <v>0</v>
      </c>
      <c r="G504" s="21">
        <f t="shared" si="80"/>
        <v>0</v>
      </c>
      <c r="H504" s="631"/>
      <c r="I504" s="21">
        <f t="shared" si="81"/>
        <v>1</v>
      </c>
      <c r="J504" s="631"/>
      <c r="K504" s="21">
        <f t="shared" si="82"/>
        <v>1</v>
      </c>
      <c r="L504" s="631"/>
      <c r="M504" s="21">
        <f t="shared" si="83"/>
        <v>1</v>
      </c>
      <c r="N504" s="631"/>
      <c r="O504" s="21">
        <f t="shared" si="84"/>
        <v>1</v>
      </c>
      <c r="P504" s="2566">
        <f>铂郡面积表!K441</f>
        <v>0</v>
      </c>
      <c r="Q504" s="21">
        <f t="shared" si="85"/>
        <v>1</v>
      </c>
      <c r="R504" s="21">
        <f t="shared" si="86"/>
        <v>0</v>
      </c>
      <c r="S504" s="307">
        <f t="shared" si="87"/>
        <v>0</v>
      </c>
    </row>
    <row r="505" spans="1:19">
      <c r="A505" s="629"/>
      <c r="B505" s="629"/>
      <c r="C505" s="21"/>
      <c r="D505" s="2566"/>
      <c r="E505" s="21">
        <f t="shared" si="79"/>
        <v>1</v>
      </c>
      <c r="F505" s="2566">
        <f>铂郡面积表!Q442</f>
        <v>0</v>
      </c>
      <c r="G505" s="21">
        <f t="shared" si="80"/>
        <v>0</v>
      </c>
      <c r="H505" s="631"/>
      <c r="I505" s="21">
        <f t="shared" si="81"/>
        <v>1</v>
      </c>
      <c r="J505" s="631"/>
      <c r="K505" s="21">
        <f t="shared" si="82"/>
        <v>1</v>
      </c>
      <c r="L505" s="631"/>
      <c r="M505" s="21">
        <f t="shared" si="83"/>
        <v>1</v>
      </c>
      <c r="N505" s="631"/>
      <c r="O505" s="21">
        <f t="shared" si="84"/>
        <v>1</v>
      </c>
      <c r="P505" s="2566">
        <f>铂郡面积表!K442</f>
        <v>0</v>
      </c>
      <c r="Q505" s="21">
        <f t="shared" si="85"/>
        <v>1</v>
      </c>
      <c r="R505" s="21">
        <f t="shared" si="86"/>
        <v>0</v>
      </c>
      <c r="S505" s="307">
        <f t="shared" si="87"/>
        <v>0</v>
      </c>
    </row>
    <row r="506" spans="1:19">
      <c r="A506" s="629"/>
      <c r="B506" s="629"/>
      <c r="C506" s="21"/>
      <c r="D506" s="2566"/>
      <c r="E506" s="21">
        <f t="shared" si="79"/>
        <v>1</v>
      </c>
      <c r="F506" s="2566">
        <f>铂郡面积表!Q443</f>
        <v>0</v>
      </c>
      <c r="G506" s="21">
        <f t="shared" si="80"/>
        <v>0</v>
      </c>
      <c r="H506" s="631"/>
      <c r="I506" s="21">
        <f t="shared" si="81"/>
        <v>1</v>
      </c>
      <c r="J506" s="631"/>
      <c r="K506" s="21">
        <f t="shared" si="82"/>
        <v>1</v>
      </c>
      <c r="L506" s="631"/>
      <c r="M506" s="21">
        <f t="shared" si="83"/>
        <v>1</v>
      </c>
      <c r="N506" s="631"/>
      <c r="O506" s="21">
        <f t="shared" si="84"/>
        <v>1</v>
      </c>
      <c r="P506" s="2566">
        <f>铂郡面积表!K443</f>
        <v>0</v>
      </c>
      <c r="Q506" s="21">
        <f t="shared" si="85"/>
        <v>1</v>
      </c>
      <c r="R506" s="21">
        <f t="shared" si="86"/>
        <v>0</v>
      </c>
      <c r="S506" s="307">
        <f t="shared" si="87"/>
        <v>0</v>
      </c>
    </row>
    <row r="507" spans="1:19">
      <c r="A507" s="629"/>
      <c r="B507" s="629"/>
      <c r="C507" s="21"/>
      <c r="D507" s="2566"/>
      <c r="E507" s="21">
        <f t="shared" si="79"/>
        <v>1</v>
      </c>
      <c r="F507" s="2566">
        <f>铂郡面积表!Q444</f>
        <v>0</v>
      </c>
      <c r="G507" s="21">
        <f t="shared" si="80"/>
        <v>0</v>
      </c>
      <c r="H507" s="631"/>
      <c r="I507" s="21">
        <f t="shared" si="81"/>
        <v>1</v>
      </c>
      <c r="J507" s="631"/>
      <c r="K507" s="21">
        <f t="shared" si="82"/>
        <v>1</v>
      </c>
      <c r="L507" s="631"/>
      <c r="M507" s="21">
        <f t="shared" si="83"/>
        <v>1</v>
      </c>
      <c r="N507" s="631"/>
      <c r="O507" s="21">
        <f t="shared" si="84"/>
        <v>1</v>
      </c>
      <c r="P507" s="2566">
        <f>铂郡面积表!K444</f>
        <v>0</v>
      </c>
      <c r="Q507" s="21">
        <f t="shared" si="85"/>
        <v>1</v>
      </c>
      <c r="R507" s="21">
        <f t="shared" si="86"/>
        <v>0</v>
      </c>
      <c r="S507" s="307">
        <f t="shared" si="87"/>
        <v>0</v>
      </c>
    </row>
    <row r="508" spans="1:19">
      <c r="A508" s="629"/>
      <c r="B508" s="629"/>
      <c r="C508" s="21"/>
      <c r="D508" s="2566"/>
      <c r="E508" s="21">
        <f t="shared" si="79"/>
        <v>1</v>
      </c>
      <c r="F508" s="2566">
        <f>铂郡面积表!Q445</f>
        <v>0</v>
      </c>
      <c r="G508" s="21">
        <f t="shared" si="80"/>
        <v>0</v>
      </c>
      <c r="H508" s="631"/>
      <c r="I508" s="21">
        <f t="shared" si="81"/>
        <v>1</v>
      </c>
      <c r="J508" s="631"/>
      <c r="K508" s="21">
        <f t="shared" si="82"/>
        <v>1</v>
      </c>
      <c r="L508" s="631"/>
      <c r="M508" s="21">
        <f t="shared" si="83"/>
        <v>1</v>
      </c>
      <c r="N508" s="631"/>
      <c r="O508" s="21">
        <f t="shared" si="84"/>
        <v>1</v>
      </c>
      <c r="P508" s="2566">
        <f>铂郡面积表!K445</f>
        <v>0</v>
      </c>
      <c r="Q508" s="21">
        <f t="shared" si="85"/>
        <v>1</v>
      </c>
      <c r="R508" s="21">
        <f t="shared" si="86"/>
        <v>0</v>
      </c>
      <c r="S508" s="307">
        <f t="shared" si="87"/>
        <v>0</v>
      </c>
    </row>
    <row r="509" spans="1:19">
      <c r="A509" s="629"/>
      <c r="B509" s="629"/>
      <c r="C509" s="21"/>
      <c r="D509" s="2566"/>
      <c r="E509" s="21">
        <f t="shared" si="79"/>
        <v>1</v>
      </c>
      <c r="F509" s="2566">
        <f>铂郡面积表!Q446</f>
        <v>0</v>
      </c>
      <c r="G509" s="21">
        <f t="shared" si="80"/>
        <v>0</v>
      </c>
      <c r="H509" s="631"/>
      <c r="I509" s="21">
        <f t="shared" si="81"/>
        <v>1</v>
      </c>
      <c r="J509" s="631"/>
      <c r="K509" s="21">
        <f t="shared" si="82"/>
        <v>1</v>
      </c>
      <c r="L509" s="631"/>
      <c r="M509" s="21">
        <f t="shared" si="83"/>
        <v>1</v>
      </c>
      <c r="N509" s="631"/>
      <c r="O509" s="21">
        <f t="shared" si="84"/>
        <v>1</v>
      </c>
      <c r="P509" s="2566">
        <f>铂郡面积表!K446</f>
        <v>0</v>
      </c>
      <c r="Q509" s="21">
        <f t="shared" si="85"/>
        <v>1</v>
      </c>
      <c r="R509" s="21">
        <f t="shared" si="86"/>
        <v>0</v>
      </c>
      <c r="S509" s="307">
        <f t="shared" si="87"/>
        <v>0</v>
      </c>
    </row>
    <row r="510" spans="1:19">
      <c r="A510" s="629"/>
      <c r="B510" s="629"/>
      <c r="C510" s="21"/>
      <c r="D510" s="2566"/>
      <c r="E510" s="21">
        <f t="shared" si="79"/>
        <v>1</v>
      </c>
      <c r="F510" s="2566">
        <f>铂郡面积表!Q447</f>
        <v>0</v>
      </c>
      <c r="G510" s="21">
        <f t="shared" si="80"/>
        <v>0</v>
      </c>
      <c r="H510" s="631"/>
      <c r="I510" s="21">
        <f t="shared" si="81"/>
        <v>1</v>
      </c>
      <c r="J510" s="631"/>
      <c r="K510" s="21">
        <f t="shared" si="82"/>
        <v>1</v>
      </c>
      <c r="L510" s="631"/>
      <c r="M510" s="21">
        <f t="shared" si="83"/>
        <v>1</v>
      </c>
      <c r="N510" s="631"/>
      <c r="O510" s="21">
        <f t="shared" si="84"/>
        <v>1</v>
      </c>
      <c r="P510" s="2566">
        <f>铂郡面积表!K447</f>
        <v>0</v>
      </c>
      <c r="Q510" s="21">
        <f t="shared" si="85"/>
        <v>1</v>
      </c>
      <c r="R510" s="21">
        <f t="shared" si="86"/>
        <v>0</v>
      </c>
      <c r="S510" s="307">
        <f t="shared" si="87"/>
        <v>0</v>
      </c>
    </row>
    <row r="511" spans="1:19">
      <c r="A511" s="629"/>
      <c r="B511" s="629"/>
      <c r="C511" s="21"/>
      <c r="D511" s="2566"/>
      <c r="E511" s="21">
        <f t="shared" si="79"/>
        <v>1</v>
      </c>
      <c r="F511" s="2566">
        <f>铂郡面积表!Q448</f>
        <v>0</v>
      </c>
      <c r="G511" s="21">
        <f t="shared" si="80"/>
        <v>0</v>
      </c>
      <c r="H511" s="631"/>
      <c r="I511" s="21">
        <f t="shared" si="81"/>
        <v>1</v>
      </c>
      <c r="J511" s="631"/>
      <c r="K511" s="21">
        <f t="shared" si="82"/>
        <v>1</v>
      </c>
      <c r="L511" s="631"/>
      <c r="M511" s="21">
        <f t="shared" si="83"/>
        <v>1</v>
      </c>
      <c r="N511" s="631"/>
      <c r="O511" s="21">
        <f t="shared" si="84"/>
        <v>1</v>
      </c>
      <c r="P511" s="2566">
        <f>铂郡面积表!K448</f>
        <v>0</v>
      </c>
      <c r="Q511" s="21">
        <f t="shared" si="85"/>
        <v>1</v>
      </c>
      <c r="R511" s="21">
        <f t="shared" si="86"/>
        <v>0</v>
      </c>
      <c r="S511" s="307">
        <f t="shared" si="87"/>
        <v>0</v>
      </c>
    </row>
    <row r="512" spans="1:19">
      <c r="A512" s="629"/>
      <c r="B512" s="629"/>
      <c r="C512" s="21"/>
      <c r="D512" s="2566"/>
      <c r="E512" s="21">
        <f t="shared" si="79"/>
        <v>1</v>
      </c>
      <c r="F512" s="2566">
        <f>铂郡面积表!Q449</f>
        <v>0</v>
      </c>
      <c r="G512" s="21">
        <f t="shared" si="80"/>
        <v>0</v>
      </c>
      <c r="H512" s="631"/>
      <c r="I512" s="21">
        <f t="shared" si="81"/>
        <v>1</v>
      </c>
      <c r="J512" s="631"/>
      <c r="K512" s="21">
        <f t="shared" si="82"/>
        <v>1</v>
      </c>
      <c r="L512" s="631"/>
      <c r="M512" s="21">
        <f t="shared" si="83"/>
        <v>1</v>
      </c>
      <c r="N512" s="631"/>
      <c r="O512" s="21">
        <f t="shared" si="84"/>
        <v>1</v>
      </c>
      <c r="P512" s="2566">
        <f>铂郡面积表!K449</f>
        <v>0</v>
      </c>
      <c r="Q512" s="21">
        <f t="shared" si="85"/>
        <v>1</v>
      </c>
      <c r="R512" s="21">
        <f t="shared" si="86"/>
        <v>0</v>
      </c>
      <c r="S512" s="307">
        <f t="shared" si="87"/>
        <v>0</v>
      </c>
    </row>
    <row r="513" spans="1:19">
      <c r="A513" s="629"/>
      <c r="B513" s="629"/>
      <c r="C513" s="21"/>
      <c r="D513" s="2566"/>
      <c r="E513" s="21">
        <f t="shared" si="79"/>
        <v>1</v>
      </c>
      <c r="F513" s="2566">
        <f>铂郡面积表!Q450</f>
        <v>0</v>
      </c>
      <c r="G513" s="21">
        <f t="shared" si="80"/>
        <v>0</v>
      </c>
      <c r="H513" s="631"/>
      <c r="I513" s="21">
        <f t="shared" si="81"/>
        <v>1</v>
      </c>
      <c r="J513" s="631"/>
      <c r="K513" s="21">
        <f t="shared" si="82"/>
        <v>1</v>
      </c>
      <c r="L513" s="631"/>
      <c r="M513" s="21">
        <f t="shared" si="83"/>
        <v>1</v>
      </c>
      <c r="N513" s="631"/>
      <c r="O513" s="21">
        <f t="shared" si="84"/>
        <v>1</v>
      </c>
      <c r="P513" s="2566">
        <f>铂郡面积表!K450</f>
        <v>0</v>
      </c>
      <c r="Q513" s="21">
        <f t="shared" si="85"/>
        <v>1</v>
      </c>
      <c r="R513" s="21">
        <f t="shared" si="86"/>
        <v>0</v>
      </c>
      <c r="S513" s="307">
        <f t="shared" si="87"/>
        <v>0</v>
      </c>
    </row>
    <row r="514" spans="1:19">
      <c r="A514" s="629"/>
      <c r="B514" s="629"/>
      <c r="C514" s="21"/>
      <c r="D514" s="2566"/>
      <c r="E514" s="21">
        <f t="shared" si="79"/>
        <v>1</v>
      </c>
      <c r="F514" s="2566">
        <f>铂郡面积表!Q451</f>
        <v>0</v>
      </c>
      <c r="G514" s="21">
        <f t="shared" si="80"/>
        <v>0</v>
      </c>
      <c r="H514" s="631"/>
      <c r="I514" s="21">
        <f t="shared" si="81"/>
        <v>1</v>
      </c>
      <c r="J514" s="631"/>
      <c r="K514" s="21">
        <f t="shared" si="82"/>
        <v>1</v>
      </c>
      <c r="L514" s="631"/>
      <c r="M514" s="21">
        <f t="shared" si="83"/>
        <v>1</v>
      </c>
      <c r="N514" s="631"/>
      <c r="O514" s="21">
        <f t="shared" si="84"/>
        <v>1</v>
      </c>
      <c r="P514" s="2566">
        <f>铂郡面积表!K451</f>
        <v>0</v>
      </c>
      <c r="Q514" s="21">
        <f t="shared" si="85"/>
        <v>1</v>
      </c>
      <c r="R514" s="21">
        <f t="shared" si="86"/>
        <v>0</v>
      </c>
      <c r="S514" s="307">
        <f t="shared" si="87"/>
        <v>0</v>
      </c>
    </row>
    <row r="515" spans="1:19">
      <c r="A515" s="629"/>
      <c r="B515" s="629"/>
      <c r="C515" s="21"/>
      <c r="D515" s="2566"/>
      <c r="E515" s="21">
        <f t="shared" si="79"/>
        <v>1</v>
      </c>
      <c r="F515" s="2566">
        <f>铂郡面积表!Q452</f>
        <v>0</v>
      </c>
      <c r="G515" s="21">
        <f t="shared" si="80"/>
        <v>0</v>
      </c>
      <c r="H515" s="631"/>
      <c r="I515" s="21">
        <f t="shared" si="81"/>
        <v>1</v>
      </c>
      <c r="J515" s="631"/>
      <c r="K515" s="21">
        <f t="shared" si="82"/>
        <v>1</v>
      </c>
      <c r="L515" s="631"/>
      <c r="M515" s="21">
        <f t="shared" si="83"/>
        <v>1</v>
      </c>
      <c r="N515" s="631"/>
      <c r="O515" s="21">
        <f t="shared" si="84"/>
        <v>1</v>
      </c>
      <c r="P515" s="2566">
        <f>铂郡面积表!K452</f>
        <v>0</v>
      </c>
      <c r="Q515" s="21">
        <f t="shared" si="85"/>
        <v>1</v>
      </c>
      <c r="R515" s="21">
        <f t="shared" si="86"/>
        <v>0</v>
      </c>
      <c r="S515" s="307">
        <f t="shared" si="87"/>
        <v>0</v>
      </c>
    </row>
    <row r="516" spans="1:19">
      <c r="A516" s="629"/>
      <c r="B516" s="629"/>
      <c r="C516" s="21"/>
      <c r="D516" s="2566"/>
      <c r="E516" s="21">
        <f t="shared" si="79"/>
        <v>1</v>
      </c>
      <c r="F516" s="2566">
        <f>铂郡面积表!Q453</f>
        <v>0</v>
      </c>
      <c r="G516" s="21">
        <f t="shared" si="80"/>
        <v>0</v>
      </c>
      <c r="H516" s="631"/>
      <c r="I516" s="21">
        <f t="shared" si="81"/>
        <v>1</v>
      </c>
      <c r="J516" s="631"/>
      <c r="K516" s="21">
        <f t="shared" si="82"/>
        <v>1</v>
      </c>
      <c r="L516" s="631"/>
      <c r="M516" s="21">
        <f t="shared" si="83"/>
        <v>1</v>
      </c>
      <c r="N516" s="631"/>
      <c r="O516" s="21">
        <f t="shared" si="84"/>
        <v>1</v>
      </c>
      <c r="P516" s="2566">
        <f>铂郡面积表!K453</f>
        <v>0</v>
      </c>
      <c r="Q516" s="21">
        <f t="shared" si="85"/>
        <v>1</v>
      </c>
      <c r="R516" s="21">
        <f t="shared" si="86"/>
        <v>0</v>
      </c>
      <c r="S516" s="307">
        <f t="shared" si="87"/>
        <v>0</v>
      </c>
    </row>
    <row r="517" spans="1:19">
      <c r="A517" s="629"/>
      <c r="B517" s="629"/>
      <c r="C517" s="21"/>
      <c r="D517" s="2566"/>
      <c r="E517" s="21">
        <f t="shared" si="79"/>
        <v>1</v>
      </c>
      <c r="F517" s="2566">
        <f>铂郡面积表!Q454</f>
        <v>0</v>
      </c>
      <c r="G517" s="21">
        <f t="shared" si="80"/>
        <v>0</v>
      </c>
      <c r="H517" s="631"/>
      <c r="I517" s="21">
        <f t="shared" si="81"/>
        <v>1</v>
      </c>
      <c r="J517" s="631"/>
      <c r="K517" s="21">
        <f t="shared" si="82"/>
        <v>1</v>
      </c>
      <c r="L517" s="631"/>
      <c r="M517" s="21">
        <f t="shared" si="83"/>
        <v>1</v>
      </c>
      <c r="N517" s="631"/>
      <c r="O517" s="21">
        <f t="shared" si="84"/>
        <v>1</v>
      </c>
      <c r="P517" s="2566">
        <f>铂郡面积表!K454</f>
        <v>0</v>
      </c>
      <c r="Q517" s="21">
        <f t="shared" si="85"/>
        <v>1</v>
      </c>
      <c r="R517" s="21">
        <f t="shared" si="86"/>
        <v>0</v>
      </c>
      <c r="S517" s="307">
        <f t="shared" si="87"/>
        <v>0</v>
      </c>
    </row>
    <row r="518" spans="1:19">
      <c r="A518" s="629"/>
      <c r="B518" s="629"/>
      <c r="C518" s="21"/>
      <c r="D518" s="2566"/>
      <c r="E518" s="21">
        <f t="shared" si="79"/>
        <v>1</v>
      </c>
      <c r="F518" s="2566">
        <f>铂郡面积表!Q455</f>
        <v>0</v>
      </c>
      <c r="G518" s="21">
        <f t="shared" si="80"/>
        <v>0</v>
      </c>
      <c r="H518" s="631"/>
      <c r="I518" s="21">
        <f t="shared" si="81"/>
        <v>1</v>
      </c>
      <c r="J518" s="631"/>
      <c r="K518" s="21">
        <f t="shared" si="82"/>
        <v>1</v>
      </c>
      <c r="L518" s="631"/>
      <c r="M518" s="21">
        <f t="shared" si="83"/>
        <v>1</v>
      </c>
      <c r="N518" s="631"/>
      <c r="O518" s="21">
        <f t="shared" si="84"/>
        <v>1</v>
      </c>
      <c r="P518" s="2566">
        <f>铂郡面积表!K455</f>
        <v>0</v>
      </c>
      <c r="Q518" s="21">
        <f t="shared" si="85"/>
        <v>1</v>
      </c>
      <c r="R518" s="21">
        <f t="shared" si="86"/>
        <v>0</v>
      </c>
      <c r="S518" s="307">
        <f t="shared" si="87"/>
        <v>0</v>
      </c>
    </row>
    <row r="519" spans="1:19">
      <c r="A519" s="629"/>
      <c r="B519" s="629"/>
      <c r="C519" s="21"/>
      <c r="D519" s="2566"/>
      <c r="E519" s="21">
        <f t="shared" si="79"/>
        <v>1</v>
      </c>
      <c r="F519" s="2566">
        <f>铂郡面积表!Q456</f>
        <v>0</v>
      </c>
      <c r="G519" s="21">
        <f t="shared" si="80"/>
        <v>0</v>
      </c>
      <c r="H519" s="631"/>
      <c r="I519" s="21">
        <f t="shared" si="81"/>
        <v>1</v>
      </c>
      <c r="J519" s="631"/>
      <c r="K519" s="21">
        <f t="shared" si="82"/>
        <v>1</v>
      </c>
      <c r="L519" s="631"/>
      <c r="M519" s="21">
        <f t="shared" si="83"/>
        <v>1</v>
      </c>
      <c r="N519" s="631"/>
      <c r="O519" s="21">
        <f t="shared" si="84"/>
        <v>1</v>
      </c>
      <c r="P519" s="2566">
        <f>铂郡面积表!K456</f>
        <v>0</v>
      </c>
      <c r="Q519" s="21">
        <f t="shared" si="85"/>
        <v>1</v>
      </c>
      <c r="R519" s="21">
        <f t="shared" si="86"/>
        <v>0</v>
      </c>
      <c r="S519" s="307">
        <f t="shared" si="87"/>
        <v>0</v>
      </c>
    </row>
    <row r="520" spans="1:19">
      <c r="A520" s="629"/>
      <c r="B520" s="629"/>
      <c r="C520" s="21"/>
      <c r="D520" s="2566"/>
      <c r="E520" s="21">
        <f t="shared" si="79"/>
        <v>1</v>
      </c>
      <c r="F520" s="2566">
        <f>铂郡面积表!Q457</f>
        <v>0</v>
      </c>
      <c r="G520" s="21">
        <f t="shared" si="80"/>
        <v>0</v>
      </c>
      <c r="H520" s="631"/>
      <c r="I520" s="21">
        <f t="shared" si="81"/>
        <v>1</v>
      </c>
      <c r="J520" s="631"/>
      <c r="K520" s="21">
        <f t="shared" si="82"/>
        <v>1</v>
      </c>
      <c r="L520" s="631"/>
      <c r="M520" s="21">
        <f t="shared" si="83"/>
        <v>1</v>
      </c>
      <c r="N520" s="631"/>
      <c r="O520" s="21">
        <f t="shared" si="84"/>
        <v>1</v>
      </c>
      <c r="P520" s="2566">
        <f>铂郡面积表!K457</f>
        <v>0</v>
      </c>
      <c r="Q520" s="21">
        <f t="shared" si="85"/>
        <v>1</v>
      </c>
      <c r="R520" s="21">
        <f t="shared" si="86"/>
        <v>0</v>
      </c>
      <c r="S520" s="307">
        <f t="shared" si="87"/>
        <v>0</v>
      </c>
    </row>
    <row r="521" spans="1:19">
      <c r="A521" s="629"/>
      <c r="B521" s="629"/>
      <c r="C521" s="21"/>
      <c r="D521" s="2566"/>
      <c r="E521" s="21">
        <f t="shared" si="79"/>
        <v>1</v>
      </c>
      <c r="F521" s="2566">
        <f>铂郡面积表!Q458</f>
        <v>0</v>
      </c>
      <c r="G521" s="21">
        <f t="shared" si="80"/>
        <v>0</v>
      </c>
      <c r="H521" s="631"/>
      <c r="I521" s="21">
        <f t="shared" si="81"/>
        <v>1</v>
      </c>
      <c r="J521" s="631"/>
      <c r="K521" s="21">
        <f t="shared" si="82"/>
        <v>1</v>
      </c>
      <c r="L521" s="631"/>
      <c r="M521" s="21">
        <f t="shared" si="83"/>
        <v>1</v>
      </c>
      <c r="N521" s="631"/>
      <c r="O521" s="21">
        <f t="shared" si="84"/>
        <v>1</v>
      </c>
      <c r="P521" s="2566">
        <f>铂郡面积表!K458</f>
        <v>0</v>
      </c>
      <c r="Q521" s="21">
        <f t="shared" si="85"/>
        <v>1</v>
      </c>
      <c r="R521" s="21">
        <f t="shared" si="86"/>
        <v>0</v>
      </c>
      <c r="S521" s="307">
        <f t="shared" si="87"/>
        <v>0</v>
      </c>
    </row>
    <row r="522" spans="1:19">
      <c r="A522" s="629"/>
      <c r="B522" s="629"/>
      <c r="C522" s="21"/>
      <c r="D522" s="2566"/>
      <c r="E522" s="21">
        <f t="shared" si="79"/>
        <v>1</v>
      </c>
      <c r="F522" s="2566">
        <f>铂郡面积表!Q459</f>
        <v>0</v>
      </c>
      <c r="G522" s="21">
        <f t="shared" si="80"/>
        <v>0</v>
      </c>
      <c r="H522" s="631"/>
      <c r="I522" s="21">
        <f t="shared" si="81"/>
        <v>1</v>
      </c>
      <c r="J522" s="631"/>
      <c r="K522" s="21">
        <f t="shared" si="82"/>
        <v>1</v>
      </c>
      <c r="L522" s="631"/>
      <c r="M522" s="21">
        <f t="shared" si="83"/>
        <v>1</v>
      </c>
      <c r="N522" s="631"/>
      <c r="O522" s="21">
        <f t="shared" si="84"/>
        <v>1</v>
      </c>
      <c r="P522" s="2566">
        <f>铂郡面积表!K459</f>
        <v>0</v>
      </c>
      <c r="Q522" s="21">
        <f t="shared" si="85"/>
        <v>1</v>
      </c>
      <c r="R522" s="21">
        <f t="shared" si="86"/>
        <v>0</v>
      </c>
      <c r="S522" s="307">
        <f t="shared" si="87"/>
        <v>0</v>
      </c>
    </row>
    <row r="523" spans="1:19">
      <c r="A523" s="629"/>
      <c r="B523" s="629"/>
      <c r="C523" s="21"/>
      <c r="D523" s="2566"/>
      <c r="E523" s="21">
        <f t="shared" si="79"/>
        <v>1</v>
      </c>
      <c r="F523" s="2566">
        <f>铂郡面积表!Q460</f>
        <v>0</v>
      </c>
      <c r="G523" s="21">
        <f t="shared" si="80"/>
        <v>0</v>
      </c>
      <c r="H523" s="631"/>
      <c r="I523" s="21">
        <f t="shared" si="81"/>
        <v>1</v>
      </c>
      <c r="J523" s="631"/>
      <c r="K523" s="21">
        <f t="shared" si="82"/>
        <v>1</v>
      </c>
      <c r="L523" s="631"/>
      <c r="M523" s="21">
        <f t="shared" si="83"/>
        <v>1</v>
      </c>
      <c r="N523" s="631"/>
      <c r="O523" s="21">
        <f t="shared" si="84"/>
        <v>1</v>
      </c>
      <c r="P523" s="2566">
        <f>铂郡面积表!K460</f>
        <v>0</v>
      </c>
      <c r="Q523" s="21">
        <f t="shared" si="85"/>
        <v>1</v>
      </c>
      <c r="R523" s="21">
        <f t="shared" si="86"/>
        <v>0</v>
      </c>
      <c r="S523" s="307">
        <f t="shared" si="87"/>
        <v>0</v>
      </c>
    </row>
    <row r="524" spans="1:19">
      <c r="A524" s="629"/>
      <c r="B524" s="629"/>
      <c r="C524" s="21"/>
      <c r="D524" s="2566"/>
      <c r="E524" s="21">
        <f t="shared" si="79"/>
        <v>1</v>
      </c>
      <c r="F524" s="2566">
        <f>铂郡面积表!Q461</f>
        <v>0</v>
      </c>
      <c r="G524" s="21">
        <f t="shared" si="80"/>
        <v>0</v>
      </c>
      <c r="H524" s="631"/>
      <c r="I524" s="21">
        <f t="shared" si="81"/>
        <v>1</v>
      </c>
      <c r="J524" s="631"/>
      <c r="K524" s="21">
        <f t="shared" si="82"/>
        <v>1</v>
      </c>
      <c r="L524" s="631"/>
      <c r="M524" s="21">
        <f t="shared" si="83"/>
        <v>1</v>
      </c>
      <c r="N524" s="631"/>
      <c r="O524" s="21">
        <f t="shared" si="84"/>
        <v>1</v>
      </c>
      <c r="P524" s="2566">
        <f>铂郡面积表!K461</f>
        <v>0</v>
      </c>
      <c r="Q524" s="21">
        <f t="shared" si="85"/>
        <v>1</v>
      </c>
      <c r="R524" s="21">
        <f t="shared" si="86"/>
        <v>0</v>
      </c>
      <c r="S524" s="307">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556"/>
    <col min="3" max="4" width="12.625" style="1556" customWidth="1"/>
    <col min="5" max="9" width="12.625" style="1556"/>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9"/>
      <c r="H1" s="1616" t="str">
        <f>IF(G1="现房","——","估价对象范围")</f>
        <v>估价对象范围</v>
      </c>
      <c r="I1" s="1617"/>
    </row>
    <row r="2" spans="1:12" ht="21.75" customHeight="1" thickBot="1">
      <c r="A2" s="3457" t="str">
        <f>项目基本情况!S2</f>
        <v>北京市房地产</v>
      </c>
      <c r="B2" s="3458"/>
      <c r="C2" s="3458"/>
      <c r="D2" s="3458"/>
      <c r="E2" s="3458"/>
      <c r="F2" s="3458"/>
      <c r="G2" s="3458"/>
      <c r="H2" s="3458"/>
      <c r="I2" s="3459"/>
    </row>
    <row r="3" spans="1:12" ht="12.75">
      <c r="A3" s="3461" t="s">
        <v>1264</v>
      </c>
      <c r="B3" s="3462"/>
      <c r="C3" s="3462"/>
      <c r="D3" s="3462"/>
      <c r="E3" s="3462"/>
      <c r="F3" s="3462"/>
      <c r="G3" s="3462"/>
      <c r="H3" s="3462"/>
      <c r="I3" s="3462"/>
    </row>
    <row r="4" spans="1:12" ht="14.25">
      <c r="A4" s="1619" t="s">
        <v>1265</v>
      </c>
      <c r="B4" s="1620" t="s">
        <v>1266</v>
      </c>
      <c r="C4" s="1621"/>
      <c r="D4" s="1621"/>
      <c r="E4" s="3466" t="s">
        <v>1267</v>
      </c>
      <c r="F4" s="3467"/>
      <c r="G4" s="3467"/>
      <c r="H4" s="3467"/>
      <c r="I4" s="3468"/>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5" t="s">
        <v>1268</v>
      </c>
      <c r="B5" s="3460">
        <v>25</v>
      </c>
      <c r="C5" s="3463"/>
      <c r="D5" s="3451"/>
      <c r="E5" s="122" t="s">
        <v>1269</v>
      </c>
      <c r="F5" s="1622"/>
      <c r="G5" s="1622"/>
      <c r="H5" s="1622"/>
      <c r="I5" s="1277"/>
    </row>
    <row r="6" spans="1:12" ht="12.75">
      <c r="A6" s="3405"/>
      <c r="B6" s="3460"/>
      <c r="C6" s="3465"/>
      <c r="D6" s="3451"/>
      <c r="E6" s="122" t="s">
        <v>1270</v>
      </c>
      <c r="F6" s="1622"/>
      <c r="G6" s="1622"/>
      <c r="H6" s="1622"/>
      <c r="I6" s="1277"/>
    </row>
    <row r="7" spans="1:12" ht="12.75">
      <c r="A7" s="3405"/>
      <c r="B7" s="3460"/>
      <c r="C7" s="3464"/>
      <c r="D7" s="3451"/>
      <c r="E7" s="122" t="s">
        <v>1271</v>
      </c>
      <c r="F7" s="1622"/>
      <c r="G7" s="1622"/>
      <c r="H7" s="1622"/>
      <c r="I7" s="1277"/>
    </row>
    <row r="8" spans="1:12" ht="12.75">
      <c r="A8" s="3405" t="s">
        <v>1272</v>
      </c>
      <c r="B8" s="3460">
        <v>15</v>
      </c>
      <c r="C8" s="3463"/>
      <c r="D8" s="3451"/>
      <c r="E8" s="122" t="s">
        <v>1273</v>
      </c>
      <c r="F8" s="1622"/>
      <c r="G8" s="1622"/>
      <c r="H8" s="1622"/>
      <c r="I8" s="1277"/>
    </row>
    <row r="9" spans="1:12" ht="12.75">
      <c r="A9" s="3405"/>
      <c r="B9" s="3460"/>
      <c r="C9" s="3464"/>
      <c r="D9" s="3451"/>
      <c r="E9" s="122" t="s">
        <v>1274</v>
      </c>
      <c r="F9" s="1622"/>
      <c r="G9" s="1622"/>
      <c r="H9" s="1622"/>
      <c r="I9" s="1277"/>
    </row>
    <row r="10" spans="1:12" ht="12.75">
      <c r="A10" s="3405" t="s">
        <v>1275</v>
      </c>
      <c r="B10" s="3460">
        <v>15</v>
      </c>
      <c r="C10" s="3463"/>
      <c r="D10" s="3451"/>
      <c r="E10" s="122" t="s">
        <v>1276</v>
      </c>
      <c r="F10" s="1622"/>
      <c r="G10" s="1622"/>
      <c r="H10" s="1622"/>
      <c r="I10" s="1277"/>
    </row>
    <row r="11" spans="1:12" ht="12.75">
      <c r="A11" s="3405"/>
      <c r="B11" s="3460"/>
      <c r="C11" s="3464"/>
      <c r="D11" s="3451"/>
      <c r="E11" s="122" t="s">
        <v>1277</v>
      </c>
      <c r="F11" s="1622"/>
      <c r="G11" s="1622"/>
      <c r="H11" s="1622"/>
      <c r="I11" s="1277"/>
    </row>
    <row r="12" spans="1:12" ht="12.75">
      <c r="A12" s="3405" t="s">
        <v>1278</v>
      </c>
      <c r="B12" s="3460">
        <v>15</v>
      </c>
      <c r="C12" s="3463"/>
      <c r="D12" s="3451"/>
      <c r="E12" s="122" t="s">
        <v>1279</v>
      </c>
      <c r="F12" s="1622"/>
      <c r="G12" s="1622"/>
      <c r="H12" s="1622"/>
      <c r="I12" s="1277"/>
    </row>
    <row r="13" spans="1:12" ht="12.75">
      <c r="A13" s="3405"/>
      <c r="B13" s="3460"/>
      <c r="C13" s="3464"/>
      <c r="D13" s="3451"/>
      <c r="E13" s="122" t="s">
        <v>1280</v>
      </c>
      <c r="F13" s="1622"/>
      <c r="G13" s="1622"/>
      <c r="H13" s="1622"/>
      <c r="I13" s="1277"/>
    </row>
    <row r="14" spans="1:12" ht="12.75">
      <c r="A14" s="3405" t="s">
        <v>1281</v>
      </c>
      <c r="B14" s="3460">
        <v>30</v>
      </c>
      <c r="C14" s="3463"/>
      <c r="D14" s="3451"/>
      <c r="E14" s="122" t="s">
        <v>1282</v>
      </c>
      <c r="F14" s="1622"/>
      <c r="G14" s="1622"/>
      <c r="H14" s="1622"/>
      <c r="I14" s="1277"/>
    </row>
    <row r="15" spans="1:12" ht="12.75">
      <c r="A15" s="3405"/>
      <c r="B15" s="3460"/>
      <c r="C15" s="3465"/>
      <c r="D15" s="3451"/>
      <c r="E15" s="122" t="s">
        <v>1283</v>
      </c>
      <c r="F15" s="1622"/>
      <c r="G15" s="1622"/>
      <c r="H15" s="1622"/>
      <c r="I15" s="1277"/>
    </row>
    <row r="16" spans="1:12" ht="12.75">
      <c r="A16" s="3405"/>
      <c r="B16" s="3460"/>
      <c r="C16" s="3464"/>
      <c r="D16" s="3451"/>
      <c r="E16" s="122" t="s">
        <v>1284</v>
      </c>
      <c r="F16" s="1622"/>
      <c r="G16" s="1622"/>
      <c r="H16" s="1622"/>
      <c r="I16" s="1277"/>
    </row>
    <row r="17" spans="1:36" ht="15">
      <c r="A17" s="1623" t="s">
        <v>1285</v>
      </c>
      <c r="B17" s="53"/>
      <c r="C17" s="123">
        <f>SUM(C5:C16)</f>
        <v>0</v>
      </c>
      <c r="D17" s="123">
        <f>SUM(D5:D16)</f>
        <v>0</v>
      </c>
      <c r="E17" s="120"/>
      <c r="F17" s="120"/>
      <c r="G17" s="120"/>
      <c r="H17" s="120"/>
      <c r="I17" s="120"/>
      <c r="K17" s="293"/>
      <c r="L17" s="293" t="s">
        <v>1286</v>
      </c>
      <c r="M17" s="293" t="s">
        <v>1287</v>
      </c>
    </row>
    <row r="18" spans="1:36" ht="31.9" customHeight="1" thickBot="1">
      <c r="A18" s="1624" t="s">
        <v>1288</v>
      </c>
      <c r="B18" s="1537"/>
      <c r="C18" s="124" t="e">
        <f>ROUND(C17/SUM(C17:D17),2)</f>
        <v>#DIV/0!</v>
      </c>
      <c r="D18" s="124" t="e">
        <f>1-C18</f>
        <v>#DIV/0!</v>
      </c>
      <c r="E18" s="3482" t="s">
        <v>2128</v>
      </c>
      <c r="F18" s="3483"/>
      <c r="G18" s="3483"/>
      <c r="H18" s="3483"/>
      <c r="I18" s="3483"/>
      <c r="K18" s="293" t="s">
        <v>1289</v>
      </c>
      <c r="L18" s="293">
        <f>IF(C1="",'数据-汇总表'!E3,SUMIF(项目类型,C1,'数据-汇总表'!E17:E26)+SUMIF(项目类型,C1,'数据-汇总表'!I17:I26))</f>
        <v>1279.97</v>
      </c>
      <c r="M18" s="293">
        <f>IF(C1="",'数据-汇总表'!E3,SUMIF(项目类型,C1,'数据-汇总表'!E17:E26))</f>
        <v>1279.97</v>
      </c>
    </row>
    <row r="19" spans="1:36" ht="15">
      <c r="A19" s="1625" t="s">
        <v>1290</v>
      </c>
      <c r="B19" s="1626" t="s">
        <v>1291</v>
      </c>
      <c r="C19" s="125" t="e">
        <f ca="1">SUMIF(INDIRECT("'"&amp;C4&amp;"'"&amp;"!A:A"),结果表!B19,INDIRECT("'"&amp;C4&amp;"'"&amp;"!B:B"))</f>
        <v>#REF!</v>
      </c>
      <c r="D19" s="126" t="e">
        <f ca="1">SUMIF(INDIRECT("'"&amp;D4&amp;"'"&amp;"!A:A"),结果表!B19,INDIRECT("'"&amp;D4&amp;"'"&amp;"!B:B"))</f>
        <v>#REF!</v>
      </c>
      <c r="E19" s="1625" t="s">
        <v>1292</v>
      </c>
      <c r="F19" s="1626" t="s">
        <v>1291</v>
      </c>
      <c r="G19" s="127" t="e">
        <f ca="1">ROUND(C19*$C$18+D19*$D$18,0)</f>
        <v>#REF!</v>
      </c>
      <c r="H19" s="1627" t="s">
        <v>1293</v>
      </c>
      <c r="I19" s="120"/>
      <c r="K19" s="293" t="s">
        <v>1294</v>
      </c>
      <c r="L19" s="293" t="e">
        <f>IF(C1="",'数据-汇总表'!D3,SUMIF(项目类型,C1,'数据-汇总表'!D17:D26)+SUMIF(项目类型,C1,'数据-汇总表'!H17:H27))</f>
        <v>#REF!</v>
      </c>
      <c r="M19" s="293" t="e">
        <f>IF(C1="",'数据-汇总表'!D3,SUMIF(项目类型,C1,'数据-汇总表'!D17:D26))</f>
        <v>#REF!</v>
      </c>
    </row>
    <row r="20" spans="1:36" ht="15">
      <c r="A20" s="1628"/>
      <c r="B20" s="43" t="s">
        <v>1295</v>
      </c>
      <c r="C20" s="128" t="e">
        <f ca="1">SUMIF(INDIRECT("'"&amp;C4&amp;"'"&amp;"!A:A"),结果表!B20,INDIRECT("'"&amp;C4&amp;"'"&amp;"!B:B"))</f>
        <v>#REF!</v>
      </c>
      <c r="D20" s="129" t="e">
        <f ca="1">SUMIF(INDIRECT("'"&amp;D4&amp;"'"&amp;"!A:A"),结果表!B20,INDIRECT("'"&amp;D4&amp;"'"&amp;"!B:B"))</f>
        <v>#REF!</v>
      </c>
      <c r="E20" s="1628"/>
      <c r="F20" s="43" t="s">
        <v>1295</v>
      </c>
      <c r="G20" s="130" t="e">
        <f ca="1">ROUND(C20*$C$18+D20*$D$18,0)</f>
        <v>#REF!</v>
      </c>
      <c r="H20" s="756" t="s">
        <v>1296</v>
      </c>
      <c r="I20" s="120"/>
    </row>
    <row r="21" spans="1:36" ht="15" customHeight="1" thickBot="1">
      <c r="A21" s="448"/>
      <c r="B21" s="92" t="s">
        <v>1297</v>
      </c>
      <c r="C21" s="674" t="e">
        <f ca="1">ROUND(C19*10000/L19,0)</f>
        <v>#REF!</v>
      </c>
      <c r="D21" s="675" t="e">
        <f ca="1">ROUND(D19*10000/L19,0)</f>
        <v>#REF!</v>
      </c>
      <c r="E21" s="448"/>
      <c r="F21" s="92" t="s">
        <v>1297</v>
      </c>
      <c r="G21" s="131" t="e">
        <f ca="1">ROUND(G19*10000/L19,0)</f>
        <v>#REF!</v>
      </c>
      <c r="H21" s="1629" t="s">
        <v>1296</v>
      </c>
      <c r="I21" s="120"/>
    </row>
    <row r="22" spans="1:36" ht="15" thickBot="1">
      <c r="A22" s="1559" t="s">
        <v>1298</v>
      </c>
      <c r="B22" s="1630"/>
      <c r="C22" s="1631"/>
      <c r="D22" s="676" t="e">
        <f ca="1">IF(C19&lt;D19,D19/C19-1,C19/D19-1)</f>
        <v>#REF!</v>
      </c>
      <c r="E22" s="120"/>
      <c r="F22" s="120"/>
      <c r="G22" s="120"/>
      <c r="H22" s="120"/>
      <c r="I22" s="120"/>
    </row>
    <row r="23" spans="1:36" ht="13.5" thickBot="1">
      <c r="A23" s="642"/>
      <c r="B23" s="642"/>
      <c r="C23" s="642"/>
      <c r="D23" s="642"/>
      <c r="E23" s="120"/>
      <c r="F23" s="120"/>
      <c r="G23" s="120"/>
      <c r="H23" s="120"/>
      <c r="I23" s="120"/>
    </row>
    <row r="24" spans="1:36" ht="14.25">
      <c r="A24" s="3475" t="s">
        <v>1299</v>
      </c>
      <c r="B24" s="1626" t="s">
        <v>1291</v>
      </c>
      <c r="C24" s="127">
        <f>IF(B30=0,0,D30)</f>
        <v>0</v>
      </c>
      <c r="D24" s="1632"/>
      <c r="E24" s="120"/>
      <c r="F24" s="120"/>
      <c r="G24" s="120"/>
      <c r="H24" s="120"/>
      <c r="I24" s="120"/>
    </row>
    <row r="25" spans="1:36" ht="14.25">
      <c r="A25" s="3476"/>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f>ROUND(C27*B27/10000,0)</f>
        <v>0</v>
      </c>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5" t="e">
        <f ca="1">IF(D32="总价",G19-C24,G20-C25)</f>
        <v>#REF!</v>
      </c>
      <c r="D32" s="1636"/>
      <c r="E32" s="120"/>
      <c r="F32" s="120"/>
      <c r="G32" s="120"/>
      <c r="H32" s="120"/>
      <c r="I32" s="120"/>
    </row>
    <row r="33" spans="1:15" ht="15">
      <c r="A33" s="736" t="s">
        <v>1306</v>
      </c>
      <c r="B33" s="122"/>
      <c r="C33" s="1637"/>
      <c r="D33" s="1638"/>
      <c r="E33" s="1639" t="s">
        <v>1307</v>
      </c>
      <c r="F33" s="1640" t="str">
        <f>IF(D32="楼面单价","取值（单价）","取值（总价）")</f>
        <v>取值（总价）</v>
      </c>
      <c r="G33" s="120"/>
      <c r="H33" s="120"/>
      <c r="I33" s="120"/>
    </row>
    <row r="34" spans="1:15" ht="15">
      <c r="A34" s="1641"/>
      <c r="B34" s="1642" t="s">
        <v>1308</v>
      </c>
      <c r="C34" s="139" t="e">
        <f ca="1">IF(C33="自定义",F34,C32-C35)</f>
        <v>#REF!</v>
      </c>
      <c r="D34" s="804" t="e">
        <f ca="1">IF(C33="自定义",ROUND(C34/C32,3),IF(C33="收益比率",SUMIF(INDIRECT("'"&amp;D33&amp;"'"&amp;"!b:b"),"土地收益比率",INDIRECT("'"&amp;D33&amp;"'"&amp;"!c:c")),SUMIF(INDIRECT("'"&amp;D33&amp;"'"&amp;"!b:b"),"土地成本比率",INDIRECT("'"&amp;D33&amp;"'"&amp;"!c:c"))))</f>
        <v>#REF!</v>
      </c>
      <c r="E34" s="1643" t="s">
        <v>1309</v>
      </c>
      <c r="F34" s="1239"/>
      <c r="G34" s="120"/>
      <c r="H34" s="120"/>
      <c r="I34" s="120"/>
    </row>
    <row r="35" spans="1:15" ht="15.75" thickBot="1">
      <c r="A35" s="1644"/>
      <c r="B35" s="1645"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6" t="s">
        <v>1311</v>
      </c>
      <c r="F35" s="145"/>
      <c r="G35" s="120"/>
      <c r="H35" s="120"/>
      <c r="I35" s="120"/>
    </row>
    <row r="36" spans="1:15" ht="15.75" thickBot="1">
      <c r="A36" s="3452" t="s">
        <v>1312</v>
      </c>
      <c r="B36" s="1647" t="s">
        <v>1313</v>
      </c>
      <c r="C36" s="136"/>
      <c r="D36" s="1648"/>
      <c r="E36" s="1562"/>
      <c r="F36" s="1649"/>
      <c r="G36" s="120"/>
      <c r="H36" s="120"/>
      <c r="I36" s="120"/>
    </row>
    <row r="37" spans="1:15" ht="15.75" thickBot="1">
      <c r="A37" s="3453"/>
      <c r="B37" s="1550" t="s">
        <v>1314</v>
      </c>
      <c r="C37" s="138"/>
      <c r="D37" s="1067"/>
      <c r="E37" s="1067"/>
      <c r="F37" s="1649"/>
      <c r="G37" s="120"/>
      <c r="H37" s="120"/>
      <c r="I37" s="120"/>
    </row>
    <row r="38" spans="1:15" ht="15.75" thickBot="1">
      <c r="A38" s="3454"/>
      <c r="B38" s="1650" t="s">
        <v>1315</v>
      </c>
      <c r="C38" s="637"/>
      <c r="D38" s="1651" t="s">
        <v>1316</v>
      </c>
      <c r="E38" s="1067"/>
      <c r="F38" s="1649"/>
      <c r="G38" s="120"/>
      <c r="H38" s="120"/>
      <c r="I38" s="120"/>
    </row>
    <row r="39" spans="1:15" ht="15">
      <c r="A39" s="1628" t="s">
        <v>1317</v>
      </c>
      <c r="B39" s="1652" t="s">
        <v>1318</v>
      </c>
      <c r="C39" s="1653" t="s">
        <v>1319</v>
      </c>
      <c r="D39" s="1653" t="s">
        <v>1320</v>
      </c>
      <c r="E39" s="1654" t="s">
        <v>1321</v>
      </c>
      <c r="F39" s="1649"/>
      <c r="G39" s="120"/>
      <c r="H39" s="120"/>
      <c r="I39" s="120"/>
    </row>
    <row r="40" spans="1:15" ht="14.25">
      <c r="A40" s="1655" t="s">
        <v>1322</v>
      </c>
      <c r="B40" s="140"/>
      <c r="C40" s="141"/>
      <c r="D40" s="141"/>
      <c r="E40" s="142"/>
      <c r="F40" s="1649"/>
      <c r="G40" s="120"/>
      <c r="H40" s="120"/>
      <c r="I40" s="120"/>
    </row>
    <row r="41" spans="1:15" ht="14.25">
      <c r="A41" s="1655" t="s">
        <v>1323</v>
      </c>
      <c r="B41" s="140"/>
      <c r="C41" s="141"/>
      <c r="D41" s="141"/>
      <c r="E41" s="142"/>
      <c r="F41" s="1649"/>
      <c r="G41" s="120"/>
      <c r="H41" s="120"/>
      <c r="I41" s="120"/>
    </row>
    <row r="42" spans="1:15" ht="15" thickBot="1">
      <c r="A42" s="1656"/>
      <c r="B42" s="143"/>
      <c r="C42" s="144"/>
      <c r="D42" s="144"/>
      <c r="E42" s="145"/>
      <c r="F42" s="1649"/>
      <c r="G42" s="120"/>
      <c r="H42" s="120"/>
      <c r="I42" s="120"/>
    </row>
    <row r="43" spans="1:15" ht="12.75">
      <c r="A43" s="1463"/>
      <c r="B43" s="1463"/>
      <c r="C43" s="1463"/>
      <c r="D43" s="1463"/>
      <c r="E43" s="1463"/>
      <c r="F43" s="1657"/>
      <c r="G43" s="1657"/>
      <c r="H43" s="1657"/>
      <c r="I43" s="1658"/>
    </row>
    <row r="44" spans="1:15" ht="18.75">
      <c r="A44" s="1460" t="s">
        <v>1324</v>
      </c>
      <c r="B44" s="1659"/>
      <c r="C44" s="1659"/>
      <c r="D44" s="1660"/>
      <c r="E44" s="1660"/>
      <c r="F44" s="1661"/>
      <c r="G44" s="1661"/>
      <c r="H44" s="1661"/>
      <c r="I44" s="1661"/>
      <c r="J44" s="1662" t="s">
        <v>1325</v>
      </c>
      <c r="K44" s="4"/>
      <c r="L44" s="4"/>
      <c r="M44" s="4"/>
      <c r="N44" s="4"/>
      <c r="O44" s="4"/>
    </row>
    <row r="45" spans="1:15" ht="14.25" customHeight="1" thickBot="1">
      <c r="A45" s="3472" t="s">
        <v>1326</v>
      </c>
      <c r="B45" s="3473"/>
      <c r="C45" s="3474"/>
      <c r="D45" s="146" t="e">
        <f ca="1">ROUND(H101*F45,0)</f>
        <v>#REF!</v>
      </c>
      <c r="E45" s="147" t="s">
        <v>1327</v>
      </c>
      <c r="F45" s="148">
        <v>1</v>
      </c>
      <c r="G45" s="149" t="s">
        <v>1328</v>
      </c>
      <c r="H45" s="120"/>
      <c r="I45" s="120"/>
      <c r="J45" s="3392" t="s">
        <v>1329</v>
      </c>
      <c r="K45" s="3392"/>
      <c r="L45" s="3392"/>
      <c r="M45" s="3392"/>
      <c r="N45" s="3392"/>
      <c r="O45" s="3392"/>
    </row>
    <row r="46" spans="1:15" ht="14.25" customHeight="1">
      <c r="A46" s="3469" t="s">
        <v>1330</v>
      </c>
      <c r="B46" s="3470"/>
      <c r="C46" s="3470"/>
      <c r="D46" s="3470"/>
      <c r="E46" s="3470"/>
      <c r="F46" s="3470"/>
      <c r="G46" s="3471"/>
      <c r="H46" s="1663"/>
      <c r="I46" s="150"/>
      <c r="J46" s="2304">
        <v>1</v>
      </c>
      <c r="K46" s="3393" t="s">
        <v>1331</v>
      </c>
      <c r="L46" s="3393"/>
      <c r="M46" s="3394"/>
      <c r="N46" s="3394"/>
      <c r="O46" s="3394"/>
    </row>
    <row r="47" spans="1:15" ht="12" customHeight="1">
      <c r="A47" s="151" t="s">
        <v>1332</v>
      </c>
      <c r="B47" s="152"/>
      <c r="C47" s="153"/>
      <c r="D47" s="1020" t="s">
        <v>1333</v>
      </c>
      <c r="E47" s="293" t="s">
        <v>1334</v>
      </c>
      <c r="F47" s="154" t="s">
        <v>1335</v>
      </c>
      <c r="G47" s="2327" t="s">
        <v>1336</v>
      </c>
      <c r="H47" s="2328"/>
      <c r="I47" s="150"/>
      <c r="J47" s="2304">
        <v>2</v>
      </c>
      <c r="K47" s="3393" t="s">
        <v>1337</v>
      </c>
      <c r="L47" s="3393"/>
      <c r="M47" s="3395">
        <f>'数据-取费表'!B2</f>
        <v>45467</v>
      </c>
      <c r="N47" s="3395"/>
      <c r="O47" s="3395"/>
    </row>
    <row r="48" spans="1:15" ht="25.5">
      <c r="A48" s="3455" t="s">
        <v>1338</v>
      </c>
      <c r="B48" s="3456"/>
      <c r="C48" s="3456"/>
      <c r="D48" s="12" t="b">
        <f>IF(H48="情况1",0,IF(H48="情况2",D52,IF(H48="情况3",D53,IF(H48="情况4",D54))))</f>
        <v>0</v>
      </c>
      <c r="E48" s="1252" t="str">
        <f>IF(H48="情况4","(销售额-原购置价)×税（费）率","销售额×税（费）率")</f>
        <v>销售额×税（费）率</v>
      </c>
      <c r="F48" s="2329">
        <f>IF(H48="情况1","免征",'数据-取费表'!B41)</f>
        <v>5.6000000000000001E-2</v>
      </c>
      <c r="G48" s="2330" t="s">
        <v>1339</v>
      </c>
      <c r="H48" s="2331"/>
      <c r="I48" s="1663"/>
      <c r="J48" s="2304">
        <v>3</v>
      </c>
      <c r="K48" s="3393" t="s">
        <v>1340</v>
      </c>
      <c r="L48" s="3393"/>
      <c r="M48" s="3396" t="e">
        <f ca="1">H101</f>
        <v>#REF!</v>
      </c>
      <c r="N48" s="3396"/>
      <c r="O48" s="3396"/>
    </row>
    <row r="49" spans="1:35" ht="25.5" customHeight="1">
      <c r="A49" s="2147" t="s">
        <v>1341</v>
      </c>
      <c r="B49" s="3441" t="s">
        <v>1342</v>
      </c>
      <c r="C49" s="3441"/>
      <c r="D49" s="1474">
        <v>0</v>
      </c>
      <c r="E49" s="315" t="s">
        <v>1343</v>
      </c>
      <c r="F49" s="2228" t="s">
        <v>28</v>
      </c>
      <c r="G49" s="3424"/>
      <c r="H49" s="2129" t="s">
        <v>2131</v>
      </c>
      <c r="I49" s="2130"/>
      <c r="J49" s="2304">
        <v>4</v>
      </c>
      <c r="K49" s="3393" t="str">
        <f>IF(项目基本情况!E8="房地产抵押价值","房地产抵押价值","抵押担保权已注销时的房地产抵押价值")</f>
        <v>抵押担保权已注销时的房地产抵押价值</v>
      </c>
      <c r="L49" s="3393"/>
      <c r="M49" s="3396" t="str">
        <f>IF(项目基本情况!E8="房地产抵押价值",H107,H109)</f>
        <v>——</v>
      </c>
      <c r="N49" s="3396"/>
      <c r="O49" s="3396"/>
    </row>
    <row r="50" spans="1:35" ht="25.5" customHeight="1">
      <c r="A50" s="2332"/>
      <c r="B50" s="3441" t="s">
        <v>1344</v>
      </c>
      <c r="C50" s="3441"/>
      <c r="D50" s="2184"/>
      <c r="E50" s="322"/>
      <c r="F50" s="2228"/>
      <c r="G50" s="3425"/>
      <c r="H50" s="2131" t="s">
        <v>2132</v>
      </c>
      <c r="I50" s="2130"/>
      <c r="J50" s="3392" t="s">
        <v>1345</v>
      </c>
      <c r="K50" s="3392"/>
      <c r="L50" s="3392"/>
      <c r="M50" s="3392"/>
      <c r="N50" s="3392"/>
      <c r="O50" s="3392"/>
    </row>
    <row r="51" spans="1:35" ht="20.45" customHeight="1">
      <c r="A51" s="2333"/>
      <c r="B51" s="3441" t="s">
        <v>1346</v>
      </c>
      <c r="C51" s="3441"/>
      <c r="D51" s="1020"/>
      <c r="E51" s="318"/>
      <c r="F51" s="2228"/>
      <c r="G51" s="3426"/>
      <c r="H51" s="2131" t="s">
        <v>2133</v>
      </c>
      <c r="I51" s="2130"/>
      <c r="J51" s="2305" t="s">
        <v>1347</v>
      </c>
      <c r="K51" s="3393" t="s">
        <v>1348</v>
      </c>
      <c r="L51" s="3393"/>
      <c r="M51" s="2305" t="s">
        <v>1349</v>
      </c>
      <c r="N51" s="2305" t="s">
        <v>1350</v>
      </c>
      <c r="O51" s="2305" t="s">
        <v>1351</v>
      </c>
    </row>
    <row r="52" spans="1:35" ht="24" customHeight="1">
      <c r="A52" s="2148" t="s">
        <v>1352</v>
      </c>
      <c r="B52" s="3441" t="s">
        <v>1353</v>
      </c>
      <c r="C52" s="3441"/>
      <c r="D52" s="1020" t="e">
        <f ca="1">ROUND(D45*'数据-取费表'!B41/(1+'数据-取费表'!C42),0)</f>
        <v>#REF!</v>
      </c>
      <c r="E52" s="1252" t="s">
        <v>1354</v>
      </c>
      <c r="F52" s="2334">
        <f>'数据-取费表'!B41</f>
        <v>5.6000000000000001E-2</v>
      </c>
      <c r="G52" s="2335"/>
      <c r="H52" s="2325"/>
      <c r="I52" s="1664"/>
      <c r="J52" s="2304">
        <v>1</v>
      </c>
      <c r="K52" s="3418" t="s">
        <v>1355</v>
      </c>
      <c r="L52" s="3418"/>
      <c r="M52" s="2306" t="b">
        <f>D48</f>
        <v>0</v>
      </c>
      <c r="N52" s="2304" t="str">
        <f>E48</f>
        <v>销售额×税（费）率</v>
      </c>
      <c r="O52" s="2307">
        <f>F48</f>
        <v>5.6000000000000001E-2</v>
      </c>
    </row>
    <row r="53" spans="1:35" ht="12" customHeight="1">
      <c r="A53" s="2148" t="s">
        <v>1356</v>
      </c>
      <c r="B53" s="3442" t="s">
        <v>2285</v>
      </c>
      <c r="C53" s="3443"/>
      <c r="D53" s="1020" t="e">
        <f ca="1">ROUND(D45*'数据-取费表'!B41/(1+'数据-取费表'!C42),0)</f>
        <v>#REF!</v>
      </c>
      <c r="E53" s="1252" t="s">
        <v>1354</v>
      </c>
      <c r="F53" s="2334">
        <f>'数据-取费表'!B41</f>
        <v>5.6000000000000001E-2</v>
      </c>
      <c r="G53" s="2335"/>
      <c r="H53" s="2325"/>
      <c r="I53" s="1664"/>
      <c r="J53" s="2304">
        <v>2</v>
      </c>
      <c r="K53" s="3418" t="s">
        <v>1357</v>
      </c>
      <c r="L53" s="3418"/>
      <c r="M53" s="2306" t="e">
        <f t="shared" ref="M53:O54" ca="1" si="0">D55</f>
        <v>#REF!</v>
      </c>
      <c r="N53" s="2304" t="str">
        <f t="shared" si="0"/>
        <v>销售额×税（费）率</v>
      </c>
      <c r="O53" s="2307" t="str">
        <f t="shared" si="0"/>
        <v>免征</v>
      </c>
    </row>
    <row r="54" spans="1:35" ht="12" customHeight="1">
      <c r="A54" s="2148" t="s">
        <v>1358</v>
      </c>
      <c r="B54" s="3442" t="s">
        <v>2286</v>
      </c>
      <c r="C54" s="3443"/>
      <c r="D54" s="1020" t="e">
        <f ca="1">C68</f>
        <v>#REF!</v>
      </c>
      <c r="E54" s="318" t="s">
        <v>1359</v>
      </c>
      <c r="F54" s="2334">
        <f>'数据-取费表'!B41</f>
        <v>5.6000000000000001E-2</v>
      </c>
      <c r="G54" s="2335"/>
      <c r="H54" s="2336"/>
      <c r="I54" s="1664"/>
      <c r="J54" s="2304">
        <v>3</v>
      </c>
      <c r="K54" s="3418" t="s">
        <v>1360</v>
      </c>
      <c r="L54" s="3418"/>
      <c r="M54" s="2306" t="e">
        <f t="shared" ca="1" si="0"/>
        <v>#REF!</v>
      </c>
      <c r="N54" s="2304" t="str">
        <f t="shared" si="0"/>
        <v>增值额×税（费）率</v>
      </c>
      <c r="O54" s="2308" t="str">
        <f t="shared" si="0"/>
        <v>免征</v>
      </c>
    </row>
    <row r="55" spans="1:35" ht="24" customHeight="1">
      <c r="A55" s="3478" t="s">
        <v>1361</v>
      </c>
      <c r="B55" s="3456"/>
      <c r="C55" s="3456"/>
      <c r="D55" s="12" t="e">
        <f ca="1">IF(H55="个人住宅",0,ROUND(D45*I55,0))</f>
        <v>#REF!</v>
      </c>
      <c r="E55" s="1252" t="s">
        <v>1362</v>
      </c>
      <c r="F55" s="2334" t="str">
        <f>IF(H55="正常",I55,"免征")</f>
        <v>免征</v>
      </c>
      <c r="G55" s="2335"/>
      <c r="H55" s="2331"/>
      <c r="I55" s="156">
        <f>'数据-取费表'!B49</f>
        <v>5.0000000000000001E-4</v>
      </c>
      <c r="J55" s="2304">
        <f>IF(H59="非个人房产","",4)</f>
        <v>4</v>
      </c>
      <c r="K55" s="3418" t="str">
        <f>IF(H59="非个人房产","——","个人所得税")</f>
        <v>个人所得税</v>
      </c>
      <c r="L55" s="3418"/>
      <c r="M55" s="2309" t="e">
        <f ca="1">D59</f>
        <v>#REF!</v>
      </c>
      <c r="N55" s="1878" t="str">
        <f>E59</f>
        <v>差额计税</v>
      </c>
      <c r="O55" s="2310">
        <f>F59</f>
        <v>0.01</v>
      </c>
    </row>
    <row r="56" spans="1:35" ht="24.75">
      <c r="A56" s="3478" t="s">
        <v>1363</v>
      </c>
      <c r="B56" s="3456"/>
      <c r="C56" s="3456"/>
      <c r="D56" s="12" t="e">
        <f ca="1">IF(H56="个人住宅",D57,D58)</f>
        <v>#REF!</v>
      </c>
      <c r="E56" s="1252" t="s">
        <v>1364</v>
      </c>
      <c r="F56" s="2334" t="str">
        <f>IF(H56="正常",F58,"免征")</f>
        <v>免征</v>
      </c>
      <c r="G56" s="2337" t="s">
        <v>1365</v>
      </c>
      <c r="H56" s="2338"/>
      <c r="I56" s="1665"/>
      <c r="J56" s="2304" t="str">
        <f>IF(项目基本情况!K6="上海银行",IF(J55="",4,J55+1),"")</f>
        <v/>
      </c>
      <c r="K56" s="3399" t="str">
        <f>IF(项目基本情况!K6="上海银行","其他处置费用","")</f>
        <v/>
      </c>
      <c r="L56" s="3400"/>
      <c r="M56" s="2306" t="str">
        <f>IF(项目基本情况!K6="上海银行",M69,"")</f>
        <v/>
      </c>
      <c r="N56" s="3399" t="str">
        <f>IF(项目基本情况!K6="上海银行","包含处置中涉及的律师、诉讼、拍卖、评估等费用","")</f>
        <v/>
      </c>
      <c r="O56" s="3402"/>
    </row>
    <row r="57" spans="1:35" ht="12.75">
      <c r="A57" s="2148" t="s">
        <v>1341</v>
      </c>
      <c r="B57" s="3442" t="s">
        <v>1366</v>
      </c>
      <c r="C57" s="3443"/>
      <c r="D57" s="1474">
        <v>0</v>
      </c>
      <c r="E57" s="315" t="s">
        <v>1343</v>
      </c>
      <c r="F57" s="293"/>
      <c r="G57" s="2335"/>
      <c r="H57" s="2339"/>
      <c r="I57" s="1665"/>
      <c r="J57" s="3418">
        <f>IF(AND(J55="",J56=""),4,IF(项目基本情况!K6="上海银行",结果表!J56+1,结果表!J55+1))</f>
        <v>5</v>
      </c>
      <c r="K57" s="3418" t="s">
        <v>1367</v>
      </c>
      <c r="L57" s="2311" t="s">
        <v>1368</v>
      </c>
      <c r="M57" s="2312"/>
      <c r="N57" s="2313">
        <f ca="1">SUMIF(M52:M56,"&lt;9e307")</f>
        <v>0</v>
      </c>
      <c r="O57" s="2314"/>
      <c r="P57" s="2459" t="e">
        <f ca="1">N57/M49</f>
        <v>#VALUE!</v>
      </c>
    </row>
    <row r="58" spans="1:35" ht="24.75">
      <c r="A58" s="2148" t="s">
        <v>1352</v>
      </c>
      <c r="B58" s="3442" t="s">
        <v>1369</v>
      </c>
      <c r="C58" s="3441"/>
      <c r="D58" s="12" t="e">
        <f ca="1">IF(H58="转让取得",C81,C97)</f>
        <v>#REF!</v>
      </c>
      <c r="E58" s="1252" t="s">
        <v>1364</v>
      </c>
      <c r="F58" s="293" t="s">
        <v>28</v>
      </c>
      <c r="G58" s="2335"/>
      <c r="H58" s="2338"/>
      <c r="I58" s="1665"/>
      <c r="J58" s="3418"/>
      <c r="K58" s="3418"/>
      <c r="L58" s="2311" t="s">
        <v>1370</v>
      </c>
      <c r="M58" s="2315"/>
      <c r="N58" s="2316" t="str">
        <f ca="1">NUMBERSTRING(INT(N57*10000),2)&amp;"元整"</f>
        <v>零元整</v>
      </c>
      <c r="O58" s="2317"/>
    </row>
    <row r="59" spans="1:35" ht="24.75" thickBot="1">
      <c r="A59" s="3422" t="s">
        <v>1371</v>
      </c>
      <c r="B59" s="3423"/>
      <c r="C59" s="3423"/>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420">
        <f>J57+1</f>
        <v>6</v>
      </c>
      <c r="K59" s="3418" t="s">
        <v>1372</v>
      </c>
      <c r="L59" s="2304" t="s">
        <v>1368</v>
      </c>
      <c r="M59" s="2318"/>
      <c r="N59" s="2319" t="e">
        <f ca="1">M49-N57</f>
        <v>#VALUE!</v>
      </c>
      <c r="O59" s="2320"/>
    </row>
    <row r="60" spans="1:35" ht="12" customHeight="1">
      <c r="A60" s="1666"/>
      <c r="B60" s="642"/>
      <c r="C60" s="642"/>
      <c r="D60" s="642"/>
      <c r="E60" s="1462"/>
      <c r="F60" s="1665"/>
      <c r="G60" s="1665"/>
      <c r="H60" s="150"/>
      <c r="I60" s="120"/>
      <c r="J60" s="3421"/>
      <c r="K60" s="3418"/>
      <c r="L60" s="2311" t="s">
        <v>1370</v>
      </c>
      <c r="M60" s="2315"/>
      <c r="N60" s="2316" t="e">
        <f ca="1">NUMBERSTRING(INT(N59*10000),2)&amp;"元整"</f>
        <v>#VALUE!</v>
      </c>
      <c r="O60" s="2317"/>
    </row>
    <row r="61" spans="1:35" ht="13.5" thickBot="1">
      <c r="A61" s="3477" t="s">
        <v>1373</v>
      </c>
      <c r="B61" s="3477"/>
      <c r="C61" s="3477"/>
      <c r="D61" s="3477"/>
      <c r="E61" s="3477"/>
      <c r="F61" s="1665"/>
      <c r="G61" s="1665"/>
      <c r="H61" s="150"/>
      <c r="I61" s="120"/>
      <c r="J61" s="2304">
        <f>J59+1</f>
        <v>7</v>
      </c>
      <c r="K61" s="3418" t="s">
        <v>1374</v>
      </c>
      <c r="L61" s="3418"/>
      <c r="M61" s="2321"/>
      <c r="N61" s="2322" t="e">
        <f ca="1">ROUND(N59*10000/'数据-汇总表'!E3,0)</f>
        <v>#VALUE!</v>
      </c>
      <c r="O61" s="2323"/>
    </row>
    <row r="62" spans="1:35" ht="12.75">
      <c r="A62" s="3437" t="s">
        <v>1375</v>
      </c>
      <c r="B62" s="3438"/>
      <c r="C62" s="1860"/>
      <c r="D62" s="1860" t="s">
        <v>1376</v>
      </c>
      <c r="E62" s="157" t="s">
        <v>1377</v>
      </c>
      <c r="F62" s="1665"/>
      <c r="G62" s="1665"/>
      <c r="H62" s="150"/>
      <c r="I62" s="120"/>
    </row>
    <row r="63" spans="1:35" ht="12.75">
      <c r="A63" s="164" t="s">
        <v>330</v>
      </c>
      <c r="B63" s="158" t="s">
        <v>1378</v>
      </c>
      <c r="C63" s="2344" t="e">
        <f ca="1">ROUND((C64+C65)/(1+'数据-取费表'!C42),0)</f>
        <v>#REF!</v>
      </c>
      <c r="D63" s="158"/>
      <c r="E63" s="159"/>
      <c r="F63" s="1665"/>
      <c r="G63" s="1665"/>
      <c r="H63" s="150"/>
      <c r="I63" s="120"/>
      <c r="J63" s="3401" t="s">
        <v>1379</v>
      </c>
      <c r="K63" s="1241" t="s">
        <v>1380</v>
      </c>
      <c r="L63" s="1241" t="e">
        <f>IF(M49&gt;10000,M49*0.5%,IF(AND(M49&gt;1000,M49&lt;=10000),M49*1%,IF(AND(M49&gt;100,M49&lt;=1000),M49*3%,IF(AND(M49&gt;10,M49&lt;=100),M49*5%,M49*8%))))</f>
        <v>#VALUE!</v>
      </c>
      <c r="M63" s="293" t="e">
        <f>ROUND(L63,1)</f>
        <v>#VALUE!</v>
      </c>
      <c r="N63" s="2324"/>
      <c r="Z63" s="1618"/>
      <c r="AI63" s="1556"/>
    </row>
    <row r="64" spans="1:35" ht="14.25" customHeight="1">
      <c r="A64" s="160" t="s">
        <v>325</v>
      </c>
      <c r="B64" s="161" t="s">
        <v>1381</v>
      </c>
      <c r="C64" s="2345" t="e">
        <f ca="1">D45</f>
        <v>#REF!</v>
      </c>
      <c r="D64" s="161" t="s">
        <v>26</v>
      </c>
      <c r="E64" s="163"/>
      <c r="F64" s="1665"/>
      <c r="G64" s="1665"/>
      <c r="H64" s="150"/>
      <c r="I64" s="120"/>
      <c r="J64" s="3401"/>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5" t="s">
        <v>1383</v>
      </c>
      <c r="Z64" s="1618"/>
      <c r="AI64" s="1556"/>
    </row>
    <row r="65" spans="1:35" ht="14.25" customHeight="1">
      <c r="A65" s="160" t="s">
        <v>326</v>
      </c>
      <c r="B65" s="161" t="s">
        <v>1384</v>
      </c>
      <c r="C65" s="2346"/>
      <c r="D65" s="161"/>
      <c r="E65" s="163"/>
      <c r="F65" s="1665"/>
      <c r="G65" s="1665"/>
      <c r="H65" s="150"/>
      <c r="I65" s="120"/>
      <c r="J65" s="3401"/>
      <c r="K65" s="1241" t="s">
        <v>1385</v>
      </c>
      <c r="L65" s="1241" t="e">
        <f>IF(M49&gt;1000,M49*0.1%,IF(AND(M49&gt;500,M49&lt;=1000),M49*0.5%,IF(AND(M49&gt;50,M49&lt;=500),M49*1%,IF(AND(M49&gt;1,M49&lt;=50),M49*1.5%))))</f>
        <v>#VALUE!</v>
      </c>
      <c r="M65" s="293" t="e">
        <f t="shared" si="1"/>
        <v>#VALUE!</v>
      </c>
      <c r="N65" s="2325" t="s">
        <v>1383</v>
      </c>
      <c r="Z65" s="1618"/>
      <c r="AI65" s="1556"/>
    </row>
    <row r="66" spans="1:35" ht="14.25" customHeight="1">
      <c r="A66" s="164" t="s">
        <v>327</v>
      </c>
      <c r="B66" s="165" t="s">
        <v>1386</v>
      </c>
      <c r="C66" s="2347"/>
      <c r="D66" s="165" t="s">
        <v>26</v>
      </c>
      <c r="E66" s="1247" t="s">
        <v>671</v>
      </c>
      <c r="F66" s="1665"/>
      <c r="G66" s="1665"/>
      <c r="H66" s="150"/>
      <c r="I66" s="120"/>
      <c r="J66" s="3401"/>
      <c r="K66" s="1241" t="s">
        <v>1387</v>
      </c>
      <c r="L66" s="1241" t="e">
        <f>M49*0.5%</f>
        <v>#VALUE!</v>
      </c>
      <c r="M66" s="293" t="e">
        <f>IF(L66&gt;0.5,0.5,ROUND(L66,0))</f>
        <v>#VALUE!</v>
      </c>
      <c r="N66" s="2325" t="s">
        <v>1388</v>
      </c>
      <c r="Z66" s="1618"/>
      <c r="AI66" s="1556"/>
    </row>
    <row r="67" spans="1:35" ht="14.25" customHeight="1">
      <c r="A67" s="164" t="s">
        <v>328</v>
      </c>
      <c r="B67" s="165" t="s">
        <v>1389</v>
      </c>
      <c r="C67" s="2348" t="e">
        <f ca="1">C63-C66</f>
        <v>#REF!</v>
      </c>
      <c r="D67" s="161" t="s">
        <v>26</v>
      </c>
      <c r="E67" s="163"/>
      <c r="F67" s="1665"/>
      <c r="G67" s="1665"/>
      <c r="H67" s="150"/>
      <c r="I67" s="120"/>
      <c r="J67" s="3401"/>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18"/>
      <c r="AI67" s="1556"/>
    </row>
    <row r="68" spans="1:35" ht="14.25" customHeight="1" thickBot="1">
      <c r="A68" s="167" t="s">
        <v>329</v>
      </c>
      <c r="B68" s="168" t="s">
        <v>1391</v>
      </c>
      <c r="C68" s="2349" t="e">
        <f ca="1">IF(C67&lt;=0,0,ROUND(C67*D68,0))</f>
        <v>#REF!</v>
      </c>
      <c r="D68" s="2350">
        <f>'数据-取费表'!B41</f>
        <v>5.6000000000000001E-2</v>
      </c>
      <c r="E68" s="169"/>
      <c r="F68" s="1665"/>
      <c r="G68" s="1665"/>
      <c r="H68" s="150"/>
      <c r="I68" s="120"/>
      <c r="J68" s="3401"/>
      <c r="K68" s="1241" t="s">
        <v>1392</v>
      </c>
      <c r="L68" s="1241" t="e">
        <f>IF(M49&gt;10000,M49*0.5%,IF(AND(M49&gt;5000,M49&lt;=10000),M49*1%,IF(AND(M49&gt;1000,M49&lt;=5000),M49*2%,IF(AND(M49&gt;200,M49&lt;=1000),M49*3%,M49*5%))))</f>
        <v>#VALUE!</v>
      </c>
      <c r="M68" s="293" t="e">
        <f>ROUND(L68,1)</f>
        <v>#VALUE!</v>
      </c>
      <c r="N68" s="2324"/>
      <c r="Z68" s="1618"/>
      <c r="AI68" s="1556"/>
    </row>
    <row r="69" spans="1:35" ht="16.5" customHeight="1">
      <c r="A69" s="1667"/>
      <c r="B69" s="1668"/>
      <c r="C69" s="1669"/>
      <c r="D69" s="1670"/>
      <c r="E69" s="1671"/>
      <c r="F69" s="1462"/>
      <c r="G69" s="1462"/>
      <c r="H69" s="1463"/>
      <c r="I69" s="642"/>
      <c r="J69" s="3401"/>
      <c r="K69" s="1241" t="s">
        <v>1393</v>
      </c>
      <c r="L69" s="1241"/>
      <c r="M69" s="293" t="e">
        <f>ROUND(SUM(M63:M68),0)</f>
        <v>#VALUE!</v>
      </c>
      <c r="N69" s="2326" t="e">
        <f>M69/M49</f>
        <v>#VALUE!</v>
      </c>
      <c r="Z69" s="1618"/>
      <c r="AI69" s="1556"/>
    </row>
    <row r="70" spans="1:35" s="638" customFormat="1" ht="15" thickBot="1">
      <c r="A70" s="3445" t="s">
        <v>1394</v>
      </c>
      <c r="B70" s="3446"/>
      <c r="C70" s="3446"/>
      <c r="D70" s="3446"/>
      <c r="E70" s="3446"/>
      <c r="F70" s="3446"/>
      <c r="G70" s="3446"/>
      <c r="H70" s="3446"/>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8" customFormat="1" ht="14.25">
      <c r="A71" s="3437" t="s">
        <v>1375</v>
      </c>
      <c r="B71" s="3438"/>
      <c r="C71" s="1860"/>
      <c r="D71" s="1860" t="s">
        <v>1376</v>
      </c>
      <c r="E71" s="170" t="s">
        <v>1377</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8" customFormat="1" ht="14.25">
      <c r="A72" s="164" t="s">
        <v>330</v>
      </c>
      <c r="B72" s="165" t="s">
        <v>1395</v>
      </c>
      <c r="C72" s="2348" t="e">
        <f ca="1">ROUND(D45/(1+'数据-取费表'!C42),0)</f>
        <v>#REF!</v>
      </c>
      <c r="D72" s="161" t="s">
        <v>26</v>
      </c>
      <c r="E72" s="1253"/>
      <c r="F72" s="1251"/>
      <c r="G72" s="1251"/>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8" customFormat="1" ht="14.25">
      <c r="A73" s="164" t="s">
        <v>327</v>
      </c>
      <c r="B73" s="154" t="s">
        <v>1396</v>
      </c>
      <c r="C73" s="2348" t="e">
        <f ca="1">C74+C78</f>
        <v>#REF!</v>
      </c>
      <c r="D73" s="161" t="s">
        <v>26</v>
      </c>
      <c r="E73" s="1253"/>
      <c r="F73" s="1251"/>
      <c r="G73" s="1251"/>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8" customFormat="1" ht="24">
      <c r="A74" s="160" t="s">
        <v>325</v>
      </c>
      <c r="B74" s="161" t="s">
        <v>1397</v>
      </c>
      <c r="C74" s="161">
        <f>ROUND(IF(G77="2016年5月1日后购买",C75/(1+'数据-取费表'!C42)+C76+C77,C75+C76+C77),0)</f>
        <v>0</v>
      </c>
      <c r="D74" s="161" t="s">
        <v>26</v>
      </c>
      <c r="E74" s="1253"/>
      <c r="F74" s="1251"/>
      <c r="G74" s="1251"/>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8" customFormat="1" ht="14.25">
      <c r="A75" s="160" t="s">
        <v>331</v>
      </c>
      <c r="B75" s="161" t="s">
        <v>1398</v>
      </c>
      <c r="C75" s="2351"/>
      <c r="D75" s="161" t="s">
        <v>26</v>
      </c>
      <c r="E75" s="175" t="s">
        <v>1399</v>
      </c>
      <c r="F75" s="2352"/>
      <c r="G75" s="175" t="s">
        <v>1400</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8" customFormat="1" ht="24.75" customHeight="1">
      <c r="A76" s="160" t="s">
        <v>332</v>
      </c>
      <c r="B76" s="176" t="s">
        <v>1401</v>
      </c>
      <c r="C76" s="161">
        <f>IF(F75="购房发票",ROUND(C75*H75*D76,0),0)</f>
        <v>0</v>
      </c>
      <c r="D76" s="2354">
        <v>0.05</v>
      </c>
      <c r="E76" s="3442" t="s">
        <v>1402</v>
      </c>
      <c r="F76" s="3441"/>
      <c r="G76" s="3441"/>
      <c r="H76" s="3444"/>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8"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8" customFormat="1" ht="24.75" customHeight="1">
      <c r="A78" s="160" t="s">
        <v>326</v>
      </c>
      <c r="B78" s="161" t="s">
        <v>1405</v>
      </c>
      <c r="C78" s="2356" t="e">
        <f ca="1">ROUND(D45*D78/(1+'数据-取费表'!C42),0)</f>
        <v>#REF!</v>
      </c>
      <c r="D78" s="2357">
        <f>'数据-取费表'!B43</f>
        <v>6.000000000000001E-3</v>
      </c>
      <c r="E78" s="3434" t="s">
        <v>1406</v>
      </c>
      <c r="F78" s="3435"/>
      <c r="G78" s="3435"/>
      <c r="H78" s="3436"/>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8" customFormat="1" ht="14.25">
      <c r="A79" s="164" t="s">
        <v>334</v>
      </c>
      <c r="B79" s="165" t="s">
        <v>1407</v>
      </c>
      <c r="C79" s="2348" t="e">
        <f ca="1">C72-C73</f>
        <v>#REF!</v>
      </c>
      <c r="D79" s="161" t="s">
        <v>26</v>
      </c>
      <c r="E79" s="1253"/>
      <c r="F79" s="1251"/>
      <c r="G79" s="1251"/>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8"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8"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8" customFormat="1" ht="7.5" customHeight="1">
      <c r="A82" s="4"/>
      <c r="B82" s="643"/>
      <c r="C82" s="4"/>
      <c r="D82" s="4"/>
      <c r="E82" s="643"/>
      <c r="F82" s="643"/>
      <c r="G82" s="643"/>
      <c r="H82" s="644"/>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8" customFormat="1" ht="15" thickBot="1">
      <c r="A83" s="3445" t="s">
        <v>1410</v>
      </c>
      <c r="B83" s="3446"/>
      <c r="C83" s="3446"/>
      <c r="D83" s="3446"/>
      <c r="E83" s="3446"/>
      <c r="F83" s="3446"/>
      <c r="G83" s="3446"/>
      <c r="H83" s="3446"/>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8" customFormat="1" ht="14.25">
      <c r="A84" s="3437" t="s">
        <v>1375</v>
      </c>
      <c r="B84" s="3438"/>
      <c r="C84" s="1860"/>
      <c r="D84" s="1860" t="s">
        <v>1376</v>
      </c>
      <c r="E84" s="170" t="s">
        <v>1377</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8" customFormat="1" ht="14.25">
      <c r="A85" s="164" t="s">
        <v>330</v>
      </c>
      <c r="B85" s="165" t="s">
        <v>1395</v>
      </c>
      <c r="C85" s="2348" t="e">
        <f ca="1">ROUND(D45/(1+'数据-取费表'!C42),0)</f>
        <v>#REF!</v>
      </c>
      <c r="D85" s="161" t="s">
        <v>26</v>
      </c>
      <c r="E85" s="1253"/>
      <c r="F85" s="1251"/>
      <c r="G85" s="1251"/>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8" customFormat="1" ht="14.25">
      <c r="A86" s="164" t="s">
        <v>327</v>
      </c>
      <c r="B86" s="154" t="s">
        <v>1396</v>
      </c>
      <c r="C86" s="2348" t="e">
        <f ca="1">IF(H88="仅含出让金",C87+C90+C91+C92+C93+C94,C87+C91+C92+C93+C94)</f>
        <v>#REF!</v>
      </c>
      <c r="D86" s="2361"/>
      <c r="E86" s="1253"/>
      <c r="F86" s="1251"/>
      <c r="G86" s="1251"/>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8" customFormat="1" ht="14.25">
      <c r="A87" s="160" t="s">
        <v>325</v>
      </c>
      <c r="B87" s="161" t="s">
        <v>1411</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8" customFormat="1" ht="14.25">
      <c r="A88" s="160" t="s">
        <v>331</v>
      </c>
      <c r="B88" s="161" t="s">
        <v>1412</v>
      </c>
      <c r="C88" s="2362"/>
      <c r="D88" s="2357"/>
      <c r="E88" s="184" t="s">
        <v>1413</v>
      </c>
      <c r="F88" s="2143"/>
      <c r="G88" s="185" t="s">
        <v>1414</v>
      </c>
      <c r="H88" s="1679"/>
      <c r="I88" s="1676"/>
      <c r="J88" s="2302" t="s">
        <v>2282</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8" customFormat="1" ht="14.25">
      <c r="A89" s="160" t="s">
        <v>332</v>
      </c>
      <c r="B89" s="161" t="s">
        <v>1403</v>
      </c>
      <c r="C89" s="2356">
        <f>ROUND(C88*D89,0)</f>
        <v>0</v>
      </c>
      <c r="D89" s="2357">
        <f>'数据-取费表'!B48+'数据-取费表'!B49</f>
        <v>3.0499999999999999E-2</v>
      </c>
      <c r="E89" s="184"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8" customFormat="1" ht="14.25">
      <c r="A90" s="160" t="s">
        <v>326</v>
      </c>
      <c r="B90" s="161" t="s">
        <v>1416</v>
      </c>
      <c r="C90" s="2362"/>
      <c r="D90" s="2357"/>
      <c r="E90" s="184" t="str">
        <f>IF(H88="-","土地取得成本中已包含该笔费用"," ")</f>
        <v xml:space="preserve"> </v>
      </c>
      <c r="F90" s="2143"/>
      <c r="G90" s="3403" t="s">
        <v>2126</v>
      </c>
      <c r="H90" s="3404"/>
      <c r="I90" s="1676"/>
      <c r="J90" s="2302" t="s">
        <v>2283</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8" customFormat="1" ht="27.75" customHeight="1">
      <c r="A91" s="160" t="s">
        <v>1417</v>
      </c>
      <c r="B91" s="161" t="s">
        <v>1418</v>
      </c>
      <c r="C91" s="2356">
        <f>IF(H91="——",成本法!C33,I91)</f>
        <v>0</v>
      </c>
      <c r="D91" s="2357"/>
      <c r="E91" s="3434" t="s">
        <v>1419</v>
      </c>
      <c r="F91" s="3435"/>
      <c r="G91" s="3435"/>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8" customFormat="1" ht="25.5" customHeight="1">
      <c r="A92" s="160" t="s">
        <v>1420</v>
      </c>
      <c r="B92" s="161" t="s">
        <v>1421</v>
      </c>
      <c r="C92" s="2356">
        <f>ROUND((C87+C90+C91)*D92,0)</f>
        <v>0</v>
      </c>
      <c r="D92" s="2363"/>
      <c r="E92" s="3434" t="s">
        <v>1422</v>
      </c>
      <c r="F92" s="3435"/>
      <c r="G92" s="3435"/>
      <c r="H92" s="3436"/>
      <c r="I92" s="1676"/>
      <c r="J92" s="2303" t="s">
        <v>2284</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8" customFormat="1" ht="25.5" customHeight="1">
      <c r="A93" s="160" t="s">
        <v>1423</v>
      </c>
      <c r="B93" s="161" t="s">
        <v>1405</v>
      </c>
      <c r="C93" s="2356" t="e">
        <f ca="1">ROUND(D45*D93/(1+'数据-取费表'!C42),0)</f>
        <v>#REF!</v>
      </c>
      <c r="D93" s="2357">
        <f>'数据-取费表'!B43</f>
        <v>6.000000000000001E-3</v>
      </c>
      <c r="E93" s="3434" t="s">
        <v>1406</v>
      </c>
      <c r="F93" s="3435"/>
      <c r="G93" s="3435"/>
      <c r="H93" s="3436"/>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8" customFormat="1" ht="36.75" customHeight="1">
      <c r="A94" s="160" t="s">
        <v>1424</v>
      </c>
      <c r="B94" s="161" t="s">
        <v>1425</v>
      </c>
      <c r="C94" s="2362">
        <f>ROUND((C87+C90+C91)*D94,0)</f>
        <v>0</v>
      </c>
      <c r="D94" s="2357">
        <v>0.2</v>
      </c>
      <c r="E94" s="3479" t="s">
        <v>1426</v>
      </c>
      <c r="F94" s="3480"/>
      <c r="G94" s="3480"/>
      <c r="H94" s="3481"/>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8" customFormat="1" ht="14.25">
      <c r="A95" s="164" t="s">
        <v>334</v>
      </c>
      <c r="B95" s="165" t="s">
        <v>1407</v>
      </c>
      <c r="C95" s="2348" t="e">
        <f ca="1">ROUND(C85-C86,0)</f>
        <v>#REF!</v>
      </c>
      <c r="D95" s="161" t="s">
        <v>26</v>
      </c>
      <c r="E95" s="1253"/>
      <c r="F95" s="1251"/>
      <c r="G95" s="1251"/>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8"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8"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2"/>
      <c r="C98" s="642"/>
      <c r="D98" s="642"/>
      <c r="E98" s="1462"/>
      <c r="F98" s="1462"/>
      <c r="G98" s="1462"/>
      <c r="H98" s="1463"/>
      <c r="I98" s="120"/>
    </row>
    <row r="99" spans="1:35" ht="21.75" customHeight="1" thickBot="1">
      <c r="A99" s="1460" t="s">
        <v>1427</v>
      </c>
      <c r="B99" s="642"/>
      <c r="C99" s="642"/>
      <c r="D99" s="642"/>
      <c r="E99" s="1462"/>
      <c r="F99" s="1462"/>
      <c r="G99" s="1462"/>
      <c r="H99" s="1463"/>
      <c r="I99" s="120"/>
    </row>
    <row r="100" spans="1:35" ht="18.75" customHeight="1">
      <c r="A100" s="3331" t="s">
        <v>1428</v>
      </c>
      <c r="B100" s="3332"/>
      <c r="C100" s="3332"/>
      <c r="D100" s="3419"/>
      <c r="E100" s="3332" t="s">
        <v>1429</v>
      </c>
      <c r="F100" s="3332"/>
      <c r="G100" s="3332"/>
      <c r="H100" s="3419"/>
      <c r="I100" s="120"/>
    </row>
    <row r="101" spans="1:35" ht="18.75" customHeight="1">
      <c r="A101" s="3427" t="s">
        <v>1430</v>
      </c>
      <c r="B101" s="3428"/>
      <c r="C101" s="2365">
        <f>C4</f>
        <v>0</v>
      </c>
      <c r="D101" s="2366">
        <f>D4</f>
        <v>0</v>
      </c>
      <c r="E101" s="3397" t="s">
        <v>1431</v>
      </c>
      <c r="F101" s="3398"/>
      <c r="G101" s="1682" t="s">
        <v>1432</v>
      </c>
      <c r="H101" s="2375" t="e">
        <f ca="1">H118</f>
        <v>#REF!</v>
      </c>
      <c r="I101" s="120"/>
    </row>
    <row r="102" spans="1:35" ht="18.75" customHeight="1">
      <c r="A102" s="3429" t="s">
        <v>1433</v>
      </c>
      <c r="B102" s="2364" t="s">
        <v>1432</v>
      </c>
      <c r="C102" s="2365" t="e">
        <f ca="1">IF(D32="楼面单价",ROUND(C19,0),C19)</f>
        <v>#REF!</v>
      </c>
      <c r="D102" s="2366" t="e">
        <f ca="1">IF(D32="楼面单价",ROUND(D19,0),D19)</f>
        <v>#REF!</v>
      </c>
      <c r="E102" s="3397"/>
      <c r="F102" s="3398"/>
      <c r="G102" s="1682" t="s">
        <v>1434</v>
      </c>
      <c r="H102" s="2335" t="e">
        <f ca="1">I118</f>
        <v>#REF!</v>
      </c>
      <c r="I102" s="120"/>
    </row>
    <row r="103" spans="1:35" ht="42.75" customHeight="1">
      <c r="A103" s="3429"/>
      <c r="B103" s="2364" t="s">
        <v>1434</v>
      </c>
      <c r="C103" s="2367" t="e">
        <f ca="1">C20</f>
        <v>#REF!</v>
      </c>
      <c r="D103" s="2368" t="e">
        <f ca="1">D20</f>
        <v>#REF!</v>
      </c>
      <c r="E103" s="3390" t="s">
        <v>1435</v>
      </c>
      <c r="F103" s="3391"/>
      <c r="G103" s="1683" t="s">
        <v>1436</v>
      </c>
      <c r="H103" s="2375">
        <f>IF(D36="正常操作",H104+H105+H106,H105+H106)</f>
        <v>0</v>
      </c>
      <c r="I103" s="120"/>
    </row>
    <row r="104" spans="1:35" ht="18.75" customHeight="1">
      <c r="A104" s="3429" t="s">
        <v>1437</v>
      </c>
      <c r="B104" s="2369" t="s">
        <v>1432</v>
      </c>
      <c r="C104" s="2370" t="e">
        <f ca="1">H118</f>
        <v>#REF!</v>
      </c>
      <c r="D104" s="2371"/>
      <c r="E104" s="1550" t="s">
        <v>1438</v>
      </c>
      <c r="F104" s="1543"/>
      <c r="G104" s="1683" t="s">
        <v>1436</v>
      </c>
      <c r="H104" s="2376">
        <f>IF(D36="同一抵押权人同一抵押物续贷",C36&amp;"（续贷，未扣减，详见特别提示）",C36)</f>
        <v>0</v>
      </c>
      <c r="I104" s="120"/>
    </row>
    <row r="105" spans="1:35" ht="18.75" customHeight="1" thickBot="1">
      <c r="A105" s="3439"/>
      <c r="B105" s="2372" t="s">
        <v>1434</v>
      </c>
      <c r="C105" s="2373" t="e">
        <f ca="1">I118</f>
        <v>#REF!</v>
      </c>
      <c r="D105" s="2374"/>
      <c r="E105" s="1550" t="s">
        <v>1439</v>
      </c>
      <c r="F105" s="1543"/>
      <c r="G105" s="1683" t="s">
        <v>1436</v>
      </c>
      <c r="H105" s="2377">
        <f>C37</f>
        <v>0</v>
      </c>
      <c r="I105" s="120"/>
    </row>
    <row r="106" spans="1:35" ht="18.75" customHeight="1">
      <c r="A106" s="642" t="s">
        <v>1440</v>
      </c>
      <c r="B106" s="642"/>
      <c r="C106" s="642"/>
      <c r="D106" s="642"/>
      <c r="E106" s="1684" t="s">
        <v>1441</v>
      </c>
      <c r="F106" s="1543"/>
      <c r="G106" s="1683" t="s">
        <v>1436</v>
      </c>
      <c r="H106" s="2377">
        <f>C38</f>
        <v>0</v>
      </c>
      <c r="I106" s="120"/>
    </row>
    <row r="107" spans="1:35" ht="18.75" customHeight="1">
      <c r="A107" s="120"/>
      <c r="B107" s="120"/>
      <c r="C107" s="120"/>
      <c r="D107" s="120"/>
      <c r="E107" s="3430" t="str">
        <f>IF(项目基本情况!E8="已注销","——","3.房地产抵押价值")</f>
        <v>3.房地产抵押价值</v>
      </c>
      <c r="F107" s="3398"/>
      <c r="G107" s="1682" t="s">
        <v>1432</v>
      </c>
      <c r="H107" s="2375" t="e">
        <f ca="1">IF(E107="——","——",H101-H103)</f>
        <v>#REF!</v>
      </c>
      <c r="I107" s="120"/>
    </row>
    <row r="108" spans="1:35" ht="18.75" customHeight="1">
      <c r="A108" s="120"/>
      <c r="B108" s="120"/>
      <c r="C108" s="120"/>
      <c r="D108" s="120"/>
      <c r="E108" s="3430"/>
      <c r="F108" s="3398"/>
      <c r="G108" s="1682" t="s">
        <v>1434</v>
      </c>
      <c r="H108" s="2335">
        <f ca="1">IF(H107=H101,H102,ROUND(H107*10000/'数据-汇总表'!E3,0))</f>
        <v>0</v>
      </c>
      <c r="I108" s="120"/>
    </row>
    <row r="109" spans="1:35" ht="18.75" customHeight="1">
      <c r="A109" s="120"/>
      <c r="B109" s="120"/>
      <c r="C109" s="120"/>
      <c r="D109" s="120"/>
      <c r="E109" s="3430" t="str">
        <f>IF(项目基本情况!E8="已注销及未注销","4.抵押担保权已注销时的房地产抵押价值",IF(项目基本情况!E8="已注销","3.抵押担保权已注销时的房地产抵押价值","——"))</f>
        <v>——</v>
      </c>
      <c r="F109" s="3398"/>
      <c r="G109" s="1682" t="s">
        <v>1432</v>
      </c>
      <c r="H109" s="2378" t="str">
        <f>IF(E109="——","——",H101-H105-H106)</f>
        <v>——</v>
      </c>
      <c r="I109" s="120"/>
    </row>
    <row r="110" spans="1:35" ht="18.75" customHeight="1">
      <c r="A110" s="120"/>
      <c r="B110" s="120"/>
      <c r="C110" s="120"/>
      <c r="D110" s="120"/>
      <c r="E110" s="3430"/>
      <c r="F110" s="3398"/>
      <c r="G110" s="1682" t="s">
        <v>1434</v>
      </c>
      <c r="H110" s="2335" t="str">
        <f>IF(H109="——","——",ROUND(H109*10000/'数据-汇总表'!E3,0))</f>
        <v>——</v>
      </c>
      <c r="I110" s="120"/>
    </row>
    <row r="111" spans="1:35" ht="18.75" customHeight="1">
      <c r="A111" s="120"/>
      <c r="B111" s="120"/>
      <c r="C111" s="120"/>
      <c r="D111" s="120"/>
      <c r="E111" s="3431" t="str">
        <f>IF(项目基本情况!E9="抵押净值",IF(OR(项目基本情况!E8="已注销",项目基本情况!E8="房地产抵押价值"),"4.抵押净值","5.抵押净值"),"——")</f>
        <v>——</v>
      </c>
      <c r="F111" s="3417"/>
      <c r="G111" s="1682" t="s">
        <v>1432</v>
      </c>
      <c r="H111" s="2375" t="str">
        <f>IF(E111="——","——",N59)</f>
        <v>——</v>
      </c>
      <c r="I111" s="120"/>
    </row>
    <row r="112" spans="1:35" ht="18.75" customHeight="1" thickBot="1">
      <c r="A112" s="120"/>
      <c r="B112" s="120"/>
      <c r="C112" s="120"/>
      <c r="D112" s="120"/>
      <c r="E112" s="3432"/>
      <c r="F112" s="3433"/>
      <c r="G112" s="1685" t="s">
        <v>1434</v>
      </c>
      <c r="H112" s="2379" t="str">
        <f>IF(E111="——","——",N61)</f>
        <v>——</v>
      </c>
      <c r="I112" s="120"/>
    </row>
    <row r="113" spans="1:27" ht="18.75" customHeight="1">
      <c r="A113" s="120"/>
      <c r="B113" s="120"/>
      <c r="C113" s="120"/>
      <c r="D113" s="120"/>
      <c r="E113" s="3440" t="s">
        <v>1440</v>
      </c>
      <c r="F113" s="3440"/>
      <c r="G113" s="3440"/>
      <c r="H113" s="3440"/>
      <c r="I113" s="120"/>
    </row>
    <row r="114" spans="1:27" ht="3.75" customHeight="1">
      <c r="A114" s="642"/>
      <c r="B114" s="642"/>
      <c r="C114" s="642"/>
      <c r="D114" s="642"/>
      <c r="E114" s="1666"/>
      <c r="F114" s="1666"/>
      <c r="G114" s="1666"/>
      <c r="H114" s="1666"/>
      <c r="I114" s="642"/>
    </row>
    <row r="115" spans="1:27" ht="18.75" customHeight="1">
      <c r="A115" s="3448" t="s">
        <v>1442</v>
      </c>
      <c r="B115" s="3449"/>
      <c r="C115" s="3449"/>
      <c r="D115" s="3449"/>
      <c r="E115" s="3449"/>
      <c r="F115" s="3449"/>
      <c r="G115" s="3449"/>
      <c r="H115" s="3449"/>
      <c r="I115" s="3450"/>
    </row>
    <row r="116" spans="1:27" ht="27" customHeight="1">
      <c r="A116" s="3405" t="s">
        <v>1443</v>
      </c>
      <c r="B116" s="3409" t="s">
        <v>1444</v>
      </c>
      <c r="C116" s="3409" t="s">
        <v>1445</v>
      </c>
      <c r="D116" s="3415" t="s">
        <v>1446</v>
      </c>
      <c r="E116" s="3416"/>
      <c r="F116" s="3447" t="s">
        <v>1447</v>
      </c>
      <c r="G116" s="3447"/>
      <c r="H116" s="3405" t="s">
        <v>1448</v>
      </c>
      <c r="I116" s="3405"/>
    </row>
    <row r="117" spans="1:27" ht="18.75" customHeight="1">
      <c r="A117" s="3405"/>
      <c r="B117" s="3410"/>
      <c r="C117" s="3410"/>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1279.97</v>
      </c>
      <c r="C118" s="2145" t="e">
        <f>M19</f>
        <v>#REF!</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405" t="s">
        <v>1452</v>
      </c>
      <c r="B119" s="3405"/>
      <c r="C119" s="3405"/>
      <c r="D119" s="3411" t="e">
        <f ca="1">NUMBERSTRING(INT(D118*10000),2)&amp;"元整"</f>
        <v>#REF!</v>
      </c>
      <c r="E119" s="3412"/>
      <c r="F119" s="3411" t="e">
        <f ca="1">NUMBERSTRING(INT(F118*10000),2)&amp;"元整"</f>
        <v>#REF!</v>
      </c>
      <c r="G119" s="3412"/>
      <c r="H119" s="3411" t="e">
        <f ca="1">NUMBERSTRING(INT(H118*10000),2)&amp;"元整"</f>
        <v>#REF!</v>
      </c>
      <c r="I119" s="3412"/>
    </row>
    <row r="120" spans="1:27" ht="18.75" customHeight="1">
      <c r="A120" s="3406" t="str">
        <f>IF(项目基本情况!B9="房地产市场价值","",MID(E103,3,LEN(E103)-2))</f>
        <v/>
      </c>
      <c r="B120" s="3407"/>
      <c r="C120" s="3408"/>
      <c r="D120" s="3406">
        <f>H103</f>
        <v>0</v>
      </c>
      <c r="E120" s="3407"/>
      <c r="F120" s="3407"/>
      <c r="G120" s="3407"/>
      <c r="H120" s="3407"/>
      <c r="I120" s="3408"/>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411" t="s">
        <v>1452</v>
      </c>
      <c r="B121" s="3413"/>
      <c r="C121" s="3412"/>
      <c r="D121" s="3411" t="str">
        <f>IF(D120=0,"零元整",NUMBERSTRING(INT(D120*10000),2)&amp;"元整")</f>
        <v>零元整</v>
      </c>
      <c r="E121" s="3413"/>
      <c r="F121" s="3413"/>
      <c r="G121" s="3413"/>
      <c r="H121" s="3413"/>
      <c r="I121" s="3412"/>
      <c r="AA121" s="680"/>
    </row>
    <row r="122" spans="1:27" ht="18.75" customHeight="1">
      <c r="A122" s="3417" t="str">
        <f>IF(项目基本情况!B9="房地产市场价值","",MID(E107,3,LEN(E107)-2))</f>
        <v/>
      </c>
      <c r="B122" s="3417"/>
      <c r="C122" s="3417"/>
      <c r="D122" s="3406" t="e">
        <f ca="1">H107</f>
        <v>#REF!</v>
      </c>
      <c r="E122" s="3407"/>
      <c r="F122" s="3407"/>
      <c r="G122" s="3407"/>
      <c r="H122" s="3407"/>
      <c r="I122" s="3408"/>
      <c r="AA122" s="680"/>
    </row>
    <row r="123" spans="1:27" ht="18.75" customHeight="1">
      <c r="A123" s="3405" t="s">
        <v>1452</v>
      </c>
      <c r="B123" s="3405"/>
      <c r="C123" s="3405"/>
      <c r="D123" s="3411" t="e">
        <f ca="1">NUMBERSTRING(INT(D122*10000),2)&amp;"元整"</f>
        <v>#REF!</v>
      </c>
      <c r="E123" s="3413"/>
      <c r="F123" s="3413"/>
      <c r="G123" s="3413"/>
      <c r="H123" s="3413"/>
      <c r="I123" s="3412"/>
      <c r="AA123" s="680"/>
    </row>
    <row r="124" spans="1:27" ht="18.75" customHeight="1">
      <c r="A124" s="3417" t="str">
        <f>IF(项目基本情况!B9="房地产市场价值","",MID(E109,3,LEN(E109)-2))</f>
        <v/>
      </c>
      <c r="B124" s="3417"/>
      <c r="C124" s="3417"/>
      <c r="D124" s="3406" t="str">
        <f>H109</f>
        <v>——</v>
      </c>
      <c r="E124" s="3407"/>
      <c r="F124" s="3407"/>
      <c r="G124" s="3407"/>
      <c r="H124" s="3407"/>
      <c r="I124" s="3408"/>
      <c r="AA124" s="680"/>
    </row>
    <row r="125" spans="1:27" ht="18.75" customHeight="1">
      <c r="A125" s="3405" t="s">
        <v>1452</v>
      </c>
      <c r="B125" s="3405"/>
      <c r="C125" s="3405"/>
      <c r="D125" s="3411" t="e">
        <f>NUMBERSTRING(INT(D124*10000),2)&amp;"元整"</f>
        <v>#VALUE!</v>
      </c>
      <c r="E125" s="3413"/>
      <c r="F125" s="3413"/>
      <c r="G125" s="3413"/>
      <c r="H125" s="3413"/>
      <c r="I125" s="3412"/>
      <c r="AA125" s="680"/>
    </row>
    <row r="126" spans="1:27" ht="18.75" customHeight="1">
      <c r="A126" s="3417" t="str">
        <f>IF(项目基本情况!B9="房地产市场价值","",MID(E111,3,LEN(E111)-2))</f>
        <v/>
      </c>
      <c r="B126" s="3417"/>
      <c r="C126" s="3417"/>
      <c r="D126" s="3406" t="str">
        <f>H111</f>
        <v>——</v>
      </c>
      <c r="E126" s="3407"/>
      <c r="F126" s="3407"/>
      <c r="G126" s="3407"/>
      <c r="H126" s="3407"/>
      <c r="I126" s="3408"/>
      <c r="AA126" s="680"/>
    </row>
    <row r="127" spans="1:27" ht="18.75" customHeight="1">
      <c r="A127" s="3405" t="s">
        <v>1452</v>
      </c>
      <c r="B127" s="3405"/>
      <c r="C127" s="3405"/>
      <c r="D127" s="3411" t="e">
        <f>NUMBERSTRING(INT(D126*10000),2)&amp;"元整"</f>
        <v>#VALUE!</v>
      </c>
      <c r="E127" s="3413"/>
      <c r="F127" s="3413"/>
      <c r="G127" s="3413"/>
      <c r="H127" s="3413"/>
      <c r="I127" s="3412"/>
      <c r="AA127" s="680"/>
    </row>
    <row r="128" spans="1:27" ht="21.75" customHeight="1">
      <c r="A128" s="3414" t="s">
        <v>1453</v>
      </c>
      <c r="B128" s="3414"/>
      <c r="C128" s="3414"/>
      <c r="D128" s="3414"/>
      <c r="E128" s="3414"/>
      <c r="F128" s="3414"/>
      <c r="G128" s="3414"/>
      <c r="H128" s="3414"/>
      <c r="I128" s="3414"/>
      <c r="AA128" s="680"/>
    </row>
    <row r="129" spans="1:35" ht="21.75" customHeight="1">
      <c r="A129" s="1686" t="s">
        <v>1454</v>
      </c>
      <c r="B129" s="1687"/>
      <c r="C129" s="1688" t="s">
        <v>1455</v>
      </c>
      <c r="D129" s="1689"/>
      <c r="E129" s="1689"/>
      <c r="F129" s="1689"/>
      <c r="G129" s="1689"/>
      <c r="H129" s="1690"/>
      <c r="I129" s="1691"/>
      <c r="AA129" s="680"/>
    </row>
    <row r="130" spans="1:35" ht="21.75" customHeight="1">
      <c r="A130" s="1692">
        <v>1</v>
      </c>
      <c r="B130" s="1693"/>
      <c r="C130" s="1693"/>
      <c r="D130" s="684"/>
      <c r="E130" s="684"/>
      <c r="F130" s="684"/>
      <c r="G130" s="684"/>
      <c r="H130" s="683"/>
      <c r="I130" s="1694"/>
      <c r="AA130" s="680"/>
    </row>
    <row r="131" spans="1:35" ht="21.75" customHeight="1">
      <c r="A131" s="1692">
        <v>2</v>
      </c>
      <c r="B131" s="1693"/>
      <c r="C131" s="1693"/>
      <c r="D131" s="684"/>
      <c r="E131" s="684"/>
      <c r="F131" s="684"/>
      <c r="G131" s="684"/>
      <c r="H131" s="683"/>
      <c r="I131" s="1694"/>
      <c r="AA131" s="680"/>
    </row>
    <row r="132" spans="1:35" ht="21.75" customHeight="1">
      <c r="A132" s="1692">
        <v>3</v>
      </c>
      <c r="B132" s="1693"/>
      <c r="C132" s="1693"/>
      <c r="D132" s="684"/>
      <c r="E132" s="684"/>
      <c r="F132" s="684"/>
      <c r="G132" s="684"/>
      <c r="H132" s="683"/>
      <c r="I132" s="1694"/>
      <c r="AA132" s="680"/>
    </row>
    <row r="133" spans="1:35" ht="21.75" customHeight="1">
      <c r="A133" s="1695"/>
      <c r="B133" s="1696"/>
      <c r="C133" s="1696"/>
      <c r="D133" s="1697"/>
      <c r="E133" s="1697"/>
      <c r="F133" s="1697"/>
      <c r="G133" s="1697"/>
      <c r="H133" s="1698"/>
      <c r="I133" s="1699"/>
    </row>
    <row r="134" spans="1:35" ht="21.75" customHeight="1">
      <c r="A134" s="1693"/>
      <c r="B134" s="1693"/>
      <c r="C134" s="1693"/>
      <c r="D134" s="684"/>
      <c r="E134" s="684"/>
      <c r="F134" s="684"/>
      <c r="G134" s="684"/>
      <c r="H134" s="683"/>
      <c r="I134" s="680"/>
    </row>
    <row r="135" spans="1:35" ht="21.75" customHeight="1">
      <c r="A135" s="680"/>
      <c r="B135" s="680"/>
      <c r="C135" s="680"/>
      <c r="D135" s="680"/>
      <c r="E135" s="680"/>
      <c r="F135" s="1700" t="s">
        <v>1456</v>
      </c>
      <c r="G135" s="1701"/>
      <c r="H135" s="1701"/>
      <c r="I135" s="1702" t="s">
        <v>1457</v>
      </c>
    </row>
    <row r="136" spans="1:35" ht="21.75" customHeight="1">
      <c r="A136" s="680"/>
      <c r="B136" s="1703"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1"/>
      <c r="C138" s="1701"/>
      <c r="D138" s="1701"/>
      <c r="E138" s="1701"/>
      <c r="F138" s="1701"/>
      <c r="G138" s="1701"/>
      <c r="H138" s="1701"/>
      <c r="I138" s="1702" t="s">
        <v>1459</v>
      </c>
    </row>
    <row r="139" spans="1:35" ht="21.75" customHeight="1">
      <c r="A139" s="680"/>
      <c r="B139" s="1703" t="s">
        <v>1460</v>
      </c>
      <c r="C139" s="680"/>
      <c r="D139" s="680"/>
      <c r="E139" s="680"/>
      <c r="F139" s="680"/>
      <c r="G139" s="680"/>
      <c r="H139" s="680"/>
      <c r="I139" s="680"/>
    </row>
    <row r="140" spans="1:35" ht="21.75" customHeight="1">
      <c r="A140" s="680"/>
      <c r="B140" s="1703"/>
      <c r="C140" s="680"/>
      <c r="D140" s="680"/>
      <c r="E140" s="680"/>
      <c r="F140" s="680"/>
      <c r="G140" s="680"/>
      <c r="H140" s="680"/>
      <c r="I140" s="680"/>
    </row>
    <row r="141" spans="1:35" ht="21.75" customHeight="1">
      <c r="A141" s="680"/>
      <c r="B141" s="1701"/>
      <c r="C141" s="1701"/>
      <c r="D141" s="1701"/>
      <c r="E141" s="1701"/>
      <c r="F141" s="1701"/>
      <c r="G141" s="1701"/>
      <c r="H141" s="1701"/>
      <c r="I141" s="1702" t="s">
        <v>1459</v>
      </c>
    </row>
    <row r="142" spans="1:35" ht="21.75" customHeight="1">
      <c r="A142" s="680"/>
      <c r="B142" s="1703"/>
      <c r="C142" s="1704"/>
      <c r="D142" s="1705"/>
      <c r="E142" s="1705"/>
      <c r="F142" s="1609"/>
      <c r="G142" s="680"/>
      <c r="H142" s="680"/>
      <c r="I142" s="680"/>
    </row>
    <row r="143" spans="1:35" s="121" customFormat="1" ht="21.75" customHeight="1">
      <c r="A143" s="680"/>
      <c r="B143" s="1703"/>
      <c r="C143" s="1704"/>
      <c r="D143" s="1705"/>
      <c r="E143" s="1705"/>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8">
        <f>MATCH(B1,'数据-取费表'!A6:A16,0)+5</f>
        <v>7</v>
      </c>
    </row>
    <row r="2" spans="1:9" s="191" customFormat="1" ht="18" customHeight="1">
      <c r="A2" s="192" t="s">
        <v>1462</v>
      </c>
      <c r="B2" s="193">
        <f ca="1">IF(D2="——",C52,C52-E2)</f>
        <v>367332</v>
      </c>
      <c r="C2" s="190" t="s">
        <v>1463</v>
      </c>
      <c r="D2" s="1706" t="s">
        <v>43</v>
      </c>
      <c r="E2" s="1085" t="e">
        <f ca="1">SUMIF(INDIRECT("'"&amp;G2&amp;"'"&amp;"!A:A"),"承租人权益价值",INDIRECT("'"&amp;G2&amp;"'"&amp;"!c:c"))</f>
        <v>#REF!</v>
      </c>
      <c r="F2" s="1707" t="s">
        <v>1463</v>
      </c>
      <c r="G2" s="1708"/>
    </row>
    <row r="3" spans="1:9" s="191" customFormat="1" ht="18" customHeight="1" thickBot="1">
      <c r="A3" s="194" t="s">
        <v>1464</v>
      </c>
      <c r="B3" s="195">
        <f ca="1">ROUND(B2*10000/(IF(B1="",'数据-汇总表'!E3,INDIRECT("'数据-取费表'!k"&amp;$G$1))),0)</f>
        <v>2869849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255994</v>
      </c>
      <c r="D5" s="202" t="s">
        <v>1469</v>
      </c>
      <c r="E5" s="203" t="s">
        <v>1470</v>
      </c>
      <c r="F5" s="203" t="s">
        <v>1471</v>
      </c>
      <c r="G5" s="204"/>
    </row>
    <row r="6" spans="1:9" s="205" customFormat="1" ht="13.5" customHeight="1">
      <c r="A6" s="728" t="s">
        <v>1472</v>
      </c>
      <c r="B6" s="206" t="s">
        <v>1473</v>
      </c>
      <c r="C6" s="207"/>
      <c r="D6" s="208"/>
      <c r="E6" s="209"/>
      <c r="F6" s="209"/>
      <c r="G6" s="210"/>
    </row>
    <row r="7" spans="1:9" s="205" customFormat="1" ht="13.5" customHeight="1">
      <c r="A7" s="728" t="s">
        <v>1474</v>
      </c>
      <c r="B7" s="206" t="s">
        <v>1475</v>
      </c>
      <c r="C7" s="211">
        <f>ROUND(C6*F7,0)</f>
        <v>0</v>
      </c>
      <c r="D7" s="211"/>
      <c r="E7" s="209"/>
      <c r="F7" s="212">
        <f>IF(项目基本情况!B8="出让",0,'数据-取费表'!B48+'数据-取费表'!B49)</f>
        <v>3.0499999999999999E-2</v>
      </c>
      <c r="G7" s="210"/>
    </row>
    <row r="8" spans="1:9" s="214" customFormat="1">
      <c r="A8" s="728" t="s">
        <v>1476</v>
      </c>
      <c r="B8" s="206" t="s">
        <v>1477</v>
      </c>
      <c r="C8" s="211">
        <f ca="1">IF(G8="已包含在土地购买价格中","0",IF(B1="",'数据-取费表'!B29,IF(G9="全部缴纳",C9+C10,H9)))</f>
        <v>255994</v>
      </c>
      <c r="D8" s="213"/>
      <c r="E8" s="211"/>
      <c r="F8" s="212"/>
      <c r="G8" s="1709"/>
    </row>
    <row r="9" spans="1:9" s="205" customFormat="1" ht="13.5" customHeight="1">
      <c r="A9" s="729" t="s">
        <v>355</v>
      </c>
      <c r="B9" s="215" t="s">
        <v>1478</v>
      </c>
      <c r="C9" s="216">
        <f ca="1">ROUND(D9*E9/10000,0)</f>
        <v>0</v>
      </c>
      <c r="D9" s="791">
        <f ca="1">IF(B1="",'数据-汇总表'!E5,IF(INDIRECT("'数据-取费表'!c"&amp;$G$1)="住宅",INDIRECT("'数据-取费表'!k"&amp;$G$1),0))</f>
        <v>0</v>
      </c>
      <c r="E9" s="216">
        <f>'数据-取费表'!B27</f>
        <v>160</v>
      </c>
      <c r="F9" s="212"/>
      <c r="G9" s="1710"/>
      <c r="H9" s="1066"/>
      <c r="I9" s="1711" t="s">
        <v>1479</v>
      </c>
    </row>
    <row r="10" spans="1:9" s="205" customFormat="1" ht="13.5" customHeight="1">
      <c r="A10" s="729" t="s">
        <v>356</v>
      </c>
      <c r="B10" s="215" t="s">
        <v>1480</v>
      </c>
      <c r="C10" s="216">
        <f ca="1">ROUND(D10*E10/10000,0)</f>
        <v>26</v>
      </c>
      <c r="D10" s="791">
        <f ca="1">IF(B1="",'数据-汇总表'!E6,IF(INDIRECT("'数据-取费表'!c"&amp;$G$1)="住宅",INDIRECT("'数据-取费表'!s"&amp;$G$1),INDIRECT("'数据-取费表'!k"&amp;$G$1)+INDIRECT("'数据-取费表'!s"&amp;$G$1)))</f>
        <v>1279.97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26</v>
      </c>
      <c r="D19" s="203">
        <f ca="1">D9+D10</f>
        <v>1279.97</v>
      </c>
      <c r="E19" s="202">
        <f>'数据-取费表'!B31</f>
        <v>200</v>
      </c>
      <c r="F19" s="222"/>
      <c r="G19" s="1709"/>
    </row>
    <row r="20" spans="1:7" s="205" customFormat="1" ht="13.5" customHeight="1">
      <c r="A20" s="246" t="s">
        <v>1493</v>
      </c>
      <c r="B20" s="201" t="s">
        <v>1494</v>
      </c>
      <c r="C20" s="223">
        <f ca="1">ROUND((C5+C19)*F20,0)</f>
        <v>5120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7">
        <f ca="1">ROUND(SUM(C23:C25),0)</f>
        <v>25143</v>
      </c>
      <c r="D22" s="226">
        <f ca="1">C26</f>
        <v>1E-3</v>
      </c>
      <c r="E22" s="227" t="s">
        <v>1498</v>
      </c>
      <c r="F22" s="228">
        <f ca="1">'数据-取费表'!B40</f>
        <v>4.7500000000000001E-2</v>
      </c>
      <c r="G22" s="225" t="str">
        <f>IF('数据-取费表'!B22&lt;=1,"单利计息","复利计息")</f>
        <v>复利计息</v>
      </c>
    </row>
    <row r="23" spans="1:7" s="205" customFormat="1" ht="13.5" customHeight="1">
      <c r="A23" s="730" t="s">
        <v>1502</v>
      </c>
      <c r="B23" s="206" t="s">
        <v>1503</v>
      </c>
      <c r="C23" s="1038">
        <f ca="1">ROUND(IF('数据-取费表'!B22&lt;=1,C5*F22*'数据-取费表'!B23,C5*(POWER((1+F22),'数据-取费表'!B23)-1)),0)</f>
        <v>24897</v>
      </c>
      <c r="D23" s="229"/>
      <c r="E23" s="229"/>
      <c r="F23" s="230"/>
      <c r="G23" s="231" t="s">
        <v>1504</v>
      </c>
    </row>
    <row r="24" spans="1:7" s="205" customFormat="1" ht="13.5" customHeight="1">
      <c r="A24" s="730" t="s">
        <v>1505</v>
      </c>
      <c r="B24" s="206" t="s">
        <v>1506</v>
      </c>
      <c r="C24" s="1038">
        <f ca="1">ROUND(IF('数据-取费表'!B22&lt;=1,C19*F22*('数据-取费表'!B19/2+'数据-取费表'!B21),C19*(POWER((1+F22),('数据-取费表'!B19/2+'数据-取费表'!B21))-1)),0)</f>
        <v>3</v>
      </c>
      <c r="D24" s="229"/>
      <c r="E24" s="229"/>
      <c r="F24" s="230"/>
      <c r="G24" s="231" t="s">
        <v>1507</v>
      </c>
    </row>
    <row r="25" spans="1:7" s="205" customFormat="1" ht="24">
      <c r="A25" s="730" t="s">
        <v>1508</v>
      </c>
      <c r="B25" s="206" t="s">
        <v>1509</v>
      </c>
      <c r="C25" s="1038">
        <f ca="1">ROUND(IF('数据-取费表'!B22&lt;=1,C20*F22*'数据-取费表'!B23/2,C20*(POWER((1+F22),'数据-取费表'!B23/2)-1)),0)</f>
        <v>243</v>
      </c>
      <c r="D25" s="229"/>
      <c r="E25" s="232"/>
      <c r="F25" s="230"/>
      <c r="G25" s="233" t="s">
        <v>1510</v>
      </c>
    </row>
    <row r="26" spans="1:7" s="205" customFormat="1">
      <c r="A26" s="730"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52228</v>
      </c>
      <c r="D27" s="226">
        <f ca="1">C29</f>
        <v>4.0000000000000001E-3</v>
      </c>
      <c r="E27" s="227" t="s">
        <v>1514</v>
      </c>
      <c r="F27" s="237">
        <f ca="1">IF(B1="",'数据-取费表'!Q16,INDIRECT("'数据-取费表'!q"&amp;$G$1))</f>
        <v>0.2</v>
      </c>
      <c r="G27" s="238" t="s">
        <v>1515</v>
      </c>
    </row>
    <row r="28" spans="1:7" s="205" customFormat="1" ht="13.5" customHeight="1">
      <c r="A28" s="730" t="s">
        <v>346</v>
      </c>
      <c r="B28" s="239" t="s">
        <v>1516</v>
      </c>
      <c r="C28" s="240">
        <f ca="1">ROUND((C5+C19+C20)*F27*'数据-取费表'!B21/'数据-取费表'!B20,0)</f>
        <v>52228</v>
      </c>
      <c r="D28" s="226"/>
      <c r="E28" s="227"/>
      <c r="F28" s="237"/>
      <c r="G28" s="238"/>
    </row>
    <row r="29" spans="1:7" s="205" customFormat="1" ht="13.5" customHeight="1">
      <c r="A29" s="730"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367268</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60</v>
      </c>
      <c r="D33" s="223"/>
      <c r="E33" s="203"/>
      <c r="F33" s="232"/>
      <c r="G33" s="225"/>
    </row>
    <row r="34" spans="1:7" s="249" customFormat="1" ht="13.5" customHeight="1">
      <c r="A34" s="730"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0" t="s">
        <v>351</v>
      </c>
      <c r="B35" s="206" t="s">
        <v>1527</v>
      </c>
      <c r="C35" s="211">
        <f ca="1">ROUND(C34*F35,0)</f>
        <v>1</v>
      </c>
      <c r="D35" s="211"/>
      <c r="E35" s="211"/>
      <c r="F35" s="250">
        <f>'数据-取费表'!B33</f>
        <v>0.03</v>
      </c>
      <c r="G35" s="210" t="s">
        <v>1528</v>
      </c>
    </row>
    <row r="36" spans="1:7" ht="24">
      <c r="A36" s="730"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0" t="s">
        <v>353</v>
      </c>
      <c r="B37" s="206" t="s">
        <v>1531</v>
      </c>
      <c r="C37" s="240">
        <f ca="1">ROUND(E37*D37*F34/10000,0)</f>
        <v>26</v>
      </c>
      <c r="D37" s="208">
        <f ca="1">D19</f>
        <v>1279.97</v>
      </c>
      <c r="E37" s="240">
        <f>'数据-取费表'!B35</f>
        <v>200</v>
      </c>
      <c r="F37" s="250"/>
      <c r="G37" s="252" t="s">
        <v>1532</v>
      </c>
    </row>
    <row r="38" spans="1:7" ht="13.5" customHeight="1">
      <c r="A38" s="730"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1E-3</v>
      </c>
      <c r="E41" s="227" t="s">
        <v>1539</v>
      </c>
      <c r="F41" s="228">
        <f ca="1">F22</f>
        <v>4.7500000000000001E-2</v>
      </c>
      <c r="G41" s="225" t="str">
        <f>IF('数据-取费表'!B22&lt;=1,"单利计息","复利计息")</f>
        <v>复利计息</v>
      </c>
    </row>
    <row r="42" spans="1:7" ht="13.5" customHeight="1">
      <c r="A42" s="730" t="s">
        <v>346</v>
      </c>
      <c r="B42" s="206" t="s">
        <v>1543</v>
      </c>
      <c r="C42" s="229">
        <f ca="1">ROUND(IF('数据-取费表'!B22&lt;=1,C33*F22*'数据-取费表'!B21/2,C33*(POWER((1+F22),'数据-取费表'!B21/2)-1)),0)</f>
        <v>3</v>
      </c>
      <c r="D42" s="229"/>
      <c r="E42" s="229"/>
      <c r="F42" s="230"/>
      <c r="G42" s="3484" t="s">
        <v>1544</v>
      </c>
    </row>
    <row r="43" spans="1:7" ht="13.5" customHeight="1">
      <c r="A43" s="730" t="s">
        <v>347</v>
      </c>
      <c r="B43" s="206" t="s">
        <v>1545</v>
      </c>
      <c r="C43" s="229">
        <f ca="1">ROUND(IF('数据-取费表'!B22&lt;=1,C39*F22*'数据-取费表'!B21/2,C39*(POWER((1+F22),'数据-取费表'!B21/2)-1)),0)</f>
        <v>0</v>
      </c>
      <c r="D43" s="229"/>
      <c r="E43" s="229"/>
      <c r="F43" s="230"/>
      <c r="G43" s="3485"/>
    </row>
    <row r="44" spans="1:7" ht="13.5" customHeight="1">
      <c r="A44" s="730" t="s">
        <v>348</v>
      </c>
      <c r="B44" s="206" t="s">
        <v>1546</v>
      </c>
      <c r="C44" s="229">
        <f ca="1">ROUND(IF('数据-取费表'!B22&lt;=1,C40*F22*'数据-取费表'!B21/2,C40*(POWER((1+F22),'数据-取费表'!B21/2)-1)),4)</f>
        <v>1E-3</v>
      </c>
      <c r="D44" s="229"/>
      <c r="E44" s="229"/>
      <c r="F44" s="230"/>
      <c r="G44" s="3486"/>
    </row>
    <row r="45" spans="1:7" s="205" customFormat="1" ht="13.5" customHeight="1">
      <c r="A45" s="246" t="s">
        <v>1547</v>
      </c>
      <c r="B45" s="235" t="s">
        <v>1513</v>
      </c>
      <c r="C45" s="236">
        <f ca="1">C46</f>
        <v>12</v>
      </c>
      <c r="D45" s="226">
        <f ca="1">C47</f>
        <v>4.0000000000000001E-3</v>
      </c>
      <c r="E45" s="227" t="s">
        <v>1539</v>
      </c>
      <c r="F45" s="237">
        <f ca="1">F27</f>
        <v>0.2</v>
      </c>
      <c r="G45" s="238" t="s">
        <v>1548</v>
      </c>
    </row>
    <row r="46" spans="1:7" s="205" customFormat="1" ht="13.5" customHeight="1">
      <c r="A46" s="730" t="s">
        <v>346</v>
      </c>
      <c r="B46" s="239" t="s">
        <v>1549</v>
      </c>
      <c r="C46" s="240">
        <f ca="1">ROUND((C33+C39)*F27,0)</f>
        <v>12</v>
      </c>
      <c r="D46" s="254"/>
      <c r="E46" s="227"/>
      <c r="F46" s="237"/>
      <c r="G46" s="238"/>
    </row>
    <row r="47" spans="1:7" s="205" customFormat="1" ht="13.5" customHeight="1">
      <c r="A47" s="730"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82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64</v>
      </c>
      <c r="D51" s="223"/>
      <c r="E51" s="223"/>
      <c r="F51" s="255"/>
      <c r="G51" s="225" t="s">
        <v>1560</v>
      </c>
    </row>
    <row r="52" spans="1:7" s="199" customFormat="1" ht="16.5" thickBot="1">
      <c r="A52" s="256" t="s">
        <v>1561</v>
      </c>
      <c r="B52" s="257"/>
      <c r="C52" s="258">
        <f ca="1">C31+C51</f>
        <v>367332</v>
      </c>
      <c r="D52" s="257"/>
      <c r="E52" s="257"/>
      <c r="F52" s="257"/>
      <c r="G52" s="259"/>
    </row>
    <row r="55" spans="1:7" ht="15">
      <c r="B55" s="261" t="s">
        <v>1562</v>
      </c>
      <c r="C55" s="262"/>
    </row>
    <row r="56" spans="1:7">
      <c r="B56" s="264" t="s">
        <v>802</v>
      </c>
      <c r="C56" s="266">
        <f ca="1">1-C57</f>
        <v>1</v>
      </c>
    </row>
    <row r="57" spans="1:7">
      <c r="B57" s="264" t="s">
        <v>803</v>
      </c>
      <c r="C57" s="265">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1594</v>
      </c>
      <c r="B1" s="120"/>
      <c r="C1" s="1106"/>
      <c r="D1" s="1105"/>
      <c r="E1" s="2562"/>
      <c r="F1" s="2562"/>
      <c r="G1" s="2443"/>
      <c r="H1" s="2562"/>
      <c r="I1" s="2562"/>
      <c r="J1" s="2562"/>
      <c r="K1" s="2563">
        <f>MATCH(C1,'数据-取费表'!A6:A16,0)+5</f>
        <v>7</v>
      </c>
    </row>
    <row r="2" spans="1:33" ht="18" customHeight="1">
      <c r="A2" s="192" t="s">
        <v>1462</v>
      </c>
      <c r="B2" s="195">
        <f ca="1">C32</f>
        <v>304474</v>
      </c>
      <c r="C2" s="267" t="s">
        <v>1595</v>
      </c>
      <c r="D2" s="267"/>
      <c r="E2" s="2562"/>
      <c r="F2" s="2562"/>
      <c r="G2" s="2562"/>
      <c r="H2" s="2562"/>
      <c r="I2" s="2562"/>
      <c r="J2" s="2562"/>
      <c r="K2" s="2562"/>
    </row>
    <row r="3" spans="1:33" ht="18" customHeight="1" thickBot="1">
      <c r="A3" s="194" t="s">
        <v>1464</v>
      </c>
      <c r="B3" s="195">
        <f ca="1">ROUND(B2*10000/IF(C1="",'数据-汇总表'!E3,INDIRECT("'数据-取费表'!K"&amp;$K$1)),0)</f>
        <v>2378759</v>
      </c>
      <c r="C3" s="267" t="s">
        <v>1596</v>
      </c>
      <c r="D3" s="267"/>
      <c r="E3" s="2562"/>
      <c r="F3" s="2562"/>
      <c r="G3" s="2562"/>
      <c r="H3" s="2562"/>
      <c r="I3" s="2562"/>
      <c r="J3" s="2562"/>
      <c r="K3" s="2562"/>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3"/>
      <c r="D5" s="1713"/>
      <c r="E5" s="1713"/>
      <c r="F5" s="1713"/>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4" t="s">
        <v>1603</v>
      </c>
      <c r="B8" s="155"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7"/>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7"/>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1279.97</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2"/>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1279.97</v>
      </c>
      <c r="E17" s="21">
        <f>'数据-取费表'!B32</f>
        <v>0</v>
      </c>
      <c r="F17" s="754"/>
      <c r="G17" s="122"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-255968</v>
      </c>
      <c r="D18" s="792"/>
      <c r="E18" s="21"/>
      <c r="F18" s="752"/>
      <c r="G18" s="1715"/>
      <c r="H18" s="1102"/>
      <c r="I18" s="1716"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1627</v>
      </c>
      <c r="C20" s="21">
        <f ca="1">ROUND(D20*E20/10000,0)</f>
        <v>26</v>
      </c>
      <c r="D20" s="792">
        <f ca="1">IF(C1="",'数据-汇总表'!E6,IF(INDIRECT("'数据-取费表'!c"&amp;$K$1)="住宅",INDIRECT("'数据-取费表'!s"&amp;$K$1),INDIRECT("'数据-取费表'!k"&amp;$K$1)+INDIRECT("'数据-取费表'!s"&amp;$K$1)))</f>
        <v>1279.97</v>
      </c>
      <c r="E20" s="21">
        <f>'数据-取费表'!B28</f>
        <v>200</v>
      </c>
      <c r="F20" s="752"/>
      <c r="G20" s="12"/>
      <c r="H20" s="757"/>
      <c r="I20" s="757"/>
      <c r="J20" s="757"/>
      <c r="K20" s="758"/>
    </row>
    <row r="21" spans="1:33" s="751" customFormat="1" ht="13.5" customHeight="1">
      <c r="A21" s="740" t="s">
        <v>357</v>
      </c>
      <c r="B21" s="761" t="s">
        <v>1628</v>
      </c>
      <c r="C21" s="762">
        <f ca="1">C16+C17+C18</f>
        <v>-255968</v>
      </c>
      <c r="D21" s="763"/>
      <c r="E21" s="272"/>
      <c r="F21" s="272"/>
      <c r="G21" s="122" t="s">
        <v>1629</v>
      </c>
      <c r="H21" s="755"/>
      <c r="I21" s="755"/>
      <c r="J21" s="755"/>
      <c r="K21" s="756"/>
    </row>
    <row r="22" spans="1:33" s="751" customFormat="1" ht="13.5" customHeight="1">
      <c r="A22" s="740" t="s">
        <v>1601</v>
      </c>
      <c r="B22" s="761" t="s">
        <v>1630</v>
      </c>
      <c r="C22" s="762">
        <f ca="1">ROUND(C21*F22,0)</f>
        <v>-5119</v>
      </c>
      <c r="D22" s="272"/>
      <c r="E22" s="272"/>
      <c r="F22" s="764">
        <f>'数据-取费表'!B37</f>
        <v>0.02</v>
      </c>
      <c r="G22" s="5" t="s">
        <v>1631</v>
      </c>
      <c r="H22" s="745"/>
      <c r="I22" s="745"/>
      <c r="J22" s="745"/>
      <c r="K22" s="746"/>
    </row>
    <row r="23" spans="1:33" s="751" customFormat="1" ht="13.5" customHeight="1">
      <c r="A23" s="740" t="s">
        <v>1603</v>
      </c>
      <c r="B23" s="761" t="s">
        <v>1632</v>
      </c>
      <c r="C23" s="762">
        <f ca="1">ROUND(C4*F23*F11,0)</f>
        <v>0</v>
      </c>
      <c r="D23" s="272"/>
      <c r="E23" s="272"/>
      <c r="F23" s="764">
        <f>'数据-取费表'!B38</f>
        <v>0.02</v>
      </c>
      <c r="G23" s="5" t="s">
        <v>1633</v>
      </c>
      <c r="H23" s="745"/>
      <c r="I23" s="745"/>
      <c r="J23" s="745"/>
      <c r="K23" s="746"/>
    </row>
    <row r="24" spans="1:33" s="751" customFormat="1" ht="13.5" customHeight="1">
      <c r="A24" s="740" t="s">
        <v>1634</v>
      </c>
      <c r="B24" s="761" t="s">
        <v>1635</v>
      </c>
      <c r="C24" s="271">
        <f>ROUND(F24/(1+'数据-取费表'!C42),4)</f>
        <v>2.9000000000000001E-2</v>
      </c>
      <c r="D24" s="272" t="s">
        <v>12</v>
      </c>
      <c r="E24" s="272"/>
      <c r="F24" s="764">
        <f>IF(项目基本情况!B8="出让",0,'数据-取费表'!B48+'数据-取费表'!B49)</f>
        <v>3.0499999999999999E-2</v>
      </c>
      <c r="G24" s="5" t="s">
        <v>1636</v>
      </c>
      <c r="H24" s="766"/>
      <c r="I24" s="766"/>
      <c r="J24" s="766"/>
      <c r="K24" s="54"/>
    </row>
    <row r="25" spans="1:33" s="751" customFormat="1" ht="13.5" customHeight="1">
      <c r="A25" s="740" t="s">
        <v>1637</v>
      </c>
      <c r="B25" s="763" t="s">
        <v>1638</v>
      </c>
      <c r="C25" s="1039">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6"/>
      <c r="I25" s="766"/>
      <c r="J25" s="766"/>
      <c r="K25" s="54"/>
    </row>
    <row r="26" spans="1:33" s="768" customFormat="1" ht="13.5" customHeight="1">
      <c r="A26" s="748" t="s">
        <v>358</v>
      </c>
      <c r="B26" s="767" t="s">
        <v>1639</v>
      </c>
      <c r="C26" s="1040">
        <f ca="1">ROUND(IF('数据-取费表'!B22&lt;=1,(1+C24)*F25*'数据-取费表'!B24,(1+C24)*(POWER((1+F25),'数据-取费表'!B24)-1)),4)</f>
        <v>0</v>
      </c>
      <c r="D26" s="275"/>
      <c r="E26" s="276"/>
      <c r="F26" s="277"/>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5"/>
      <c r="E27" s="276"/>
      <c r="F27" s="277"/>
      <c r="G27" s="1717" t="str">
        <f>IF('数据-取费表'!B22&lt;=1,"（1）-（3）项×年利率×建设期÷2","（1）-（3）项×((1+年利率)^(建设期÷2)-1)")</f>
        <v>（1）-（3）项×((1+年利率)^(建设期÷2)-1)</v>
      </c>
      <c r="H27" s="755"/>
      <c r="I27" s="755"/>
      <c r="J27" s="755"/>
      <c r="K27" s="756"/>
    </row>
    <row r="28" spans="1:33" s="280" customFormat="1" ht="13.5" customHeight="1">
      <c r="A28" s="740" t="s">
        <v>1641</v>
      </c>
      <c r="B28" s="1718" t="s">
        <v>1642</v>
      </c>
      <c r="C28" s="278">
        <f ca="1">C30</f>
        <v>-52217</v>
      </c>
      <c r="D28" s="271">
        <f ca="1">C29</f>
        <v>0</v>
      </c>
      <c r="E28" s="273" t="s">
        <v>12</v>
      </c>
      <c r="F28" s="279">
        <f ca="1">IF(C1="",'数据-取费表'!Q16,INDIRECT("'数据-取费表'!q"&amp;$K$1))</f>
        <v>0.2</v>
      </c>
      <c r="G28" s="765"/>
      <c r="H28" s="766"/>
      <c r="I28" s="766"/>
      <c r="J28" s="766"/>
      <c r="K28" s="54"/>
    </row>
    <row r="29" spans="1:33" s="282" customFormat="1" ht="13.5" customHeight="1">
      <c r="A29" s="748" t="s">
        <v>358</v>
      </c>
      <c r="B29" s="769" t="s">
        <v>1643</v>
      </c>
      <c r="C29" s="275">
        <f ca="1">ROUND((1+C24)*F28*'数据-取费表'!B24/'数据-取费表'!B20,4)</f>
        <v>0</v>
      </c>
      <c r="D29" s="275"/>
      <c r="E29" s="276"/>
      <c r="F29" s="281"/>
      <c r="G29" s="122" t="s">
        <v>1644</v>
      </c>
      <c r="H29" s="755"/>
      <c r="I29" s="755"/>
      <c r="J29" s="755"/>
      <c r="K29" s="756"/>
    </row>
    <row r="30" spans="1:33" s="282" customFormat="1" ht="13.5" customHeight="1">
      <c r="A30" s="748" t="s">
        <v>359</v>
      </c>
      <c r="B30" s="769" t="s">
        <v>1645</v>
      </c>
      <c r="C30" s="283">
        <f ca="1">ROUND((C21+C22+C23)*F28,0)</f>
        <v>-52217</v>
      </c>
      <c r="D30" s="275"/>
      <c r="E30" s="276"/>
      <c r="F30" s="281"/>
      <c r="G30" s="122"/>
      <c r="H30" s="755"/>
      <c r="I30" s="755"/>
      <c r="J30" s="755"/>
      <c r="K30" s="756"/>
    </row>
    <row r="31" spans="1:33" s="751" customFormat="1" ht="13.5" customHeight="1" thickBot="1">
      <c r="A31" s="1719"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8" t="s">
        <v>1649</v>
      </c>
      <c r="B32" s="775"/>
      <c r="C32" s="776">
        <f ca="1">ROUND((C4-C21-C22-C23-C25-C28-C31)/(1+C24+D25+D28),0)</f>
        <v>304474</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59"/>
      <c r="C1" s="1283"/>
      <c r="D1" s="1267" t="s">
        <v>43</v>
      </c>
      <c r="E1" s="1268" t="s">
        <v>678</v>
      </c>
      <c r="F1" s="995">
        <f ca="1">J53</f>
        <v>0</v>
      </c>
      <c r="G1" s="1282">
        <f>MATCH(C1,'数据-取费表'!A6:A16,0)+5</f>
        <v>7</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804</v>
      </c>
      <c r="B2" s="1290" t="e">
        <f ca="1">C40+J29+L46</f>
        <v>#DIV/0!</v>
      </c>
      <c r="C2" s="1285" t="s">
        <v>805</v>
      </c>
      <c r="D2" s="1285"/>
      <c r="E2" s="1291"/>
      <c r="F2" s="1292"/>
      <c r="G2" s="2473"/>
      <c r="H2" s="2463"/>
      <c r="I2" s="2463"/>
      <c r="J2" s="2463"/>
      <c r="K2" s="2464"/>
      <c r="L2" s="2463"/>
      <c r="M2" s="2463"/>
    </row>
    <row r="3" spans="1:37" ht="18" customHeight="1" thickBot="1">
      <c r="A3" s="1293" t="s">
        <v>806</v>
      </c>
      <c r="B3" s="1294">
        <f ca="1">IF(ISERROR(B2*10000/F43),0,ROUND(B2*10000/F43,0))</f>
        <v>0</v>
      </c>
      <c r="C3" s="1285" t="s">
        <v>807</v>
      </c>
      <c r="D3" s="1285"/>
      <c r="E3" s="1291"/>
      <c r="F3" s="1292"/>
      <c r="G3" s="2473"/>
      <c r="H3" s="645"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3">
        <f ca="1">C6+C10+C12</f>
        <v>0</v>
      </c>
      <c r="D5" s="1269" t="s">
        <v>693</v>
      </c>
      <c r="E5" s="1004"/>
      <c r="F5" s="1005"/>
      <c r="G5" s="1288"/>
      <c r="H5" s="290">
        <v>1</v>
      </c>
      <c r="I5" s="291" t="s">
        <v>692</v>
      </c>
      <c r="J5" s="1003">
        <f ca="1">J6+J10+J12</f>
        <v>0</v>
      </c>
      <c r="K5" s="1269" t="s">
        <v>693</v>
      </c>
      <c r="L5" s="1004"/>
      <c r="M5" s="1005"/>
    </row>
    <row r="6" spans="1:37" ht="18" customHeight="1">
      <c r="A6" s="1002" t="s">
        <v>398</v>
      </c>
      <c r="B6" s="3489" t="s">
        <v>694</v>
      </c>
      <c r="C6" s="1007">
        <f ca="1">ROUND(F6*F8*F7*(1-F9)/10000,0)</f>
        <v>0</v>
      </c>
      <c r="D6" s="146" t="s">
        <v>2106</v>
      </c>
      <c r="E6" s="293" t="s">
        <v>696</v>
      </c>
      <c r="F6" s="294">
        <f ca="1">INDIRECT("'数据-取费表'!u"&amp;$G$1)</f>
        <v>0</v>
      </c>
      <c r="G6" s="1288"/>
      <c r="H6" s="1002" t="s">
        <v>398</v>
      </c>
      <c r="I6" s="3489" t="s">
        <v>694</v>
      </c>
      <c r="J6" s="292">
        <f ca="1">ROUND(M6*M8*M7*(1-M9)/10000,0)</f>
        <v>0</v>
      </c>
      <c r="K6" s="146" t="s">
        <v>2105</v>
      </c>
      <c r="L6" s="293" t="s">
        <v>696</v>
      </c>
      <c r="M6" s="294">
        <f ca="1">INDIRECT("'数据-取费表'!z"&amp;$G$1)</f>
        <v>0</v>
      </c>
    </row>
    <row r="7" spans="1:37" ht="18" customHeight="1">
      <c r="A7" s="1006"/>
      <c r="B7" s="3490"/>
      <c r="C7" s="1008"/>
      <c r="D7" s="298"/>
      <c r="E7" s="1009" t="s">
        <v>697</v>
      </c>
      <c r="F7" s="294">
        <f ca="1">IF(INDIRECT("'数据-取费表'!ah"&amp;$G$1)="",INDIRECT("'数据-取费表'!k"&amp;$G$1),INDIRECT("'数据-取费表'!ah"&amp;$G$1))</f>
        <v>0</v>
      </c>
      <c r="G7" s="1288"/>
      <c r="H7" s="295"/>
      <c r="I7" s="3490"/>
      <c r="J7" s="297"/>
      <c r="K7" s="298"/>
      <c r="L7" s="293" t="s">
        <v>697</v>
      </c>
      <c r="M7" s="294">
        <f ca="1">F7</f>
        <v>0</v>
      </c>
    </row>
    <row r="8" spans="1:37" ht="18" customHeight="1">
      <c r="A8" s="295"/>
      <c r="B8" s="3490"/>
      <c r="C8" s="297"/>
      <c r="D8" s="298"/>
      <c r="E8" s="293" t="s">
        <v>698</v>
      </c>
      <c r="F8" s="294">
        <f ca="1">INDIRECT("'数据-取费表'!ai"&amp;$G$1)</f>
        <v>0</v>
      </c>
      <c r="G8" s="1288"/>
      <c r="H8" s="295"/>
      <c r="I8" s="3490"/>
      <c r="J8" s="297"/>
      <c r="K8" s="298"/>
      <c r="L8" s="293" t="s">
        <v>698</v>
      </c>
      <c r="M8" s="294">
        <f ca="1">INDIRECT("'数据-取费表'!ai"&amp;$G$1)</f>
        <v>0</v>
      </c>
    </row>
    <row r="9" spans="1:37" ht="18" customHeight="1">
      <c r="A9" s="295"/>
      <c r="B9" s="3491"/>
      <c r="C9" s="297"/>
      <c r="D9" s="298"/>
      <c r="E9" s="293" t="s">
        <v>699</v>
      </c>
      <c r="F9" s="303">
        <f ca="1">INDIRECT("'数据-取费表'!w"&amp;$G$1)</f>
        <v>0</v>
      </c>
      <c r="G9" s="1288"/>
      <c r="H9" s="295"/>
      <c r="I9" s="3491"/>
      <c r="J9" s="297"/>
      <c r="K9" s="298"/>
      <c r="L9" s="304" t="s">
        <v>699</v>
      </c>
      <c r="M9" s="305">
        <f ca="1">INDIRECT("'数据-取费表'!ab"&amp;$G$1)</f>
        <v>0</v>
      </c>
    </row>
    <row r="10" spans="1:37" ht="18" customHeight="1">
      <c r="A10" s="1002" t="s">
        <v>402</v>
      </c>
      <c r="B10" s="1270" t="s">
        <v>700</v>
      </c>
      <c r="C10" s="307">
        <f ca="1">ROUND(IF(F10="押一",C6/12*F11,IF(F10="押二",C6/12*2*F11,IF(F10="押三",C6/12*3*F11,C11*F11))),0)</f>
        <v>0</v>
      </c>
      <c r="D10" s="149" t="s">
        <v>2114</v>
      </c>
      <c r="E10" s="304" t="s">
        <v>701</v>
      </c>
      <c r="F10" s="1049"/>
      <c r="G10" s="1288"/>
      <c r="H10" s="1002" t="s">
        <v>402</v>
      </c>
      <c r="I10" s="1270" t="s">
        <v>700</v>
      </c>
      <c r="J10" s="292">
        <f ca="1">ROUND(IF(M10="押一",J6/12*M11,IF(M10="押二",J6/12*2*M11,IF(M10="押三",J6/12*3*M11,J11*M11))),0)</f>
        <v>0</v>
      </c>
      <c r="K10" s="149" t="s">
        <v>2113</v>
      </c>
      <c r="L10" s="304" t="s">
        <v>701</v>
      </c>
      <c r="M10" s="1049"/>
    </row>
    <row r="11" spans="1:37" ht="18" customHeight="1">
      <c r="A11" s="299"/>
      <c r="B11" s="1271" t="s">
        <v>679</v>
      </c>
      <c r="C11" s="901"/>
      <c r="D11" s="1272"/>
      <c r="E11" s="304" t="s">
        <v>702</v>
      </c>
      <c r="F11" s="305">
        <f ca="1">'数据-取费表'!B39</f>
        <v>1.4999999999999999E-2</v>
      </c>
      <c r="G11" s="1288"/>
      <c r="H11" s="1010"/>
      <c r="I11" s="1271" t="s">
        <v>679</v>
      </c>
      <c r="J11" s="901"/>
      <c r="K11" s="642"/>
      <c r="L11" s="304"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1">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3" t="s">
        <v>707</v>
      </c>
      <c r="C14" s="309">
        <f ca="1">INDIRECT("'数据-取费表'!m"&amp;$G$1)+INDIRECT("'数据-取费表'!t"&amp;$G$1)</f>
        <v>0</v>
      </c>
      <c r="D14" s="1253" t="s">
        <v>708</v>
      </c>
      <c r="E14" s="1251"/>
      <c r="F14" s="310"/>
      <c r="G14" s="1288"/>
      <c r="H14" s="924" t="s">
        <v>398</v>
      </c>
      <c r="I14" s="293" t="s">
        <v>709</v>
      </c>
      <c r="J14" s="21">
        <f ca="1">C29</f>
        <v>0</v>
      </c>
      <c r="K14" s="12"/>
      <c r="L14" s="755"/>
      <c r="M14" s="756"/>
    </row>
    <row r="15" spans="1:37" s="1300" customFormat="1" ht="18" customHeight="1" thickBot="1">
      <c r="A15" s="924" t="s">
        <v>399</v>
      </c>
      <c r="B15" s="293" t="s">
        <v>710</v>
      </c>
      <c r="C15" s="21">
        <f ca="1">ROUND(C14*F15,0)</f>
        <v>0</v>
      </c>
      <c r="D15" s="311" t="s">
        <v>711</v>
      </c>
      <c r="E15" s="311" t="s">
        <v>712</v>
      </c>
      <c r="F15" s="312">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8"/>
      <c r="H16" s="1012" t="s">
        <v>393</v>
      </c>
      <c r="I16" s="1013" t="s">
        <v>714</v>
      </c>
      <c r="J16" s="301">
        <f ca="1">ROUND(J17+J22+J23+J24,0)</f>
        <v>0</v>
      </c>
      <c r="K16" s="1020" t="s">
        <v>715</v>
      </c>
      <c r="L16" s="1021"/>
      <c r="M16" s="1005"/>
    </row>
    <row r="17" spans="1:37" s="1300" customFormat="1" ht="18" customHeight="1">
      <c r="A17" s="924" t="s">
        <v>681</v>
      </c>
      <c r="B17" s="293" t="s">
        <v>716</v>
      </c>
      <c r="C17" s="21">
        <f ca="1">ROUND(F17*(F43+INDIRECT("'数据-取费表'!S"&amp;$G$1))/10000,0)</f>
        <v>0</v>
      </c>
      <c r="D17" s="293" t="s">
        <v>717</v>
      </c>
      <c r="E17" s="293" t="s">
        <v>718</v>
      </c>
      <c r="F17" s="23">
        <f>'数据-取费表'!B35</f>
        <v>200</v>
      </c>
      <c r="G17" s="1299"/>
      <c r="H17" s="924" t="s">
        <v>398</v>
      </c>
      <c r="I17" s="293" t="s">
        <v>719</v>
      </c>
      <c r="J17" s="2135">
        <f ca="1">ROUND(IF(AND(项目基本情况!B11="自然人",项目基本情况!B10="北京市"),J6*M17/(1+'数据-取费表'!C42),J18+J19+J20),2)</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3" t="s">
        <v>722</v>
      </c>
      <c r="C18" s="21">
        <f ca="1">ROUND(C14*F18,0)</f>
        <v>0</v>
      </c>
      <c r="D18" s="293" t="s">
        <v>711</v>
      </c>
      <c r="E18" s="293" t="s">
        <v>712</v>
      </c>
      <c r="F18" s="313">
        <f>'数据-取费表'!B36</f>
        <v>1.4999999999999999E-2</v>
      </c>
      <c r="G18" s="1299"/>
      <c r="H18" s="924" t="s">
        <v>397</v>
      </c>
      <c r="I18" s="293" t="s">
        <v>723</v>
      </c>
      <c r="J18" s="21">
        <f ca="1">ROUND(J6*M18/(1+'数据-取费表'!C42),2)</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3" t="s">
        <v>725</v>
      </c>
      <c r="C19" s="21">
        <f ca="1">SUM(C14:C18)</f>
        <v>0</v>
      </c>
      <c r="D19" s="122" t="s">
        <v>726</v>
      </c>
      <c r="E19" s="1265"/>
      <c r="F19" s="23"/>
      <c r="G19" s="1288"/>
      <c r="H19" s="924" t="s">
        <v>399</v>
      </c>
      <c r="I19" s="293" t="s">
        <v>727</v>
      </c>
      <c r="J19" s="21">
        <f ca="1">IF(K19="按租金收入计税",ROUND(J6*M19/(1+'数据-取费表'!C42),2),ROUND(C29*M19*0.7,2))</f>
        <v>0</v>
      </c>
      <c r="K19" s="1274" t="s">
        <v>3334</v>
      </c>
      <c r="L19" s="293" t="s">
        <v>712</v>
      </c>
      <c r="M19" s="313">
        <f>IF(K19="按租金收入计税",'数据-取费表'!B51,'数据-取费表'!B50)</f>
        <v>0.12</v>
      </c>
    </row>
    <row r="20" spans="1:37" s="1300" customFormat="1" ht="18" customHeight="1">
      <c r="A20" s="924" t="s">
        <v>402</v>
      </c>
      <c r="B20" s="293" t="s">
        <v>728</v>
      </c>
      <c r="C20" s="21">
        <f ca="1">ROUND(C19*F20,0)</f>
        <v>0</v>
      </c>
      <c r="D20" s="314" t="s">
        <v>729</v>
      </c>
      <c r="E20" s="293" t="s">
        <v>712</v>
      </c>
      <c r="F20" s="313">
        <f>'数据-取费表'!B37</f>
        <v>0.02</v>
      </c>
      <c r="G20" s="1299"/>
      <c r="H20" s="924" t="s">
        <v>680</v>
      </c>
      <c r="I20" s="146" t="s">
        <v>730</v>
      </c>
      <c r="J20" s="22">
        <f ca="1">ROUND(M20*M21/10000,2)</f>
        <v>0</v>
      </c>
      <c r="K20" s="315" t="s">
        <v>731</v>
      </c>
      <c r="L20" s="293" t="s">
        <v>732</v>
      </c>
      <c r="M20" s="316">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3" t="s">
        <v>733</v>
      </c>
      <c r="C21" s="21" t="s">
        <v>15</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3" t="s">
        <v>737</v>
      </c>
      <c r="C22" s="21"/>
      <c r="D22" s="122" t="str">
        <f>IF(F23&lt;=1,"单利计息。","复利计息。")&amp;"建造成本、管理费用、销售费用产生的利息。"</f>
        <v>复利计息。建造成本、管理费用、销售费用产生的利息。</v>
      </c>
      <c r="E22" s="1265"/>
      <c r="F22" s="23"/>
      <c r="G22" s="1288"/>
      <c r="H22" s="924" t="s">
        <v>402</v>
      </c>
      <c r="I22" s="293" t="s">
        <v>738</v>
      </c>
      <c r="J22" s="21">
        <f ca="1">ROUND(J14*M22,2)</f>
        <v>0</v>
      </c>
      <c r="K22" s="1252" t="s">
        <v>739</v>
      </c>
      <c r="L22" s="293" t="s">
        <v>712</v>
      </c>
      <c r="M22" s="319">
        <f ca="1">INDIRECT("'数据-取费表'!Ak"&amp;$G$1)</f>
        <v>0</v>
      </c>
    </row>
    <row r="23" spans="1:37" s="1300" customFormat="1" ht="18" customHeight="1">
      <c r="A23" s="924"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299"/>
      <c r="H23" s="924" t="s">
        <v>437</v>
      </c>
      <c r="I23" s="293" t="s">
        <v>742</v>
      </c>
      <c r="J23" s="21">
        <f ca="1">ROUND(J13*M23,2)</f>
        <v>0</v>
      </c>
      <c r="K23" s="1252" t="s">
        <v>743</v>
      </c>
      <c r="L23" s="293" t="s">
        <v>744</v>
      </c>
      <c r="M23" s="320">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3" t="s">
        <v>750</v>
      </c>
      <c r="C25" s="21"/>
      <c r="D25" s="122" t="s">
        <v>751</v>
      </c>
      <c r="E25" s="1265"/>
      <c r="F25" s="23"/>
      <c r="G25" s="1288"/>
      <c r="H25" s="1012" t="s">
        <v>394</v>
      </c>
      <c r="I25" s="1027" t="s">
        <v>752</v>
      </c>
      <c r="J25" s="301">
        <f ca="1">J5-J16</f>
        <v>0</v>
      </c>
      <c r="K25" s="1028" t="s">
        <v>753</v>
      </c>
      <c r="L25" s="1029"/>
      <c r="M25" s="1030"/>
    </row>
    <row r="26" spans="1:37">
      <c r="A26" s="924" t="s">
        <v>397</v>
      </c>
      <c r="B26" s="293" t="s">
        <v>754</v>
      </c>
      <c r="C26" s="21">
        <f ca="1">ROUND((C19+C20)*F26,0)</f>
        <v>0</v>
      </c>
      <c r="D26" s="314" t="s">
        <v>755</v>
      </c>
      <c r="E26" s="304" t="s">
        <v>756</v>
      </c>
      <c r="F26" s="303">
        <f ca="1">INDIRECT("'数据-取费表'!q"&amp;$G$1)</f>
        <v>0</v>
      </c>
      <c r="G26" s="1288"/>
      <c r="H26" s="290" t="s">
        <v>395</v>
      </c>
      <c r="I26" s="291" t="s">
        <v>757</v>
      </c>
      <c r="J26" s="292">
        <f ca="1">IF(J5&lt;&gt;0,ROUND(J25*(1-((1+M28)/(1+M26))^M27)/(M26-M28),0),0)</f>
        <v>0</v>
      </c>
      <c r="K26" s="315" t="s">
        <v>758</v>
      </c>
      <c r="L26" s="293" t="s">
        <v>759</v>
      </c>
      <c r="M26" s="303">
        <f ca="1">INDIRECT("'数据-取费表'!I"&amp;$G$1)</f>
        <v>0</v>
      </c>
    </row>
    <row r="27" spans="1:37" ht="18" customHeight="1">
      <c r="A27" s="924" t="s">
        <v>399</v>
      </c>
      <c r="B27" s="293" t="s">
        <v>760</v>
      </c>
      <c r="C27" s="21">
        <f ca="1">ROUND(F21*F26,4)</f>
        <v>0</v>
      </c>
      <c r="D27" s="314" t="s">
        <v>761</v>
      </c>
      <c r="E27" s="311"/>
      <c r="F27" s="312"/>
      <c r="G27" s="1288"/>
      <c r="H27" s="295"/>
      <c r="I27" s="296"/>
      <c r="J27" s="297"/>
      <c r="K27" s="322" t="s">
        <v>762</v>
      </c>
      <c r="L27" s="293" t="s">
        <v>763</v>
      </c>
      <c r="M27" s="323">
        <f ca="1">INDIRECT("'数据-取费表'!ag"&amp;$G$1)</f>
        <v>0</v>
      </c>
    </row>
    <row r="28" spans="1:37" s="1300" customFormat="1" ht="18" customHeight="1">
      <c r="A28" s="924"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4" t="s">
        <v>396</v>
      </c>
      <c r="I29" s="325" t="s">
        <v>768</v>
      </c>
      <c r="J29" s="326">
        <f ca="1">ROUND(J26/(1+F40)^F41,0)</f>
        <v>0</v>
      </c>
      <c r="K29" s="327" t="s">
        <v>769</v>
      </c>
      <c r="L29" s="328"/>
      <c r="M29" s="329">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1">
        <f ca="1">ROUND(C31+C36+C37+C38,0)</f>
        <v>0</v>
      </c>
      <c r="D30" s="1020" t="s">
        <v>715</v>
      </c>
      <c r="E30" s="1021"/>
      <c r="F30" s="1005"/>
      <c r="G30" s="1288"/>
      <c r="H30" s="2465"/>
      <c r="I30" s="1301"/>
      <c r="J30" s="1302"/>
      <c r="K30" s="120"/>
      <c r="L30" s="2466"/>
      <c r="M30" s="2467"/>
    </row>
    <row r="31" spans="1:37" ht="18" customHeight="1">
      <c r="A31" s="924" t="s">
        <v>398</v>
      </c>
      <c r="B31" s="293" t="s">
        <v>719</v>
      </c>
      <c r="C31" s="2135">
        <f ca="1">ROUND(IF(AND(项目基本情况!B11="自然人",项目基本情况!B10="北京市"),C6*F31/(1+'数据-取费表'!C42),C32+C33+C34),2)</f>
        <v>0</v>
      </c>
      <c r="D31" s="1253" t="s">
        <v>720</v>
      </c>
      <c r="E31" s="1252" t="s">
        <v>770</v>
      </c>
      <c r="F31" s="2134" t="str">
        <f>IF(项目基本情况!B11="企业","——",IF(M47="住宅",IF(F6*F7*F8/12/(1+'数据-取费表'!F30)&gt;100000,4%,2.5%),IF(F6*F7*F8/12/(1+'数据-取费表'!F30)&gt;100000,12%,7%)))</f>
        <v>——</v>
      </c>
      <c r="G31" s="1288"/>
      <c r="H31" s="2564" t="s">
        <v>2304</v>
      </c>
      <c r="I31" s="1301"/>
      <c r="J31" s="1302"/>
      <c r="K31" s="120"/>
      <c r="L31" s="2466"/>
      <c r="M31" s="2467"/>
    </row>
    <row r="32" spans="1:37" ht="18" customHeight="1">
      <c r="A32" s="924" t="s">
        <v>397</v>
      </c>
      <c r="B32" s="293" t="s">
        <v>723</v>
      </c>
      <c r="C32" s="21">
        <f ca="1">IF(项目基本情况!B11="自然人","——",ROUND(C6*F32/(1+'数据-取费表'!C42),2))</f>
        <v>0</v>
      </c>
      <c r="D32" s="1252" t="s">
        <v>724</v>
      </c>
      <c r="E32" s="293" t="s">
        <v>712</v>
      </c>
      <c r="F32" s="321">
        <f>'数据-取费表'!B41</f>
        <v>5.6000000000000001E-2</v>
      </c>
      <c r="G32" s="1288"/>
      <c r="H32" s="2465"/>
      <c r="I32" s="1301"/>
      <c r="J32" s="1302"/>
      <c r="K32" s="120"/>
      <c r="L32" s="2466"/>
      <c r="M32" s="2467"/>
    </row>
    <row r="33" spans="1:18" ht="18" customHeight="1">
      <c r="A33" s="924" t="s">
        <v>399</v>
      </c>
      <c r="B33" s="293" t="s">
        <v>727</v>
      </c>
      <c r="C33" s="21">
        <f ca="1">IF(项目基本情况!B11="自然人","——",IF(D33="按租金收入计税",ROUND(C6*F33/(1+'数据-取费表'!C42),2),IF(D33="按房产原值计税",ROUND(C29*F33*0.7,2),INDIRECT("'数据-取费表'!Aj"&amp;$G$1))))</f>
        <v>0</v>
      </c>
      <c r="D33" s="1274" t="s">
        <v>3334</v>
      </c>
      <c r="E33" s="293" t="s">
        <v>712</v>
      </c>
      <c r="F33" s="313">
        <f>IF(D33="按票据","——",IF(D33="按租金收入计税",'数据-取费表'!B51,'数据-取费表'!B50))</f>
        <v>0.12</v>
      </c>
      <c r="G33" s="1288"/>
      <c r="H33" s="2468"/>
      <c r="I33" s="1301"/>
      <c r="J33" s="1302"/>
      <c r="K33" s="2469"/>
      <c r="L33" s="2468"/>
      <c r="M33" s="2468"/>
    </row>
    <row r="34" spans="1:18" ht="18" customHeight="1">
      <c r="A34" s="1002" t="s">
        <v>680</v>
      </c>
      <c r="B34" s="146" t="s">
        <v>730</v>
      </c>
      <c r="C34" s="22">
        <f ca="1">IF(项目基本情况!B11="自然人","——",ROUND(F34*F35/10000,2))</f>
        <v>0</v>
      </c>
      <c r="D34" s="315" t="s">
        <v>731</v>
      </c>
      <c r="E34" s="293" t="s">
        <v>732</v>
      </c>
      <c r="F34" s="316">
        <f>'数据-取费表'!B52</f>
        <v>24</v>
      </c>
      <c r="G34" s="1288"/>
      <c r="H34" s="2465"/>
      <c r="I34" s="1301"/>
      <c r="J34" s="1302"/>
      <c r="K34" s="2470"/>
      <c r="L34" s="2471"/>
      <c r="M34" s="2471"/>
    </row>
    <row r="35" spans="1:18" ht="18" customHeight="1">
      <c r="A35" s="1036"/>
      <c r="B35" s="1034"/>
      <c r="C35" s="26"/>
      <c r="D35" s="318"/>
      <c r="E35" s="293" t="s">
        <v>736</v>
      </c>
      <c r="F35" s="294">
        <f ca="1">INDIRECT("'数据-取费表'!r"&amp;$G$1)</f>
        <v>0</v>
      </c>
      <c r="G35" s="1288"/>
      <c r="H35" s="2465"/>
      <c r="I35" s="1301"/>
      <c r="J35" s="1302"/>
      <c r="K35" s="2469"/>
      <c r="L35" s="2468"/>
      <c r="M35" s="2468"/>
    </row>
    <row r="36" spans="1:18" ht="18" customHeight="1">
      <c r="A36" s="1035" t="s">
        <v>402</v>
      </c>
      <c r="B36" s="293" t="s">
        <v>738</v>
      </c>
      <c r="C36" s="21">
        <f ca="1">ROUND(C29*F36,2)</f>
        <v>0</v>
      </c>
      <c r="D36" s="1252" t="s">
        <v>771</v>
      </c>
      <c r="E36" s="293" t="s">
        <v>712</v>
      </c>
      <c r="F36" s="319">
        <f ca="1">INDIRECT("'数据-取费表'!Ak"&amp;$G$1)</f>
        <v>0</v>
      </c>
      <c r="G36" s="1288"/>
      <c r="H36" s="2468"/>
      <c r="I36" s="1301"/>
      <c r="J36" s="1302"/>
      <c r="K36" s="2325"/>
      <c r="L36" s="2468"/>
      <c r="M36" s="2468"/>
    </row>
    <row r="37" spans="1:18" ht="18" customHeight="1">
      <c r="A37" s="924" t="s">
        <v>437</v>
      </c>
      <c r="B37" s="293" t="s">
        <v>742</v>
      </c>
      <c r="C37" s="21">
        <f ca="1">ROUND(C13*F37,2)</f>
        <v>0</v>
      </c>
      <c r="D37" s="1252" t="s">
        <v>743</v>
      </c>
      <c r="E37" s="293" t="s">
        <v>744</v>
      </c>
      <c r="F37" s="320">
        <f ca="1">INDIRECT("'数据-取费表'!Al"&amp;$G$1)</f>
        <v>0</v>
      </c>
      <c r="G37" s="1288"/>
      <c r="H37" s="2468"/>
      <c r="I37" s="1301"/>
      <c r="J37" s="1302"/>
      <c r="K37" s="2325"/>
      <c r="L37" s="2468"/>
      <c r="M37" s="2468"/>
    </row>
    <row r="38" spans="1:18" ht="18" customHeight="1" thickBot="1">
      <c r="A38" s="1022" t="s">
        <v>684</v>
      </c>
      <c r="B38" s="1023" t="s">
        <v>728</v>
      </c>
      <c r="C38" s="1024">
        <f ca="1">ROUND(C5*F38,2)</f>
        <v>0</v>
      </c>
      <c r="D38" s="1025" t="s">
        <v>748</v>
      </c>
      <c r="E38" s="1023" t="s">
        <v>744</v>
      </c>
      <c r="F38" s="1019">
        <f ca="1">INDIRECT("'数据-取费表'!Am"&amp;$G$1)</f>
        <v>0</v>
      </c>
      <c r="G38" s="1288"/>
      <c r="H38" s="2468"/>
      <c r="I38" s="1301"/>
      <c r="J38" s="1302"/>
      <c r="K38" s="2466"/>
      <c r="L38" s="2468"/>
      <c r="M38" s="2468"/>
    </row>
    <row r="39" spans="1:18" ht="24.6" customHeight="1" thickTop="1">
      <c r="A39" s="1012" t="s">
        <v>394</v>
      </c>
      <c r="B39" s="1027" t="s">
        <v>772</v>
      </c>
      <c r="C39" s="301">
        <f ca="1">C5-C30</f>
        <v>0</v>
      </c>
      <c r="D39" s="1028" t="s">
        <v>773</v>
      </c>
      <c r="E39" s="1029"/>
      <c r="F39" s="1030"/>
      <c r="G39" s="1288"/>
      <c r="H39" s="2468"/>
      <c r="I39" s="1301"/>
      <c r="J39" s="1302"/>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88"/>
      <c r="H40" s="1362"/>
      <c r="I40" s="1301"/>
      <c r="J40" s="1302"/>
      <c r="K40" s="2466"/>
      <c r="L40" s="1362"/>
      <c r="M40" s="1362"/>
    </row>
    <row r="41" spans="1:18" ht="18" customHeight="1">
      <c r="A41" s="295"/>
      <c r="B41" s="296"/>
      <c r="C41" s="297"/>
      <c r="D41" s="322" t="s">
        <v>775</v>
      </c>
      <c r="E41" s="293" t="s">
        <v>763</v>
      </c>
      <c r="F41" s="323">
        <f ca="1">IF(INDIRECT("'数据-取费表'!af"&amp;$G$1)=0,INDIRECT("'数据-取费表'!ae"&amp;$G$1),INDIRECT("'数据-取费表'!af"&amp;$G$1))</f>
        <v>0</v>
      </c>
      <c r="G41" s="1288"/>
      <c r="H41" s="120"/>
      <c r="I41" s="1301"/>
      <c r="J41" s="1302"/>
      <c r="K41" s="2325"/>
      <c r="L41" s="120"/>
      <c r="M41" s="120"/>
    </row>
    <row r="42" spans="1:18" ht="18" customHeight="1">
      <c r="A42" s="299"/>
      <c r="B42" s="300"/>
      <c r="C42" s="301"/>
      <c r="D42" s="318"/>
      <c r="E42" s="293" t="s">
        <v>766</v>
      </c>
      <c r="F42" s="303">
        <f ca="1">INDIRECT("'数据-取费表'!v"&amp;$G$1)</f>
        <v>0</v>
      </c>
      <c r="G42" s="1288"/>
      <c r="H42" s="120"/>
      <c r="I42" s="1301"/>
      <c r="J42" s="1302"/>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1"/>
      <c r="O45" s="2472"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1" t="s">
        <v>692</v>
      </c>
      <c r="C48" s="1264">
        <f ca="1">C49+C53+C55</f>
        <v>0</v>
      </c>
      <c r="D48" s="1045"/>
      <c r="E48" s="1046"/>
      <c r="F48" s="904"/>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2107</v>
      </c>
      <c r="E49" s="1276" t="s">
        <v>780</v>
      </c>
      <c r="F49" s="993"/>
      <c r="H49" s="678"/>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4">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7">
        <f ca="1">ROUND(IF(F53="押一",C49/12*F11,IF(F53="押二",C49/12*2*F11,IF(F53="押三",C49/12*3*F11,C54*F11))),0)</f>
        <v>0</v>
      </c>
      <c r="D53" s="149" t="s">
        <v>2113</v>
      </c>
      <c r="E53" s="304" t="s">
        <v>701</v>
      </c>
      <c r="F53" s="1049"/>
      <c r="I53" s="1340" t="s">
        <v>836</v>
      </c>
      <c r="J53" s="2001">
        <f ca="1">IF(M47="住宅",IF(D1="——",MAX(J51,L48),MAX(J51,L48-'数据-取费表'!B24)),IF(D1="——",MIN(J51,L48),MIN(J51,L48-'数据-取费表'!B24)))</f>
        <v>0</v>
      </c>
      <c r="K53" s="3487" t="s">
        <v>837</v>
      </c>
      <c r="L53" s="3488"/>
      <c r="O53" s="1321" t="s">
        <v>409</v>
      </c>
      <c r="P53" s="1322" t="s">
        <v>838</v>
      </c>
      <c r="Q53" s="1323" t="e">
        <f ca="1">Q47+Q48</f>
        <v>#DIV/0!</v>
      </c>
      <c r="R53" s="1323" t="s">
        <v>410</v>
      </c>
    </row>
    <row r="54" spans="1:18" s="1288" customFormat="1" ht="13.5" thickBot="1">
      <c r="A54" s="1076"/>
      <c r="B54" s="1271" t="s">
        <v>679</v>
      </c>
      <c r="C54" s="901"/>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49"/>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3">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29">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6" t="s">
        <v>393</v>
      </c>
      <c r="B58" s="900" t="s">
        <v>714</v>
      </c>
      <c r="C58" s="307">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5">
        <f ca="1">ROUND(IF(AND(项目基本情况!B11="自然人",项目基本情况!B10="北京市"),C49*F59/(1+'数据-取费表'!C42),C60+C61+C62),0)</f>
        <v>0</v>
      </c>
      <c r="D59" s="905" t="s">
        <v>720</v>
      </c>
      <c r="E59" s="906"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1">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3334</v>
      </c>
      <c r="E61" s="892"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6">
        <f t="shared" si="0"/>
        <v>24</v>
      </c>
      <c r="I62" s="1363" t="s">
        <v>858</v>
      </c>
      <c r="J62" s="608" t="s">
        <v>859</v>
      </c>
      <c r="K62" s="608" t="s">
        <v>860</v>
      </c>
      <c r="L62" s="608" t="s">
        <v>861</v>
      </c>
      <c r="M62" s="1364" t="s">
        <v>862</v>
      </c>
      <c r="O62" s="1321" t="s">
        <v>409</v>
      </c>
      <c r="P62" s="1322" t="s">
        <v>863</v>
      </c>
      <c r="Q62" s="1323" t="e">
        <f ca="1">Q56+Q57</f>
        <v>#DIV/0!</v>
      </c>
      <c r="R62" s="1323" t="s">
        <v>410</v>
      </c>
    </row>
    <row r="63" spans="1:18" s="1288" customFormat="1" ht="13.5" thickBot="1">
      <c r="A63" s="317"/>
      <c r="B63" s="898"/>
      <c r="C63" s="26"/>
      <c r="D63" s="908"/>
      <c r="E63" s="892"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19">
        <f t="shared" ca="1" si="0"/>
        <v>0</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0">
        <f t="shared" ca="1" si="0"/>
        <v>0</v>
      </c>
      <c r="I65" s="1363" t="s">
        <v>867</v>
      </c>
      <c r="J65" s="608">
        <v>40</v>
      </c>
      <c r="K65" s="608">
        <v>30</v>
      </c>
      <c r="L65" s="608">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3">
        <f t="shared" ca="1" si="0"/>
        <v>0</v>
      </c>
      <c r="O66" s="1321" t="s">
        <v>404</v>
      </c>
      <c r="P66" s="1322" t="s">
        <v>846</v>
      </c>
      <c r="Q66" s="1323" t="e">
        <f ca="1">L60</f>
        <v>#DIV/0!</v>
      </c>
      <c r="R66" s="1323" t="s">
        <v>869</v>
      </c>
    </row>
    <row r="67" spans="1:18" s="1288" customFormat="1" ht="16.5" thickBot="1">
      <c r="A67" s="899" t="s">
        <v>394</v>
      </c>
      <c r="B67" s="909" t="s">
        <v>752</v>
      </c>
      <c r="C67" s="307">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2" t="e">
        <f ca="1">ROUND(C67*(1-((1+F70)/(1+F68))^F69)/(F68-F70),0)</f>
        <v>#DIV/0!</v>
      </c>
      <c r="D68" s="907" t="s">
        <v>758</v>
      </c>
      <c r="E68" s="892" t="s">
        <v>759</v>
      </c>
      <c r="F68" s="303">
        <f ca="1">F40</f>
        <v>0</v>
      </c>
      <c r="O68" s="1330" t="s">
        <v>406</v>
      </c>
      <c r="P68" s="1367" t="s">
        <v>871</v>
      </c>
      <c r="Q68" s="1323">
        <f ca="1">ROUND(Q69-Q70*Q71,0)</f>
        <v>0</v>
      </c>
      <c r="R68" s="1323" t="s">
        <v>414</v>
      </c>
    </row>
    <row r="69" spans="1:18" s="1288" customFormat="1" ht="13.5" thickBot="1">
      <c r="A69" s="893"/>
      <c r="B69" s="894"/>
      <c r="C69" s="297"/>
      <c r="D69" s="912" t="s">
        <v>762</v>
      </c>
      <c r="E69" s="892" t="s">
        <v>763</v>
      </c>
      <c r="F69" s="323">
        <f ca="1">F41</f>
        <v>0</v>
      </c>
      <c r="O69" s="1330" t="s">
        <v>411</v>
      </c>
      <c r="P69" s="1367" t="s">
        <v>872</v>
      </c>
      <c r="Q69" s="1323">
        <f ca="1">C39</f>
        <v>0</v>
      </c>
      <c r="R69" s="1323" t="s">
        <v>818</v>
      </c>
    </row>
    <row r="70" spans="1:18" s="1288" customFormat="1" ht="13.5" thickBot="1">
      <c r="A70" s="896"/>
      <c r="B70" s="897"/>
      <c r="C70" s="301"/>
      <c r="D70" s="908"/>
      <c r="E70" s="892" t="s">
        <v>766</v>
      </c>
      <c r="F70" s="987"/>
      <c r="O70" s="1330" t="s">
        <v>412</v>
      </c>
      <c r="P70" s="1367" t="s">
        <v>873</v>
      </c>
      <c r="Q70" s="1323">
        <f ca="1">C13</f>
        <v>0</v>
      </c>
      <c r="R70" s="1323" t="s">
        <v>818</v>
      </c>
    </row>
    <row r="71" spans="1:18" s="1288" customFormat="1" ht="13.5" thickBot="1">
      <c r="A71" s="913" t="s">
        <v>396</v>
      </c>
      <c r="B71" s="914" t="s">
        <v>776</v>
      </c>
      <c r="C71" s="326" t="e">
        <f ca="1">ROUND(C68*10000/F71,0)</f>
        <v>#DIV/0!</v>
      </c>
      <c r="D71" s="915" t="s">
        <v>777</v>
      </c>
      <c r="E71" s="916" t="s">
        <v>778</v>
      </c>
      <c r="F71" s="329">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0</v>
      </c>
      <c r="D75" s="1288"/>
      <c r="E75" s="1288"/>
      <c r="F75" s="1288"/>
      <c r="K75" s="1305"/>
      <c r="L75" s="1288"/>
      <c r="O75" s="1321" t="s">
        <v>409</v>
      </c>
      <c r="P75" s="1322" t="s">
        <v>838</v>
      </c>
      <c r="Q75" s="1323" t="e">
        <f ca="1">Q65+Q66</f>
        <v>#DIV/0!</v>
      </c>
      <c r="R75" s="1323" t="s">
        <v>410</v>
      </c>
    </row>
    <row r="76" spans="1:18">
      <c r="B76" s="332" t="s">
        <v>796</v>
      </c>
      <c r="C76" s="333">
        <f ca="1">INDIRECT("'数据-取费表'!j"&amp;$G$1)</f>
        <v>0</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59"/>
      <c r="C1" s="1283"/>
      <c r="D1" s="1267" t="s">
        <v>43</v>
      </c>
      <c r="E1" s="1268" t="s">
        <v>678</v>
      </c>
      <c r="F1" s="995">
        <f ca="1">J53</f>
        <v>0</v>
      </c>
      <c r="G1" s="1282">
        <f>MATCH(C1,'数据-取费表'!A6:A16,0)+5</f>
        <v>7</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878</v>
      </c>
      <c r="B2" s="3118" t="e">
        <f ca="1">ROUND(D2/10000,4)</f>
        <v>#DIV/0!</v>
      </c>
      <c r="C2" s="1285" t="s">
        <v>879</v>
      </c>
      <c r="D2" s="1371" t="e">
        <f ca="1">C40+J29+L46</f>
        <v>#DIV/0!</v>
      </c>
      <c r="E2" s="1291" t="s">
        <v>880</v>
      </c>
      <c r="F2" s="1292"/>
      <c r="G2" s="2473"/>
      <c r="H2" s="2463"/>
      <c r="I2" s="2463"/>
      <c r="J2" s="2463"/>
      <c r="K2" s="2464"/>
      <c r="L2" s="2463"/>
      <c r="M2" s="2463"/>
    </row>
    <row r="3" spans="1:37" ht="18" customHeight="1" thickBot="1">
      <c r="A3" s="1293" t="s">
        <v>881</v>
      </c>
      <c r="B3" s="1294">
        <f ca="1">IF(ISERROR(D2/F43),0,ROUND(D2/F43,0))</f>
        <v>0</v>
      </c>
      <c r="C3" s="1285" t="s">
        <v>882</v>
      </c>
      <c r="D3" s="1285"/>
      <c r="E3" s="1291"/>
      <c r="F3" s="1292"/>
      <c r="G3" s="2473"/>
      <c r="H3" s="645"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3">
        <f ca="1">C6+C10+C12</f>
        <v>0</v>
      </c>
      <c r="D5" s="1269" t="s">
        <v>889</v>
      </c>
      <c r="E5" s="1004"/>
      <c r="F5" s="1005"/>
      <c r="G5" s="1288"/>
      <c r="H5" s="290">
        <v>1</v>
      </c>
      <c r="I5" s="291" t="s">
        <v>888</v>
      </c>
      <c r="J5" s="1003">
        <f ca="1">J6+J10+J12</f>
        <v>0</v>
      </c>
      <c r="K5" s="1269" t="s">
        <v>889</v>
      </c>
      <c r="L5" s="1004"/>
      <c r="M5" s="1005"/>
    </row>
    <row r="6" spans="1:37" ht="18" customHeight="1">
      <c r="A6" s="1002" t="s">
        <v>398</v>
      </c>
      <c r="B6" s="3489" t="s">
        <v>694</v>
      </c>
      <c r="C6" s="1007">
        <f ca="1">ROUND(F6*F8*F7*(1-F9),0)</f>
        <v>0</v>
      </c>
      <c r="D6" s="146" t="s">
        <v>2103</v>
      </c>
      <c r="E6" s="293" t="s">
        <v>696</v>
      </c>
      <c r="F6" s="294">
        <f ca="1">INDIRECT("'数据-取费表'!u"&amp;$G$1)</f>
        <v>0</v>
      </c>
      <c r="G6" s="1288"/>
      <c r="H6" s="1002" t="s">
        <v>398</v>
      </c>
      <c r="I6" s="3489" t="s">
        <v>694</v>
      </c>
      <c r="J6" s="292">
        <f ca="1">ROUND(M6*M8*M7*(1-M9),0)</f>
        <v>0</v>
      </c>
      <c r="K6" s="1280" t="s">
        <v>2104</v>
      </c>
      <c r="L6" s="293" t="s">
        <v>696</v>
      </c>
      <c r="M6" s="294">
        <f ca="1">INDIRECT("'数据-取费表'!z"&amp;$G$1)</f>
        <v>0</v>
      </c>
    </row>
    <row r="7" spans="1:37" ht="18" customHeight="1">
      <c r="A7" s="1006"/>
      <c r="B7" s="3490"/>
      <c r="C7" s="1008"/>
      <c r="D7" s="298"/>
      <c r="E7" s="1009" t="s">
        <v>697</v>
      </c>
      <c r="F7" s="294">
        <f ca="1">IF(INDIRECT("'数据-取费表'!ah"&amp;$G$1)="",INDIRECT("'数据-取费表'!k"&amp;$G$1),INDIRECT("'数据-取费表'!ah"&amp;$G$1))</f>
        <v>0</v>
      </c>
      <c r="G7" s="1288"/>
      <c r="H7" s="295"/>
      <c r="I7" s="3490"/>
      <c r="J7" s="297"/>
      <c r="K7" s="298"/>
      <c r="L7" s="293" t="s">
        <v>697</v>
      </c>
      <c r="M7" s="294">
        <f ca="1">F7</f>
        <v>0</v>
      </c>
    </row>
    <row r="8" spans="1:37" ht="18" customHeight="1">
      <c r="A8" s="295"/>
      <c r="B8" s="3490"/>
      <c r="C8" s="297"/>
      <c r="D8" s="298"/>
      <c r="E8" s="293" t="s">
        <v>698</v>
      </c>
      <c r="F8" s="294">
        <f ca="1">INDIRECT("'数据-取费表'!ai"&amp;$G$1)</f>
        <v>0</v>
      </c>
      <c r="G8" s="1288"/>
      <c r="H8" s="295"/>
      <c r="I8" s="3490"/>
      <c r="J8" s="297"/>
      <c r="K8" s="298"/>
      <c r="L8" s="293" t="s">
        <v>698</v>
      </c>
      <c r="M8" s="294">
        <f ca="1">INDIRECT("'数据-取费表'!ai"&amp;$G$1)</f>
        <v>0</v>
      </c>
    </row>
    <row r="9" spans="1:37" ht="18" customHeight="1">
      <c r="A9" s="295"/>
      <c r="B9" s="3491"/>
      <c r="C9" s="297"/>
      <c r="D9" s="298"/>
      <c r="E9" s="293" t="s">
        <v>699</v>
      </c>
      <c r="F9" s="303">
        <f ca="1">INDIRECT("'数据-取费表'!w"&amp;$G$1)</f>
        <v>0</v>
      </c>
      <c r="G9" s="1288"/>
      <c r="H9" s="295"/>
      <c r="I9" s="3491"/>
      <c r="J9" s="297"/>
      <c r="K9" s="298"/>
      <c r="L9" s="304" t="s">
        <v>699</v>
      </c>
      <c r="M9" s="305">
        <f ca="1">INDIRECT("'数据-取费表'!ab"&amp;$G$1)</f>
        <v>0</v>
      </c>
    </row>
    <row r="10" spans="1:37" ht="18" customHeight="1">
      <c r="A10" s="1002" t="s">
        <v>402</v>
      </c>
      <c r="B10" s="1270" t="s">
        <v>700</v>
      </c>
      <c r="C10" s="307">
        <f ca="1">ROUND(IF(F10="押一",C6/12*F11,IF(F10="押二",C6/12*2*F11,IF(F10="押三",C6/12*3*F11,C11*F11))),0)</f>
        <v>0</v>
      </c>
      <c r="D10" s="149" t="s">
        <v>2113</v>
      </c>
      <c r="E10" s="304" t="s">
        <v>701</v>
      </c>
      <c r="F10" s="1049"/>
      <c r="G10" s="1288"/>
      <c r="H10" s="1002" t="s">
        <v>402</v>
      </c>
      <c r="I10" s="1270" t="s">
        <v>700</v>
      </c>
      <c r="J10" s="292">
        <f ca="1">ROUND(IF(M10="押一",J6/12*M11,IF(M10="押二",J6/12*2*M11,IF(M10="押三",J6/12*3*M11,J11*M11))),0)</f>
        <v>0</v>
      </c>
      <c r="K10" s="1281" t="s">
        <v>2115</v>
      </c>
      <c r="L10" s="304" t="s">
        <v>701</v>
      </c>
      <c r="M10" s="1049"/>
    </row>
    <row r="11" spans="1:37" ht="18" customHeight="1">
      <c r="A11" s="299"/>
      <c r="B11" s="1271" t="s">
        <v>890</v>
      </c>
      <c r="C11" s="901"/>
      <c r="D11" s="298"/>
      <c r="E11" s="304" t="s">
        <v>702</v>
      </c>
      <c r="F11" s="305">
        <f ca="1">'数据-取费表'!B39</f>
        <v>1.4999999999999999E-2</v>
      </c>
      <c r="G11" s="1288"/>
      <c r="H11" s="1010"/>
      <c r="I11" s="1271" t="s">
        <v>891</v>
      </c>
      <c r="J11" s="901"/>
      <c r="K11" s="642"/>
      <c r="L11" s="304"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1">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3" t="s">
        <v>707</v>
      </c>
      <c r="C14" s="309">
        <f ca="1">ROUND(INDIRECT("'数据-取费表'!l"&amp;$G$1)*F43+'数据-取费表'!L14*INDIRECT("'数据-取费表'!S"&amp;$G$1),0)</f>
        <v>0</v>
      </c>
      <c r="D14" s="1253" t="s">
        <v>708</v>
      </c>
      <c r="E14" s="1251"/>
      <c r="F14" s="310"/>
      <c r="G14" s="1288"/>
      <c r="H14" s="924" t="s">
        <v>398</v>
      </c>
      <c r="I14" s="293" t="s">
        <v>709</v>
      </c>
      <c r="J14" s="21">
        <f ca="1">C29</f>
        <v>0</v>
      </c>
      <c r="K14" s="12"/>
      <c r="L14" s="755"/>
      <c r="M14" s="756"/>
    </row>
    <row r="15" spans="1:37" s="1300" customFormat="1" ht="18" customHeight="1" thickBot="1">
      <c r="A15" s="924" t="s">
        <v>399</v>
      </c>
      <c r="B15" s="293" t="s">
        <v>710</v>
      </c>
      <c r="C15" s="21">
        <f ca="1">ROUND(C14*F15,0)</f>
        <v>0</v>
      </c>
      <c r="D15" s="311" t="s">
        <v>711</v>
      </c>
      <c r="E15" s="311" t="s">
        <v>712</v>
      </c>
      <c r="F15" s="312">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3" t="s">
        <v>713</v>
      </c>
      <c r="C16" s="21">
        <f ca="1">ROUND(INDIRECT("'数据-取费表'!l"&amp;$G$1)*F43*F16,0)</f>
        <v>0</v>
      </c>
      <c r="D16" s="293" t="s">
        <v>711</v>
      </c>
      <c r="E16" s="293" t="s">
        <v>712</v>
      </c>
      <c r="F16" s="313">
        <f ca="1">IF(INDIRECT("'数据-取费表'!c"&amp;$G$1)="住宅",'数据-取费表'!B34,0)</f>
        <v>0</v>
      </c>
      <c r="G16" s="1288"/>
      <c r="H16" s="1012" t="s">
        <v>393</v>
      </c>
      <c r="I16" s="1013" t="s">
        <v>714</v>
      </c>
      <c r="J16" s="301">
        <f ca="1">ROUND(J17+J22+J23+J24,0)</f>
        <v>0</v>
      </c>
      <c r="K16" s="1020" t="s">
        <v>715</v>
      </c>
      <c r="L16" s="1021"/>
      <c r="M16" s="1005"/>
    </row>
    <row r="17" spans="1:37" s="1300" customFormat="1" ht="18" customHeight="1">
      <c r="A17" s="924" t="s">
        <v>681</v>
      </c>
      <c r="B17" s="293" t="s">
        <v>716</v>
      </c>
      <c r="C17" s="21">
        <f ca="1">ROUND(F17*(F43+INDIRECT("'数据-取费表'!S"&amp;$G$1)),0)</f>
        <v>0</v>
      </c>
      <c r="D17" s="293" t="s">
        <v>717</v>
      </c>
      <c r="E17" s="293" t="s">
        <v>718</v>
      </c>
      <c r="F17" s="23">
        <f>'数据-取费表'!B35</f>
        <v>200</v>
      </c>
      <c r="G17" s="1299"/>
      <c r="H17" s="924" t="s">
        <v>398</v>
      </c>
      <c r="I17" s="293"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3" t="s">
        <v>722</v>
      </c>
      <c r="C18" s="21">
        <f ca="1">ROUND(C14*F18,0)</f>
        <v>0</v>
      </c>
      <c r="D18" s="293" t="s">
        <v>711</v>
      </c>
      <c r="E18" s="293" t="s">
        <v>712</v>
      </c>
      <c r="F18" s="313">
        <f>'数据-取费表'!B36</f>
        <v>1.4999999999999999E-2</v>
      </c>
      <c r="G18" s="1299"/>
      <c r="H18" s="924" t="s">
        <v>397</v>
      </c>
      <c r="I18" s="293" t="s">
        <v>723</v>
      </c>
      <c r="J18" s="21">
        <f ca="1">ROUND(J6*M18/(1+'数据-取费表'!C42),0)</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3" t="s">
        <v>725</v>
      </c>
      <c r="C19" s="21">
        <f ca="1">SUM(C14:C18)</f>
        <v>0</v>
      </c>
      <c r="D19" s="122" t="s">
        <v>726</v>
      </c>
      <c r="E19" s="1265"/>
      <c r="F19" s="23"/>
      <c r="G19" s="1288"/>
      <c r="H19" s="924" t="s">
        <v>399</v>
      </c>
      <c r="I19" s="293" t="s">
        <v>727</v>
      </c>
      <c r="J19" s="21">
        <f ca="1">IF(K19="按租金收入计税",ROUND(J6*M19/(1+'数据-取费表'!C42),0),ROUND(C29*M19*0.7,0))</f>
        <v>0</v>
      </c>
      <c r="K19" s="1274" t="s">
        <v>3334</v>
      </c>
      <c r="L19" s="293" t="s">
        <v>712</v>
      </c>
      <c r="M19" s="313">
        <f>IF(K19="按租金收入计税",'数据-取费表'!B51,'数据-取费表'!B50)</f>
        <v>0.12</v>
      </c>
    </row>
    <row r="20" spans="1:37" s="1300" customFormat="1" ht="18" customHeight="1">
      <c r="A20" s="924" t="s">
        <v>402</v>
      </c>
      <c r="B20" s="293" t="s">
        <v>728</v>
      </c>
      <c r="C20" s="21">
        <f ca="1">ROUND(C19*F20,0)</f>
        <v>0</v>
      </c>
      <c r="D20" s="314" t="s">
        <v>729</v>
      </c>
      <c r="E20" s="293" t="s">
        <v>712</v>
      </c>
      <c r="F20" s="313">
        <f>'数据-取费表'!B37</f>
        <v>0.02</v>
      </c>
      <c r="G20" s="1299"/>
      <c r="H20" s="924" t="s">
        <v>680</v>
      </c>
      <c r="I20" s="146" t="s">
        <v>730</v>
      </c>
      <c r="J20" s="22">
        <f ca="1">ROUND(M20*M21,0)</f>
        <v>0</v>
      </c>
      <c r="K20" s="315" t="s">
        <v>731</v>
      </c>
      <c r="L20" s="293" t="s">
        <v>732</v>
      </c>
      <c r="M20" s="316">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3" t="s">
        <v>737</v>
      </c>
      <c r="C22" s="21"/>
      <c r="D22" s="122" t="str">
        <f>IF(F23&lt;=1,"单利计息。","复利计息。")&amp;"建造成本、管理费用、销售费用产生的利息。"</f>
        <v>复利计息。建造成本、管理费用、销售费用产生的利息。</v>
      </c>
      <c r="E22" s="1265"/>
      <c r="F22" s="23"/>
      <c r="G22" s="1288"/>
      <c r="H22" s="924" t="s">
        <v>402</v>
      </c>
      <c r="I22" s="293" t="s">
        <v>738</v>
      </c>
      <c r="J22" s="21">
        <f ca="1">ROUND(J14*M22,0)</f>
        <v>0</v>
      </c>
      <c r="K22" s="1252" t="s">
        <v>739</v>
      </c>
      <c r="L22" s="293" t="s">
        <v>712</v>
      </c>
      <c r="M22" s="319">
        <f ca="1">INDIRECT("'数据-取费表'!Ak"&amp;$G$1)</f>
        <v>0</v>
      </c>
    </row>
    <row r="23" spans="1:37" s="1300" customFormat="1" ht="18" customHeight="1">
      <c r="A23" s="924"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299"/>
      <c r="H23" s="924" t="s">
        <v>437</v>
      </c>
      <c r="I23" s="293" t="s">
        <v>742</v>
      </c>
      <c r="J23" s="21">
        <f ca="1">ROUND(J13*M23,0)</f>
        <v>0</v>
      </c>
      <c r="K23" s="1252" t="s">
        <v>743</v>
      </c>
      <c r="L23" s="293" t="s">
        <v>744</v>
      </c>
      <c r="M23" s="320">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3" t="s">
        <v>750</v>
      </c>
      <c r="C25" s="21"/>
      <c r="D25" s="122" t="s">
        <v>751</v>
      </c>
      <c r="E25" s="1265"/>
      <c r="F25" s="23"/>
      <c r="G25" s="1288"/>
      <c r="H25" s="1012" t="s">
        <v>394</v>
      </c>
      <c r="I25" s="1027" t="s">
        <v>752</v>
      </c>
      <c r="J25" s="301">
        <f ca="1">J5-J16</f>
        <v>0</v>
      </c>
      <c r="K25" s="1028" t="s">
        <v>753</v>
      </c>
      <c r="L25" s="1029"/>
      <c r="M25" s="1030"/>
    </row>
    <row r="26" spans="1:37" ht="18" customHeight="1">
      <c r="A26" s="924" t="s">
        <v>397</v>
      </c>
      <c r="B26" s="293" t="s">
        <v>754</v>
      </c>
      <c r="C26" s="21">
        <f ca="1">ROUND((C19+C20)*F26,0)</f>
        <v>0</v>
      </c>
      <c r="D26" s="314" t="s">
        <v>755</v>
      </c>
      <c r="E26" s="304" t="s">
        <v>756</v>
      </c>
      <c r="F26" s="303">
        <f ca="1">INDIRECT("'数据-取费表'!q"&amp;$G$1)</f>
        <v>0</v>
      </c>
      <c r="G26" s="1288"/>
      <c r="H26" s="290" t="s">
        <v>395</v>
      </c>
      <c r="I26" s="291" t="s">
        <v>757</v>
      </c>
      <c r="J26" s="292">
        <f ca="1">IF(J5&lt;&gt;0,ROUND(J25*(1-((1+M28)/(1+M26))^M27)/(M26-M28),0),0)</f>
        <v>0</v>
      </c>
      <c r="K26" s="315" t="s">
        <v>758</v>
      </c>
      <c r="L26" s="293" t="s">
        <v>759</v>
      </c>
      <c r="M26" s="303">
        <f ca="1">INDIRECT("'数据-取费表'!I"&amp;$G$1)</f>
        <v>0</v>
      </c>
    </row>
    <row r="27" spans="1:37" ht="18" customHeight="1">
      <c r="A27" s="924" t="s">
        <v>399</v>
      </c>
      <c r="B27" s="293" t="s">
        <v>760</v>
      </c>
      <c r="C27" s="21">
        <f ca="1">ROUND(F21*F26,4)</f>
        <v>0</v>
      </c>
      <c r="D27" s="314" t="s">
        <v>761</v>
      </c>
      <c r="E27" s="311"/>
      <c r="F27" s="312"/>
      <c r="G27" s="1288"/>
      <c r="H27" s="295"/>
      <c r="I27" s="296"/>
      <c r="J27" s="297"/>
      <c r="K27" s="322" t="s">
        <v>762</v>
      </c>
      <c r="L27" s="293" t="s">
        <v>763</v>
      </c>
      <c r="M27" s="323">
        <f ca="1">INDIRECT("'数据-取费表'!ag"&amp;$G$1)</f>
        <v>0</v>
      </c>
    </row>
    <row r="28" spans="1:37" s="1300" customFormat="1" ht="18" customHeight="1">
      <c r="A28" s="924"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4" t="s">
        <v>396</v>
      </c>
      <c r="I29" s="325" t="s">
        <v>768</v>
      </c>
      <c r="J29" s="326">
        <f ca="1">ROUND(J26/(1+F40)^F41,0)</f>
        <v>0</v>
      </c>
      <c r="K29" s="327" t="s">
        <v>769</v>
      </c>
      <c r="L29" s="328"/>
      <c r="M29" s="329">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1">
        <f ca="1">ROUND(C31+C36+C37+C38,0)</f>
        <v>0</v>
      </c>
      <c r="D30" s="1020" t="s">
        <v>715</v>
      </c>
      <c r="E30" s="1021"/>
      <c r="F30" s="1005"/>
      <c r="G30" s="1288"/>
      <c r="H30" s="2465"/>
      <c r="I30" s="1301"/>
      <c r="J30" s="1302"/>
      <c r="K30" s="120"/>
      <c r="L30" s="2466"/>
      <c r="M30" s="2467"/>
    </row>
    <row r="31" spans="1:37" ht="18" customHeight="1">
      <c r="A31" s="924" t="s">
        <v>398</v>
      </c>
      <c r="B31" s="293"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4" t="s">
        <v>2304</v>
      </c>
      <c r="I31" s="1301"/>
      <c r="J31" s="1302"/>
      <c r="K31" s="120"/>
      <c r="L31" s="2466"/>
      <c r="M31" s="2467"/>
    </row>
    <row r="32" spans="1:37" ht="18" customHeight="1">
      <c r="A32" s="924" t="s">
        <v>397</v>
      </c>
      <c r="B32" s="293" t="s">
        <v>723</v>
      </c>
      <c r="C32" s="21">
        <f ca="1">IF(项目基本情况!B11="自然人","——",ROUND(C6*F32/(1+'数据-取费表'!C42),0))</f>
        <v>0</v>
      </c>
      <c r="D32" s="1252" t="s">
        <v>724</v>
      </c>
      <c r="E32" s="293" t="s">
        <v>712</v>
      </c>
      <c r="F32" s="321">
        <f>'数据-取费表'!B41</f>
        <v>5.6000000000000001E-2</v>
      </c>
      <c r="G32" s="1288"/>
      <c r="H32" s="2465"/>
      <c r="I32" s="1301"/>
      <c r="J32" s="1302"/>
      <c r="K32" s="120"/>
      <c r="L32" s="2466"/>
      <c r="M32" s="2467"/>
    </row>
    <row r="33" spans="1:18" ht="18" customHeight="1">
      <c r="A33" s="924" t="s">
        <v>399</v>
      </c>
      <c r="B33" s="293" t="s">
        <v>727</v>
      </c>
      <c r="C33" s="21">
        <f ca="1">IF(项目基本情况!B11="自然人","——",IF(D33="按租金收入计税",ROUND(C6*F33/(1+'数据-取费表'!C42),0),IF(D33="按房产原值计税",ROUND(C29*F33*0.7,0),INDIRECT("'数据-取费表'!Aj"&amp;$G$1))))</f>
        <v>0</v>
      </c>
      <c r="D33" s="1274" t="s">
        <v>3334</v>
      </c>
      <c r="E33" s="293" t="s">
        <v>712</v>
      </c>
      <c r="F33" s="313">
        <f>IF(D33="按票据","——",IF(D33="按租金收入计税",'数据-取费表'!B51,'数据-取费表'!B50))</f>
        <v>0.12</v>
      </c>
      <c r="G33" s="1288"/>
      <c r="H33" s="2468"/>
      <c r="I33" s="1301"/>
      <c r="J33" s="1302"/>
      <c r="K33" s="2469"/>
      <c r="L33" s="2468"/>
      <c r="M33" s="2468"/>
    </row>
    <row r="34" spans="1:18" ht="18" customHeight="1">
      <c r="A34" s="1002" t="s">
        <v>680</v>
      </c>
      <c r="B34" s="146" t="s">
        <v>730</v>
      </c>
      <c r="C34" s="22">
        <f ca="1">IF(项目基本情况!B11="自然人","——",ROUND(F34*F35,0))</f>
        <v>0</v>
      </c>
      <c r="D34" s="315" t="s">
        <v>731</v>
      </c>
      <c r="E34" s="293" t="s">
        <v>732</v>
      </c>
      <c r="F34" s="316">
        <f>'数据-取费表'!B52</f>
        <v>24</v>
      </c>
      <c r="G34" s="1288"/>
      <c r="H34" s="2465"/>
      <c r="I34" s="1301"/>
      <c r="J34" s="1302"/>
      <c r="K34" s="2470"/>
      <c r="L34" s="2471"/>
      <c r="M34" s="2471"/>
    </row>
    <row r="35" spans="1:18" ht="18" customHeight="1">
      <c r="A35" s="1036"/>
      <c r="B35" s="1034"/>
      <c r="C35" s="26"/>
      <c r="D35" s="318"/>
      <c r="E35" s="293" t="s">
        <v>736</v>
      </c>
      <c r="F35" s="294">
        <f ca="1">INDIRECT("'数据-取费表'!r"&amp;$G$1)</f>
        <v>0</v>
      </c>
      <c r="G35" s="1288"/>
      <c r="H35" s="2465"/>
      <c r="I35" s="1301"/>
      <c r="J35" s="1302"/>
      <c r="K35" s="2469"/>
      <c r="L35" s="2468"/>
      <c r="M35" s="2468"/>
    </row>
    <row r="36" spans="1:18" ht="18" customHeight="1">
      <c r="A36" s="1035" t="s">
        <v>402</v>
      </c>
      <c r="B36" s="293" t="s">
        <v>738</v>
      </c>
      <c r="C36" s="21">
        <f ca="1">ROUND(C29*F36,0)</f>
        <v>0</v>
      </c>
      <c r="D36" s="1252" t="s">
        <v>771</v>
      </c>
      <c r="E36" s="293" t="s">
        <v>712</v>
      </c>
      <c r="F36" s="319">
        <f ca="1">INDIRECT("'数据-取费表'!Ak"&amp;$G$1)</f>
        <v>0</v>
      </c>
      <c r="G36" s="1288"/>
      <c r="H36" s="2468"/>
      <c r="I36" s="1301"/>
      <c r="J36" s="1302"/>
      <c r="K36" s="2325"/>
      <c r="L36" s="2468"/>
      <c r="M36" s="2468"/>
    </row>
    <row r="37" spans="1:18" ht="18" customHeight="1">
      <c r="A37" s="924" t="s">
        <v>437</v>
      </c>
      <c r="B37" s="293" t="s">
        <v>742</v>
      </c>
      <c r="C37" s="21">
        <f ca="1">ROUND(C13*F37,0)</f>
        <v>0</v>
      </c>
      <c r="D37" s="1252" t="s">
        <v>743</v>
      </c>
      <c r="E37" s="293" t="s">
        <v>744</v>
      </c>
      <c r="F37" s="320">
        <f ca="1">INDIRECT("'数据-取费表'!Al"&amp;$G$1)</f>
        <v>0</v>
      </c>
      <c r="G37" s="1288"/>
      <c r="H37" s="2468"/>
      <c r="I37" s="1301"/>
      <c r="J37" s="1302"/>
      <c r="K37" s="2325"/>
      <c r="L37" s="2468"/>
      <c r="M37" s="2468"/>
    </row>
    <row r="38" spans="1:18" ht="18" customHeight="1" thickBot="1">
      <c r="A38" s="1022" t="s">
        <v>684</v>
      </c>
      <c r="B38" s="1023" t="s">
        <v>728</v>
      </c>
      <c r="C38" s="1024">
        <f ca="1">ROUND(C5*F38,0)</f>
        <v>0</v>
      </c>
      <c r="D38" s="1025" t="s">
        <v>748</v>
      </c>
      <c r="E38" s="1023" t="s">
        <v>744</v>
      </c>
      <c r="F38" s="1019">
        <f ca="1">INDIRECT("'数据-取费表'!Am"&amp;$G$1)</f>
        <v>0</v>
      </c>
      <c r="G38" s="1288"/>
      <c r="H38" s="2468"/>
      <c r="I38" s="1301"/>
      <c r="J38" s="1302"/>
      <c r="K38" s="2466"/>
      <c r="L38" s="2468"/>
      <c r="M38" s="2468"/>
    </row>
    <row r="39" spans="1:18" ht="24.6" customHeight="1" thickTop="1">
      <c r="A39" s="1012" t="s">
        <v>394</v>
      </c>
      <c r="B39" s="1027" t="s">
        <v>772</v>
      </c>
      <c r="C39" s="301">
        <f ca="1">C5-C30</f>
        <v>0</v>
      </c>
      <c r="D39" s="1028" t="s">
        <v>773</v>
      </c>
      <c r="E39" s="1029"/>
      <c r="F39" s="1030"/>
      <c r="G39" s="1288"/>
      <c r="H39" s="2468"/>
      <c r="I39" s="1301"/>
      <c r="J39" s="1302"/>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88"/>
      <c r="H40" s="1362"/>
      <c r="I40" s="1301"/>
      <c r="J40" s="1302"/>
      <c r="K40" s="2466"/>
      <c r="L40" s="1362"/>
      <c r="M40" s="1362"/>
    </row>
    <row r="41" spans="1:18" ht="18" customHeight="1">
      <c r="A41" s="295"/>
      <c r="B41" s="296"/>
      <c r="C41" s="297"/>
      <c r="D41" s="322" t="s">
        <v>775</v>
      </c>
      <c r="E41" s="293" t="s">
        <v>763</v>
      </c>
      <c r="F41" s="323">
        <f ca="1">IF(INDIRECT("'数据-取费表'!af"&amp;$G$1)=0,INDIRECT("'数据-取费表'!ae"&amp;$G$1),INDIRECT("'数据-取费表'!af"&amp;$G$1))</f>
        <v>0</v>
      </c>
      <c r="G41" s="1288"/>
      <c r="H41" s="120"/>
      <c r="I41" s="1301"/>
      <c r="J41" s="1302"/>
      <c r="K41" s="2325"/>
      <c r="L41" s="120"/>
      <c r="M41" s="120"/>
    </row>
    <row r="42" spans="1:18" ht="18" customHeight="1">
      <c r="A42" s="299"/>
      <c r="B42" s="300"/>
      <c r="C42" s="301"/>
      <c r="D42" s="318"/>
      <c r="E42" s="293" t="s">
        <v>766</v>
      </c>
      <c r="F42" s="303">
        <f ca="1">INDIRECT("'数据-取费表'!v"&amp;$G$1)</f>
        <v>0</v>
      </c>
      <c r="G42" s="1288"/>
      <c r="H42" s="120"/>
      <c r="I42" s="1301"/>
      <c r="J42" s="1302"/>
      <c r="K42" s="2325"/>
      <c r="L42" s="120"/>
      <c r="M42" s="120"/>
    </row>
    <row r="43" spans="1:18" ht="18" customHeight="1" thickBot="1">
      <c r="A43" s="324" t="s">
        <v>396</v>
      </c>
      <c r="B43" s="325" t="s">
        <v>776</v>
      </c>
      <c r="C43" s="326" t="e">
        <f ca="1">ROUND(C40/F43,0)</f>
        <v>#DIV/0!</v>
      </c>
      <c r="D43" s="327" t="s">
        <v>777</v>
      </c>
      <c r="E43" s="328" t="s">
        <v>778</v>
      </c>
      <c r="F43" s="329">
        <f ca="1">INDIRECT("'数据-取费表'!k"&amp;$G$1)</f>
        <v>0</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3124" t="s">
        <v>3350</v>
      </c>
      <c r="B45" s="1303"/>
      <c r="C45" s="1372" t="e">
        <f ca="1">ROUND((C68-C40)/10000,4)</f>
        <v>#DIV/0!</v>
      </c>
      <c r="D45" s="3125" t="s">
        <v>3351</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1" t="s">
        <v>692</v>
      </c>
      <c r="C48" s="1264">
        <f ca="1">C49+C53+C55</f>
        <v>0</v>
      </c>
      <c r="D48" s="1045"/>
      <c r="E48" s="1046"/>
      <c r="F48" s="904"/>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78"/>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4">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4" t="s">
        <v>700</v>
      </c>
      <c r="C53" s="307">
        <f ca="1">ROUND(IF(F53="押一",C49/12*F11,IF(F53="押二",C49/12*2*F11,IF(F53="押三",C49/12*3*F11,C54*F11))),0)</f>
        <v>0</v>
      </c>
      <c r="D53" s="149" t="s">
        <v>2116</v>
      </c>
      <c r="E53" s="304" t="s">
        <v>701</v>
      </c>
      <c r="F53" s="1049"/>
      <c r="I53" s="1340" t="s">
        <v>836</v>
      </c>
      <c r="J53" s="2001">
        <f ca="1">IF(M47="住宅",IF(D1="——",MAX(J51,L48),MAX(J51,L48-'数据-取费表'!B24)),IF(D1="——",MIN(J51,L48),MIN(J51,L48-'数据-取费表'!B24)))</f>
        <v>0</v>
      </c>
      <c r="K53" s="3487" t="s">
        <v>837</v>
      </c>
      <c r="L53" s="3488"/>
      <c r="O53" s="1321" t="s">
        <v>409</v>
      </c>
      <c r="P53" s="1322" t="s">
        <v>838</v>
      </c>
      <c r="Q53" s="1323" t="e">
        <f ca="1">Q47+Q48</f>
        <v>#DIV/0!</v>
      </c>
      <c r="R53" s="1323" t="s">
        <v>410</v>
      </c>
    </row>
    <row r="54" spans="1:18" s="1288" customFormat="1" ht="13.5" thickBot="1">
      <c r="A54" s="917"/>
      <c r="B54" s="1373" t="s">
        <v>891</v>
      </c>
      <c r="C54" s="901"/>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49"/>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3">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29">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6" t="s">
        <v>393</v>
      </c>
      <c r="B58" s="900" t="s">
        <v>714</v>
      </c>
      <c r="C58" s="307">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5">
        <f ca="1">ROUND(IF(AND(项目基本情况!B11="自然人",项目基本情况!B10="北京市"),C49*F59/(1+'数据-取费表'!C42),C60+C61+C62),0)</f>
        <v>0</v>
      </c>
      <c r="D59" s="905" t="s">
        <v>720</v>
      </c>
      <c r="E59" s="906"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1">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3334</v>
      </c>
      <c r="E61" s="892"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6">
        <f t="shared" si="0"/>
        <v>24</v>
      </c>
      <c r="I62" s="1363" t="s">
        <v>858</v>
      </c>
      <c r="J62" s="608" t="s">
        <v>859</v>
      </c>
      <c r="K62" s="608" t="s">
        <v>860</v>
      </c>
      <c r="L62" s="608" t="s">
        <v>861</v>
      </c>
      <c r="M62" s="1364" t="s">
        <v>862</v>
      </c>
      <c r="O62" s="1321" t="s">
        <v>409</v>
      </c>
      <c r="P62" s="1322" t="s">
        <v>863</v>
      </c>
      <c r="Q62" s="1323" t="e">
        <f ca="1">Q56+Q57</f>
        <v>#DIV/0!</v>
      </c>
      <c r="R62" s="1323" t="s">
        <v>410</v>
      </c>
    </row>
    <row r="63" spans="1:18" s="1288" customFormat="1" ht="13.5" thickBot="1">
      <c r="A63" s="317"/>
      <c r="B63" s="898"/>
      <c r="C63" s="26"/>
      <c r="D63" s="908"/>
      <c r="E63" s="892"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19">
        <f t="shared" ca="1" si="0"/>
        <v>0</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0">
        <f t="shared" ca="1" si="0"/>
        <v>0</v>
      </c>
      <c r="I65" s="1363" t="s">
        <v>867</v>
      </c>
      <c r="J65" s="608">
        <v>40</v>
      </c>
      <c r="K65" s="608">
        <v>30</v>
      </c>
      <c r="L65" s="608">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3">
        <f t="shared" ca="1" si="0"/>
        <v>0</v>
      </c>
      <c r="O66" s="1321" t="s">
        <v>404</v>
      </c>
      <c r="P66" s="1322" t="s">
        <v>846</v>
      </c>
      <c r="Q66" s="1323" t="e">
        <f ca="1">L60</f>
        <v>#DIV/0!</v>
      </c>
      <c r="R66" s="1323" t="s">
        <v>869</v>
      </c>
    </row>
    <row r="67" spans="1:18" s="1288" customFormat="1" ht="16.5" thickBot="1">
      <c r="A67" s="899" t="s">
        <v>394</v>
      </c>
      <c r="B67" s="909" t="s">
        <v>752</v>
      </c>
      <c r="C67" s="307">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2" t="e">
        <f ca="1">ROUND(C67*(1-((1+F70)/(1+F68))^F69)/(F68-F70),0)</f>
        <v>#DIV/0!</v>
      </c>
      <c r="D68" s="907" t="s">
        <v>758</v>
      </c>
      <c r="E68" s="892" t="s">
        <v>759</v>
      </c>
      <c r="F68" s="303">
        <f ca="1">F40</f>
        <v>0</v>
      </c>
      <c r="O68" s="1330" t="s">
        <v>406</v>
      </c>
      <c r="P68" s="1367" t="s">
        <v>871</v>
      </c>
      <c r="Q68" s="1323">
        <f ca="1">ROUND(Q69-Q70*Q71,0)</f>
        <v>0</v>
      </c>
      <c r="R68" s="1323" t="s">
        <v>414</v>
      </c>
    </row>
    <row r="69" spans="1:18" s="1288" customFormat="1" ht="13.5" thickBot="1">
      <c r="A69" s="893"/>
      <c r="B69" s="894"/>
      <c r="C69" s="297"/>
      <c r="D69" s="912" t="s">
        <v>762</v>
      </c>
      <c r="E69" s="892" t="s">
        <v>763</v>
      </c>
      <c r="F69" s="323">
        <f ca="1">F41</f>
        <v>0</v>
      </c>
      <c r="O69" s="1330" t="s">
        <v>411</v>
      </c>
      <c r="P69" s="1367" t="s">
        <v>872</v>
      </c>
      <c r="Q69" s="1323">
        <f ca="1">C39</f>
        <v>0</v>
      </c>
      <c r="R69" s="1323" t="s">
        <v>818</v>
      </c>
    </row>
    <row r="70" spans="1:18" s="1288" customFormat="1" ht="13.5" thickBot="1">
      <c r="A70" s="896"/>
      <c r="B70" s="897"/>
      <c r="C70" s="301"/>
      <c r="D70" s="908"/>
      <c r="E70" s="892" t="s">
        <v>766</v>
      </c>
      <c r="F70" s="987"/>
      <c r="O70" s="1330" t="s">
        <v>412</v>
      </c>
      <c r="P70" s="1367" t="s">
        <v>873</v>
      </c>
      <c r="Q70" s="1323">
        <f ca="1">C13</f>
        <v>0</v>
      </c>
      <c r="R70" s="1323" t="s">
        <v>818</v>
      </c>
    </row>
    <row r="71" spans="1:18" s="1288" customFormat="1" ht="13.5" thickBot="1">
      <c r="A71" s="913" t="s">
        <v>396</v>
      </c>
      <c r="B71" s="914" t="s">
        <v>776</v>
      </c>
      <c r="C71" s="326" t="e">
        <f ca="1">ROUND(C68/F71,0)</f>
        <v>#DIV/0!</v>
      </c>
      <c r="D71" s="915" t="s">
        <v>777</v>
      </c>
      <c r="E71" s="916" t="s">
        <v>778</v>
      </c>
      <c r="F71" s="329">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0</v>
      </c>
      <c r="D75" s="1288"/>
      <c r="E75" s="1288"/>
      <c r="F75" s="1288"/>
      <c r="K75" s="1305"/>
      <c r="L75" s="1288"/>
      <c r="O75" s="1321" t="s">
        <v>409</v>
      </c>
      <c r="P75" s="1322" t="s">
        <v>838</v>
      </c>
      <c r="Q75" s="1323" t="e">
        <f ca="1">Q65+Q66</f>
        <v>#DIV/0!</v>
      </c>
      <c r="R75" s="1323" t="s">
        <v>410</v>
      </c>
    </row>
    <row r="76" spans="1:18">
      <c r="B76" s="332" t="s">
        <v>796</v>
      </c>
      <c r="C76" s="333">
        <f ca="1">INDIRECT("'数据-取费表'!j"&amp;$G$1)</f>
        <v>0</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2432</v>
      </c>
      <c r="B1" s="2578"/>
      <c r="C1" s="2590"/>
      <c r="D1" s="2590"/>
      <c r="E1" s="2579"/>
      <c r="F1" s="2580"/>
      <c r="G1" s="2581"/>
      <c r="J1" s="2584" t="s">
        <v>2311</v>
      </c>
      <c r="K1" s="2585"/>
      <c r="L1" s="2585"/>
      <c r="M1" s="2585"/>
      <c r="N1" s="2585"/>
      <c r="O1" s="2585"/>
      <c r="P1" s="2585"/>
      <c r="Q1" s="2585"/>
      <c r="R1" s="2586"/>
      <c r="S1" s="2587"/>
      <c r="T1" s="2587"/>
      <c r="U1" s="2587"/>
    </row>
    <row r="2" spans="1:22" s="2599" customFormat="1" ht="13.15" customHeight="1">
      <c r="A2" s="1289" t="s">
        <v>2312</v>
      </c>
      <c r="B2" s="2589" t="e">
        <f>IF(D2="——",C40,C40+E2)</f>
        <v>#DIV/0!</v>
      </c>
      <c r="C2" s="2590" t="s">
        <v>2313</v>
      </c>
      <c r="D2" s="3133" t="s">
        <v>3357</v>
      </c>
      <c r="E2" s="3134"/>
      <c r="F2" s="2592"/>
      <c r="G2" s="2593"/>
      <c r="H2" s="2594"/>
      <c r="I2" s="2595"/>
      <c r="J2" s="3492" t="s">
        <v>2314</v>
      </c>
      <c r="K2" s="3493"/>
      <c r="L2" s="2596" t="s">
        <v>2315</v>
      </c>
      <c r="M2" s="2596" t="s">
        <v>2316</v>
      </c>
      <c r="N2" s="2596" t="s">
        <v>2317</v>
      </c>
      <c r="O2" s="2596" t="s">
        <v>2318</v>
      </c>
      <c r="P2" s="2596" t="s">
        <v>2319</v>
      </c>
      <c r="Q2" s="2597" t="s">
        <v>2320</v>
      </c>
      <c r="R2" s="2598" t="s">
        <v>2321</v>
      </c>
      <c r="S2" s="2587"/>
      <c r="T2" s="2587"/>
      <c r="U2" s="2587"/>
      <c r="V2" s="2595"/>
    </row>
    <row r="3" spans="1:22" s="2599" customFormat="1" ht="13.15" customHeight="1">
      <c r="A3" s="2600" t="s">
        <v>2322</v>
      </c>
      <c r="B3" s="2601" t="e">
        <f>ROUND(B2*10000/B4,0)</f>
        <v>#DIV/0!</v>
      </c>
      <c r="C3" s="2590" t="s">
        <v>2323</v>
      </c>
      <c r="D3" s="2590"/>
      <c r="E3" s="2591"/>
      <c r="F3" s="2592"/>
      <c r="G3" s="2593"/>
      <c r="H3" s="2594"/>
      <c r="I3" s="2595"/>
      <c r="J3" s="3494" t="s">
        <v>2324</v>
      </c>
      <c r="K3" s="3495"/>
      <c r="L3" s="2602"/>
      <c r="M3" s="2602"/>
      <c r="N3" s="2602"/>
      <c r="O3" s="2602"/>
      <c r="P3" s="2602"/>
      <c r="Q3" s="2603"/>
      <c r="R3" s="2604">
        <f>SUM(L3:Q3)</f>
        <v>0</v>
      </c>
      <c r="S3" s="2587"/>
      <c r="T3" s="2587"/>
      <c r="U3" s="2587"/>
      <c r="V3" s="2595"/>
    </row>
    <row r="4" spans="1:22" s="2599" customFormat="1" ht="13.15" customHeight="1">
      <c r="A4" s="2605" t="s">
        <v>2325</v>
      </c>
      <c r="B4" s="2606"/>
      <c r="C4" s="2590"/>
      <c r="D4" s="2590"/>
      <c r="E4" s="2591"/>
      <c r="F4" s="2592"/>
      <c r="G4" s="2593"/>
      <c r="H4" s="2594"/>
      <c r="I4" s="2595"/>
      <c r="J4" s="3494" t="s">
        <v>2326</v>
      </c>
      <c r="K4" s="3495"/>
      <c r="L4" s="2607"/>
      <c r="M4" s="2607"/>
      <c r="N4" s="2607"/>
      <c r="O4" s="2607"/>
      <c r="P4" s="2607"/>
      <c r="Q4" s="2608"/>
      <c r="R4" s="2609">
        <f>SUM(L4:Q4)</f>
        <v>0</v>
      </c>
      <c r="S4" s="2587"/>
      <c r="T4" s="2587"/>
      <c r="U4" s="2587"/>
      <c r="V4" s="2595"/>
    </row>
    <row r="5" spans="1:22" s="2599" customFormat="1" ht="13.15" customHeight="1" thickBot="1">
      <c r="A5" s="2610" t="s">
        <v>2327</v>
      </c>
      <c r="B5" s="2611"/>
      <c r="C5" s="2590"/>
      <c r="D5" s="2612"/>
      <c r="E5" s="2592"/>
      <c r="F5" s="2592"/>
      <c r="G5" s="2593"/>
      <c r="H5" s="2594"/>
      <c r="I5" s="2595"/>
      <c r="J5" s="2613" t="s">
        <v>2328</v>
      </c>
      <c r="K5" s="2614"/>
      <c r="L5" s="2614"/>
      <c r="M5" s="2615"/>
      <c r="N5" s="2615"/>
      <c r="O5" s="2615"/>
      <c r="P5" s="2615"/>
      <c r="Q5" s="2615"/>
      <c r="R5" s="2598">
        <f>SUM(R14,R19,R24,R25,R27,R28)</f>
        <v>0</v>
      </c>
      <c r="S5" s="2587"/>
      <c r="T5" s="2587" t="s">
        <v>2329</v>
      </c>
      <c r="U5" s="2587" t="e">
        <f>ROUND(R5*10000/365/R3,1)</f>
        <v>#DIV/0!</v>
      </c>
      <c r="V5" s="2595"/>
    </row>
    <row r="6" spans="1:22" s="2599" customFormat="1" ht="13.15" customHeight="1" thickBot="1">
      <c r="A6" s="3496" t="s">
        <v>2330</v>
      </c>
      <c r="B6" s="3497"/>
      <c r="C6" s="3498"/>
      <c r="D6" s="2616"/>
      <c r="E6" s="2617"/>
      <c r="F6" s="2618"/>
      <c r="G6" s="2619"/>
      <c r="H6" s="2594"/>
      <c r="I6" s="2595"/>
      <c r="J6" s="3499">
        <v>1</v>
      </c>
      <c r="K6" s="3500" t="s">
        <v>2331</v>
      </c>
      <c r="L6" s="2620" t="s">
        <v>2332</v>
      </c>
      <c r="M6" s="2621" t="s">
        <v>2333</v>
      </c>
      <c r="N6" s="2621" t="s">
        <v>2334</v>
      </c>
      <c r="O6" s="2621" t="s">
        <v>2335</v>
      </c>
      <c r="P6" s="2621" t="s">
        <v>2336</v>
      </c>
      <c r="Q6" s="2621" t="s">
        <v>2337</v>
      </c>
      <c r="R6" s="2604" t="s">
        <v>2338</v>
      </c>
      <c r="S6" s="2587"/>
      <c r="T6" s="2587" t="s">
        <v>2339</v>
      </c>
      <c r="U6" s="2587"/>
      <c r="V6" s="2595"/>
    </row>
    <row r="7" spans="1:22" s="2599" customFormat="1" ht="13.15" customHeight="1">
      <c r="A7" s="2622" t="s">
        <v>2340</v>
      </c>
      <c r="B7" s="2623"/>
      <c r="C7" s="2624"/>
      <c r="D7" s="2625">
        <f>SUM(D9,D10,D11,D17,0)</f>
        <v>0</v>
      </c>
      <c r="E7" s="2626" t="e">
        <f>E9+E10+E11+E17</f>
        <v>#DIV/0!</v>
      </c>
      <c r="F7" s="2627"/>
      <c r="G7" s="2628"/>
      <c r="H7" s="2594"/>
      <c r="I7" s="2595"/>
      <c r="J7" s="3499"/>
      <c r="K7" s="3501"/>
      <c r="L7" s="2629" t="s">
        <v>2341</v>
      </c>
      <c r="M7" s="2630"/>
      <c r="N7" s="2606"/>
      <c r="O7" s="2631"/>
      <c r="P7" s="2631"/>
      <c r="Q7" s="2632">
        <v>365</v>
      </c>
      <c r="R7" s="2633">
        <f>ROUND(M7*N7*O7*P7*Q7/10000,0)</f>
        <v>0</v>
      </c>
      <c r="S7" s="2587"/>
      <c r="T7" s="2587" t="s">
        <v>2342</v>
      </c>
      <c r="U7" s="2587"/>
      <c r="V7" s="2595"/>
    </row>
    <row r="8" spans="1:22" s="2599" customFormat="1" ht="13.15" customHeight="1">
      <c r="A8" s="2634" t="s">
        <v>2343</v>
      </c>
      <c r="B8" s="3503" t="s">
        <v>2344</v>
      </c>
      <c r="C8" s="3504"/>
      <c r="D8" s="2635" t="s">
        <v>2345</v>
      </c>
      <c r="E8" s="2636" t="s">
        <v>2346</v>
      </c>
      <c r="F8" s="2637" t="s">
        <v>2347</v>
      </c>
      <c r="G8" s="2638"/>
      <c r="H8" s="2594"/>
      <c r="I8" s="2595"/>
      <c r="J8" s="3499"/>
      <c r="K8" s="3501"/>
      <c r="L8" s="2629" t="s">
        <v>2348</v>
      </c>
      <c r="M8" s="2630"/>
      <c r="N8" s="2606"/>
      <c r="O8" s="2631"/>
      <c r="P8" s="2631"/>
      <c r="Q8" s="2632">
        <v>365</v>
      </c>
      <c r="R8" s="2633">
        <f t="shared" ref="R8:R13" si="0">ROUND(M8*N8*O8*P8*Q8/10000,0)</f>
        <v>0</v>
      </c>
      <c r="S8" s="2587"/>
      <c r="T8" s="2587" t="s">
        <v>2349</v>
      </c>
      <c r="U8" s="2587"/>
      <c r="V8" s="2595"/>
    </row>
    <row r="9" spans="1:22" s="2599" customFormat="1" ht="13.15" customHeight="1">
      <c r="A9" s="2634">
        <v>1</v>
      </c>
      <c r="B9" s="3503" t="s">
        <v>2350</v>
      </c>
      <c r="C9" s="3504"/>
      <c r="D9" s="2635">
        <f>ROUND(D6*E9,0)</f>
        <v>0</v>
      </c>
      <c r="E9" s="2639"/>
      <c r="F9" s="2640" t="s">
        <v>2351</v>
      </c>
      <c r="G9" s="2619"/>
      <c r="H9" s="2594"/>
      <c r="I9" s="2595"/>
      <c r="J9" s="3499"/>
      <c r="K9" s="3501"/>
      <c r="L9" s="2629" t="s">
        <v>2352</v>
      </c>
      <c r="M9" s="2630"/>
      <c r="N9" s="2606"/>
      <c r="O9" s="2631"/>
      <c r="P9" s="2631"/>
      <c r="Q9" s="2632">
        <v>365</v>
      </c>
      <c r="R9" s="2633">
        <f t="shared" si="0"/>
        <v>0</v>
      </c>
      <c r="S9" s="2587"/>
      <c r="T9" s="2587"/>
      <c r="U9" s="2587"/>
      <c r="V9" s="2595"/>
    </row>
    <row r="10" spans="1:22" s="2599" customFormat="1" ht="13.15" customHeight="1">
      <c r="A10" s="2634">
        <v>2</v>
      </c>
      <c r="B10" s="3503" t="s">
        <v>2353</v>
      </c>
      <c r="C10" s="3504"/>
      <c r="D10" s="2635">
        <f>ROUND(D6*E10,0)</f>
        <v>0</v>
      </c>
      <c r="E10" s="2639"/>
      <c r="F10" s="2640" t="s">
        <v>2354</v>
      </c>
      <c r="G10" s="2619"/>
      <c r="H10" s="2594"/>
      <c r="I10" s="2595"/>
      <c r="J10" s="3499"/>
      <c r="K10" s="3501"/>
      <c r="L10" s="2629" t="s">
        <v>2355</v>
      </c>
      <c r="M10" s="2630"/>
      <c r="N10" s="2606"/>
      <c r="O10" s="2631"/>
      <c r="P10" s="2631"/>
      <c r="Q10" s="2632">
        <v>365</v>
      </c>
      <c r="R10" s="2633">
        <f t="shared" si="0"/>
        <v>0</v>
      </c>
      <c r="S10" s="2587"/>
      <c r="T10" s="2587"/>
      <c r="U10" s="2587"/>
      <c r="V10" s="2595"/>
    </row>
    <row r="11" spans="1:22" s="2599" customFormat="1" ht="13.15" customHeight="1">
      <c r="A11" s="2634">
        <v>3</v>
      </c>
      <c r="B11" s="3503" t="s">
        <v>2356</v>
      </c>
      <c r="C11" s="3504"/>
      <c r="D11" s="2635">
        <f>D12+D14+D15+D16</f>
        <v>0</v>
      </c>
      <c r="E11" s="2641" t="e">
        <f>D11/D6</f>
        <v>#DIV/0!</v>
      </c>
      <c r="F11" s="2637"/>
      <c r="G11" s="2638"/>
      <c r="H11" s="2594"/>
      <c r="I11" s="2595"/>
      <c r="J11" s="3499"/>
      <c r="K11" s="3501"/>
      <c r="L11" s="2629" t="s">
        <v>2357</v>
      </c>
      <c r="M11" s="2630"/>
      <c r="N11" s="2606"/>
      <c r="O11" s="2631"/>
      <c r="P11" s="2631"/>
      <c r="Q11" s="2632">
        <v>365</v>
      </c>
      <c r="R11" s="2633">
        <f t="shared" si="0"/>
        <v>0</v>
      </c>
      <c r="S11" s="2587"/>
      <c r="T11" s="2587"/>
      <c r="U11" s="2587"/>
      <c r="V11" s="2595"/>
    </row>
    <row r="12" spans="1:22" s="2599" customFormat="1" ht="13.15" customHeight="1">
      <c r="A12" s="2642" t="s">
        <v>2358</v>
      </c>
      <c r="B12" s="3505" t="s">
        <v>2359</v>
      </c>
      <c r="C12" s="3506"/>
      <c r="D12" s="2643">
        <f>ROUND(D13*1.2%*(1-30%),0)</f>
        <v>0</v>
      </c>
      <c r="E12" s="2644">
        <v>1.2E-2</v>
      </c>
      <c r="F12" s="2637" t="s">
        <v>2360</v>
      </c>
      <c r="G12" s="2638"/>
      <c r="H12" s="2594"/>
      <c r="I12" s="2595"/>
      <c r="J12" s="3499"/>
      <c r="K12" s="3501"/>
      <c r="L12" s="2629" t="s">
        <v>2361</v>
      </c>
      <c r="M12" s="2630"/>
      <c r="N12" s="2606"/>
      <c r="O12" s="2631"/>
      <c r="P12" s="2631"/>
      <c r="Q12" s="2632">
        <v>365</v>
      </c>
      <c r="R12" s="2633">
        <f t="shared" si="0"/>
        <v>0</v>
      </c>
      <c r="S12" s="2587"/>
      <c r="T12" s="2587"/>
      <c r="U12" s="2587"/>
      <c r="V12" s="2595"/>
    </row>
    <row r="13" spans="1:22" s="2599" customFormat="1" ht="13.15" customHeight="1">
      <c r="A13" s="2642"/>
      <c r="B13" s="2645"/>
      <c r="C13" s="2646" t="s">
        <v>2362</v>
      </c>
      <c r="D13" s="2647"/>
      <c r="E13" s="2648"/>
      <c r="F13" s="2637"/>
      <c r="G13" s="2638"/>
      <c r="H13" s="2594"/>
      <c r="I13" s="2595"/>
      <c r="J13" s="3499"/>
      <c r="K13" s="3501"/>
      <c r="L13" s="2629" t="s">
        <v>2363</v>
      </c>
      <c r="M13" s="2630"/>
      <c r="N13" s="2606"/>
      <c r="O13" s="2631"/>
      <c r="P13" s="2631"/>
      <c r="Q13" s="2632">
        <v>365</v>
      </c>
      <c r="R13" s="2633">
        <f t="shared" si="0"/>
        <v>0</v>
      </c>
      <c r="S13" s="2587"/>
      <c r="T13" s="2587"/>
      <c r="U13" s="2587"/>
      <c r="V13" s="2595"/>
    </row>
    <row r="14" spans="1:22" s="2599" customFormat="1" ht="13.15" customHeight="1">
      <c r="A14" s="2642" t="s">
        <v>2364</v>
      </c>
      <c r="B14" s="3505" t="s">
        <v>2365</v>
      </c>
      <c r="C14" s="3506"/>
      <c r="D14" s="2643">
        <f>ROUND(E14*B5/10000,0)</f>
        <v>0</v>
      </c>
      <c r="E14" s="2632"/>
      <c r="F14" s="2637" t="s">
        <v>2366</v>
      </c>
      <c r="G14" s="2638"/>
      <c r="H14" s="2594"/>
      <c r="I14" s="2595"/>
      <c r="J14" s="3499"/>
      <c r="K14" s="3502"/>
      <c r="L14" s="2649" t="s">
        <v>2367</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2368</v>
      </c>
      <c r="B15" s="3505" t="s">
        <v>2369</v>
      </c>
      <c r="C15" s="3506"/>
      <c r="D15" s="2643">
        <f>ROUND(D6*E15,0)</f>
        <v>0</v>
      </c>
      <c r="E15" s="2644">
        <v>5.5E-2</v>
      </c>
      <c r="F15" s="2637" t="s">
        <v>2370</v>
      </c>
      <c r="G15" s="2619"/>
      <c r="H15" s="2594"/>
      <c r="I15" s="2595"/>
      <c r="J15" s="3499">
        <v>2</v>
      </c>
      <c r="K15" s="3500" t="s">
        <v>2371</v>
      </c>
      <c r="L15" s="2629" t="s">
        <v>2372</v>
      </c>
      <c r="M15" s="2630" t="s">
        <v>2373</v>
      </c>
      <c r="N15" s="2630" t="s">
        <v>2374</v>
      </c>
      <c r="O15" s="2631" t="s">
        <v>2375</v>
      </c>
      <c r="P15" s="2631" t="s">
        <v>2337</v>
      </c>
      <c r="Q15" s="2606" t="s">
        <v>2376</v>
      </c>
      <c r="R15" s="2653" t="s">
        <v>2338</v>
      </c>
      <c r="S15" s="2587"/>
      <c r="T15" s="2587"/>
      <c r="U15" s="2587"/>
      <c r="V15" s="2595"/>
    </row>
    <row r="16" spans="1:22" s="2599" customFormat="1" ht="13.15" customHeight="1">
      <c r="A16" s="2642" t="s">
        <v>2377</v>
      </c>
      <c r="B16" s="3505" t="s">
        <v>2378</v>
      </c>
      <c r="C16" s="3506"/>
      <c r="D16" s="2654">
        <f>D6*E16</f>
        <v>0</v>
      </c>
      <c r="E16" s="2655"/>
      <c r="F16" s="2640" t="s">
        <v>2379</v>
      </c>
      <c r="G16" s="2619"/>
      <c r="H16" s="2594"/>
      <c r="I16" s="2595"/>
      <c r="J16" s="3499"/>
      <c r="K16" s="3501"/>
      <c r="L16" s="2629" t="s">
        <v>2380</v>
      </c>
      <c r="M16" s="2630"/>
      <c r="N16" s="2630"/>
      <c r="O16" s="2631"/>
      <c r="P16" s="2632">
        <v>365</v>
      </c>
      <c r="Q16" s="2606"/>
      <c r="R16" s="2653">
        <f>ROUND(M16*N16*O16*P16/10000,0)</f>
        <v>0</v>
      </c>
      <c r="S16" s="2587"/>
      <c r="T16" s="2587"/>
      <c r="U16" s="2587"/>
      <c r="V16" s="2595"/>
    </row>
    <row r="17" spans="1:22" s="2599" customFormat="1" ht="13.15" customHeight="1" thickBot="1">
      <c r="A17" s="2656">
        <v>4</v>
      </c>
      <c r="B17" s="3507" t="s">
        <v>2381</v>
      </c>
      <c r="C17" s="3508"/>
      <c r="D17" s="2657">
        <f>ROUND(D6*E17,0)</f>
        <v>0</v>
      </c>
      <c r="E17" s="2658"/>
      <c r="F17" s="2659" t="s">
        <v>2382</v>
      </c>
      <c r="G17" s="2619"/>
      <c r="H17" s="2594"/>
      <c r="I17" s="2595"/>
      <c r="J17" s="3499"/>
      <c r="K17" s="3501"/>
      <c r="L17" s="2629" t="s">
        <v>2383</v>
      </c>
      <c r="M17" s="2630"/>
      <c r="N17" s="2630"/>
      <c r="O17" s="2631"/>
      <c r="P17" s="2632">
        <v>365</v>
      </c>
      <c r="Q17" s="2606"/>
      <c r="R17" s="2653">
        <f>ROUND(M17*N17*O17*P17/10000,0)</f>
        <v>0</v>
      </c>
      <c r="S17" s="2587"/>
      <c r="T17" s="2587"/>
      <c r="U17" s="2587"/>
      <c r="V17" s="2595"/>
    </row>
    <row r="18" spans="1:22" s="2599" customFormat="1" ht="13.15" customHeight="1" thickBot="1">
      <c r="A18" s="2622" t="s">
        <v>2384</v>
      </c>
      <c r="B18" s="2623"/>
      <c r="C18" s="2623"/>
      <c r="D18" s="2660">
        <f>ROUND(D6*E18,0)</f>
        <v>0</v>
      </c>
      <c r="E18" s="2661"/>
      <c r="F18" s="2662" t="s">
        <v>2385</v>
      </c>
      <c r="G18" s="2619"/>
      <c r="H18" s="2594"/>
      <c r="I18" s="2595"/>
      <c r="J18" s="3499"/>
      <c r="K18" s="3501"/>
      <c r="L18" s="2629" t="s">
        <v>2386</v>
      </c>
      <c r="M18" s="2630"/>
      <c r="N18" s="2630"/>
      <c r="O18" s="2631"/>
      <c r="P18" s="2632">
        <v>365</v>
      </c>
      <c r="Q18" s="2606"/>
      <c r="R18" s="2653">
        <f>ROUND(M18*N18*O18*P18/10000,0)</f>
        <v>0</v>
      </c>
      <c r="S18" s="2587"/>
      <c r="T18" s="2587"/>
      <c r="U18" s="2587"/>
      <c r="V18" s="2595"/>
    </row>
    <row r="19" spans="1:22" s="2599" customFormat="1" ht="13.15" customHeight="1" thickBot="1">
      <c r="A19" s="2663" t="s">
        <v>2387</v>
      </c>
      <c r="B19" s="2617"/>
      <c r="C19" s="2617"/>
      <c r="D19" s="2617"/>
      <c r="E19" s="2617"/>
      <c r="F19" s="2618"/>
      <c r="G19" s="2638"/>
      <c r="H19" s="2594"/>
      <c r="I19" s="2595"/>
      <c r="J19" s="3499"/>
      <c r="K19" s="3502"/>
      <c r="L19" s="2649" t="s">
        <v>2367</v>
      </c>
      <c r="M19" s="2650"/>
      <c r="N19" s="2650">
        <f>SUM(N16:N18)</f>
        <v>0</v>
      </c>
      <c r="O19" s="2651"/>
      <c r="P19" s="2664" t="s">
        <v>2431</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99">
        <v>3</v>
      </c>
      <c r="K20" s="3500" t="s">
        <v>2388</v>
      </c>
      <c r="L20" s="2629" t="s">
        <v>2389</v>
      </c>
      <c r="M20" s="2630" t="s">
        <v>2390</v>
      </c>
      <c r="N20" s="2667" t="s">
        <v>2391</v>
      </c>
      <c r="O20" s="2631" t="s">
        <v>2392</v>
      </c>
      <c r="P20" s="2632" t="s">
        <v>2393</v>
      </c>
      <c r="Q20" s="2606" t="s">
        <v>2394</v>
      </c>
      <c r="R20" s="2653" t="s">
        <v>2395</v>
      </c>
      <c r="S20" s="2587"/>
      <c r="T20" s="2587"/>
      <c r="U20" s="2587"/>
      <c r="V20" s="2595"/>
    </row>
    <row r="21" spans="1:22" s="2599" customFormat="1" ht="13.15" customHeight="1">
      <c r="A21" s="2622"/>
      <c r="B21" s="2623"/>
      <c r="C21" s="2668" t="s">
        <v>2396</v>
      </c>
      <c r="D21" s="2669" t="s">
        <v>2397</v>
      </c>
      <c r="E21" s="2670" t="s">
        <v>2398</v>
      </c>
      <c r="F21" s="2666"/>
      <c r="G21" s="2638"/>
      <c r="H21" s="2594"/>
      <c r="I21" s="2595"/>
      <c r="J21" s="3499"/>
      <c r="K21" s="3501"/>
      <c r="L21" s="2629" t="s">
        <v>2399</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2400</v>
      </c>
      <c r="D22" s="2673" t="s">
        <v>2401</v>
      </c>
      <c r="E22" s="2674" t="s">
        <v>2402</v>
      </c>
      <c r="F22" s="2666"/>
      <c r="G22" s="2587"/>
      <c r="H22" s="2594"/>
      <c r="I22" s="2595"/>
      <c r="J22" s="3499"/>
      <c r="K22" s="3501"/>
      <c r="L22" s="2629" t="s">
        <v>2403</v>
      </c>
      <c r="M22" s="2630"/>
      <c r="N22" s="2630"/>
      <c r="O22" s="2631"/>
      <c r="P22" s="2632">
        <v>365</v>
      </c>
      <c r="Q22" s="2606"/>
      <c r="R22" s="2671">
        <f>ROUND(M22*N22*O22*P22/10000,0)</f>
        <v>0</v>
      </c>
      <c r="S22" s="2587"/>
      <c r="T22" s="2587"/>
      <c r="U22" s="2587"/>
      <c r="V22" s="2595"/>
    </row>
    <row r="23" spans="1:22" s="2599" customFormat="1" ht="13.15" customHeight="1">
      <c r="A23" s="2675">
        <v>1</v>
      </c>
      <c r="B23" s="2676" t="s">
        <v>2404</v>
      </c>
      <c r="C23" s="2677">
        <f>D6</f>
        <v>0</v>
      </c>
      <c r="D23" s="2678">
        <f>C23*(1+D24)</f>
        <v>0</v>
      </c>
      <c r="E23" s="2679">
        <f>D23*(1+E24)</f>
        <v>0</v>
      </c>
      <c r="F23" s="2680"/>
      <c r="G23" s="2681"/>
      <c r="H23" s="2594"/>
      <c r="I23" s="2595"/>
      <c r="J23" s="3499"/>
      <c r="K23" s="3501"/>
      <c r="L23" s="2629" t="s">
        <v>2405</v>
      </c>
      <c r="M23" s="2630"/>
      <c r="N23" s="2630"/>
      <c r="O23" s="2631"/>
      <c r="P23" s="2632">
        <v>365</v>
      </c>
      <c r="Q23" s="2606"/>
      <c r="R23" s="2671">
        <f>ROUND(M23*N23*O23*P23/10000,0)</f>
        <v>0</v>
      </c>
      <c r="S23" s="2587"/>
      <c r="T23" s="2587"/>
      <c r="U23" s="2587"/>
      <c r="V23" s="2595"/>
    </row>
    <row r="24" spans="1:22" s="2599" customFormat="1" ht="13.15" customHeight="1">
      <c r="A24" s="2682"/>
      <c r="B24" s="2683" t="s">
        <v>2406</v>
      </c>
      <c r="C24" s="2684"/>
      <c r="D24" s="2685"/>
      <c r="E24" s="2686"/>
      <c r="F24" s="2687"/>
      <c r="G24" s="2681"/>
      <c r="H24" s="2594"/>
      <c r="I24" s="2595"/>
      <c r="J24" s="3499"/>
      <c r="K24" s="3502"/>
      <c r="L24" s="2649" t="s">
        <v>2367</v>
      </c>
      <c r="M24" s="2650">
        <f>SUM(M21:M23)</f>
        <v>0</v>
      </c>
      <c r="N24" s="2650"/>
      <c r="O24" s="2651"/>
      <c r="P24" s="2664" t="s">
        <v>2431</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2407</v>
      </c>
      <c r="L25" s="2690"/>
      <c r="M25" s="2690"/>
      <c r="N25" s="2690"/>
      <c r="O25" s="2690"/>
      <c r="P25" s="2691"/>
      <c r="Q25" s="2692">
        <v>0</v>
      </c>
      <c r="R25" s="2665">
        <f>ROUND(R14*Q25,0)</f>
        <v>0</v>
      </c>
      <c r="S25" s="2587"/>
      <c r="T25" s="2587"/>
      <c r="U25" s="2587"/>
      <c r="V25" s="2693"/>
    </row>
    <row r="26" spans="1:22" s="2694" customFormat="1" ht="13.15" customHeight="1">
      <c r="A26" s="2675">
        <v>2</v>
      </c>
      <c r="B26" s="2676" t="s">
        <v>2408</v>
      </c>
      <c r="C26" s="2677">
        <f>D7</f>
        <v>0</v>
      </c>
      <c r="D26" s="2678">
        <f>D23*D27</f>
        <v>0</v>
      </c>
      <c r="E26" s="2679">
        <f>E23*E27</f>
        <v>0</v>
      </c>
      <c r="F26" s="2680"/>
      <c r="G26" s="2681"/>
      <c r="H26" s="2594"/>
      <c r="I26" s="2595"/>
      <c r="J26" s="3509">
        <v>5</v>
      </c>
      <c r="K26" s="2695" t="s">
        <v>2409</v>
      </c>
      <c r="L26" s="2696"/>
      <c r="M26" s="2697"/>
      <c r="N26" s="2698" t="s">
        <v>2410</v>
      </c>
      <c r="O26" s="2698" t="s">
        <v>2411</v>
      </c>
      <c r="P26" s="2699" t="s">
        <v>2412</v>
      </c>
      <c r="Q26" s="2699" t="s">
        <v>2413</v>
      </c>
      <c r="R26" s="2604" t="s">
        <v>2338</v>
      </c>
      <c r="S26" s="2638"/>
      <c r="T26" s="2638"/>
      <c r="U26" s="2638"/>
      <c r="V26" s="2693"/>
    </row>
    <row r="27" spans="1:22" s="2599" customFormat="1" ht="13.15" customHeight="1">
      <c r="A27" s="2682"/>
      <c r="B27" s="2683" t="s">
        <v>2414</v>
      </c>
      <c r="C27" s="2700" t="e">
        <f>E7</f>
        <v>#DIV/0!</v>
      </c>
      <c r="D27" s="2685"/>
      <c r="E27" s="2686"/>
      <c r="F27" s="2687"/>
      <c r="G27" s="2681"/>
      <c r="H27" s="2701"/>
      <c r="I27" s="2693"/>
      <c r="J27" s="3510"/>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2415</v>
      </c>
      <c r="F28" s="2687"/>
      <c r="G28" s="2587"/>
      <c r="H28" s="2701"/>
      <c r="I28" s="2693"/>
      <c r="J28" s="2707">
        <v>6</v>
      </c>
      <c r="K28" s="2708" t="s">
        <v>2416</v>
      </c>
      <c r="L28" s="2709" t="s">
        <v>2417</v>
      </c>
      <c r="M28" s="2710"/>
      <c r="N28" s="2709" t="s">
        <v>2418</v>
      </c>
      <c r="O28" s="2711"/>
      <c r="P28" s="2709" t="s">
        <v>2419</v>
      </c>
      <c r="Q28" s="2712">
        <v>1.4999999999999999E-2</v>
      </c>
      <c r="R28" s="2713"/>
      <c r="S28" s="2587"/>
      <c r="T28" s="2587"/>
      <c r="U28" s="2587"/>
      <c r="V28" s="2693"/>
    </row>
    <row r="29" spans="1:22" s="2694" customFormat="1" ht="13.15" customHeight="1">
      <c r="A29" s="2675">
        <v>3</v>
      </c>
      <c r="B29" s="2676" t="s">
        <v>2420</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2414</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2421</v>
      </c>
      <c r="K31" s="2585"/>
      <c r="L31" s="2585"/>
      <c r="M31" s="2585"/>
      <c r="N31" s="2585"/>
      <c r="O31" s="2585"/>
      <c r="P31" s="2585"/>
      <c r="Q31" s="2585"/>
      <c r="R31" s="2586"/>
      <c r="S31" s="2587"/>
      <c r="T31" s="2587"/>
      <c r="U31" s="2587"/>
      <c r="V31" s="2693"/>
    </row>
    <row r="32" spans="1:22" s="2694" customFormat="1" ht="13.15" customHeight="1">
      <c r="A32" s="2675">
        <v>4</v>
      </c>
      <c r="B32" s="2676" t="s">
        <v>2422</v>
      </c>
      <c r="C32" s="2677">
        <f>C23-C26-C29</f>
        <v>0</v>
      </c>
      <c r="D32" s="2678">
        <f>D23-D26-D29</f>
        <v>0</v>
      </c>
      <c r="E32" s="2679">
        <f>E23-E26-E29</f>
        <v>0</v>
      </c>
      <c r="F32" s="2680"/>
      <c r="G32" s="2587"/>
      <c r="H32" s="2594"/>
      <c r="I32" s="2595"/>
      <c r="J32" s="3492" t="s">
        <v>2314</v>
      </c>
      <c r="K32" s="3493"/>
      <c r="L32" s="2596" t="s">
        <v>2315</v>
      </c>
      <c r="M32" s="2596" t="s">
        <v>2316</v>
      </c>
      <c r="N32" s="2596" t="s">
        <v>2317</v>
      </c>
      <c r="O32" s="2596" t="s">
        <v>2318</v>
      </c>
      <c r="P32" s="2596" t="s">
        <v>2319</v>
      </c>
      <c r="Q32" s="2597" t="s">
        <v>2320</v>
      </c>
      <c r="R32" s="2716" t="s">
        <v>2321</v>
      </c>
      <c r="S32" s="2587"/>
      <c r="T32" s="2587"/>
      <c r="U32" s="2587"/>
      <c r="V32" s="2693"/>
    </row>
    <row r="33" spans="1:23" s="2599" customFormat="1" ht="13.15" customHeight="1">
      <c r="A33" s="2675"/>
      <c r="B33" s="2676"/>
      <c r="C33" s="2677"/>
      <c r="D33" s="2717"/>
      <c r="E33" s="2718"/>
      <c r="F33" s="2680"/>
      <c r="G33" s="2587"/>
      <c r="H33" s="2701"/>
      <c r="I33" s="2693"/>
      <c r="J33" s="3494" t="s">
        <v>2324</v>
      </c>
      <c r="K33" s="3495"/>
      <c r="L33" s="2602"/>
      <c r="M33" s="2602"/>
      <c r="N33" s="2602"/>
      <c r="O33" s="2602"/>
      <c r="P33" s="2602"/>
      <c r="Q33" s="2603"/>
      <c r="R33" s="2719">
        <f>SUM(L33:Q33)</f>
        <v>0</v>
      </c>
      <c r="S33" s="2587"/>
      <c r="T33" s="2587"/>
      <c r="U33" s="2587"/>
      <c r="V33" s="2595"/>
    </row>
    <row r="34" spans="1:23" s="2599" customFormat="1" ht="13.15" customHeight="1">
      <c r="A34" s="2675">
        <v>5</v>
      </c>
      <c r="B34" s="2676" t="s">
        <v>2423</v>
      </c>
      <c r="C34" s="2720"/>
      <c r="D34" s="2721"/>
      <c r="E34" s="2722"/>
      <c r="F34" s="2680"/>
      <c r="G34" s="2587"/>
      <c r="H34" s="2701"/>
      <c r="I34" s="2693"/>
      <c r="J34" s="3494" t="s">
        <v>2326</v>
      </c>
      <c r="K34" s="3495"/>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2424</v>
      </c>
      <c r="C35" s="2724"/>
      <c r="D35" s="2725"/>
      <c r="E35" s="2726"/>
      <c r="F35" s="2680"/>
      <c r="G35" s="2727"/>
      <c r="H35" s="2594"/>
      <c r="I35" s="2693"/>
      <c r="J35" s="2613" t="s">
        <v>2328</v>
      </c>
      <c r="K35" s="2614"/>
      <c r="L35" s="2614"/>
      <c r="M35" s="2615"/>
      <c r="N35" s="2615"/>
      <c r="O35" s="2615"/>
      <c r="P35" s="2615"/>
      <c r="Q35" s="2615"/>
      <c r="R35" s="2728">
        <f>R40+R41+R43</f>
        <v>0</v>
      </c>
      <c r="S35" s="2587"/>
      <c r="T35" s="2587" t="s">
        <v>2329</v>
      </c>
      <c r="U35" s="2587"/>
      <c r="V35" s="2595"/>
    </row>
    <row r="36" spans="1:23" s="2599" customFormat="1" ht="13.15" customHeight="1" thickBot="1">
      <c r="A36" s="2675">
        <v>7</v>
      </c>
      <c r="B36" s="2729" t="s">
        <v>2425</v>
      </c>
      <c r="C36" s="2730"/>
      <c r="D36" s="2731"/>
      <c r="E36" s="2732"/>
      <c r="F36" s="2733">
        <f>C36+D36+E36</f>
        <v>0</v>
      </c>
      <c r="G36" s="2587"/>
      <c r="H36" s="2594"/>
      <c r="I36" s="2595"/>
      <c r="J36" s="3499">
        <v>1</v>
      </c>
      <c r="K36" s="3500" t="s">
        <v>2426</v>
      </c>
      <c r="L36" s="2620"/>
      <c r="M36" s="2621"/>
      <c r="N36" s="2621"/>
      <c r="O36" s="2621"/>
      <c r="P36" s="2621"/>
      <c r="Q36" s="2621"/>
      <c r="R36" s="2604" t="s">
        <v>2338</v>
      </c>
      <c r="S36" s="2587"/>
      <c r="T36" s="2587" t="s">
        <v>2339</v>
      </c>
      <c r="U36" s="2587"/>
      <c r="V36" s="2595"/>
    </row>
    <row r="37" spans="1:23" s="2599" customFormat="1" ht="13.15" customHeight="1">
      <c r="A37" s="2675"/>
      <c r="B37" s="2676"/>
      <c r="C37" s="2676"/>
      <c r="D37" s="2676"/>
      <c r="E37" s="2676"/>
      <c r="F37" s="2680"/>
      <c r="G37" s="2587"/>
      <c r="H37" s="2594"/>
      <c r="I37" s="2595"/>
      <c r="J37" s="3499"/>
      <c r="K37" s="3501"/>
      <c r="L37" s="2629"/>
      <c r="M37" s="2630"/>
      <c r="N37" s="2606"/>
      <c r="O37" s="2631"/>
      <c r="P37" s="2631"/>
      <c r="Q37" s="2632"/>
      <c r="R37" s="2633"/>
      <c r="S37" s="2587"/>
      <c r="T37" s="2587" t="s">
        <v>2342</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99"/>
      <c r="K38" s="3501"/>
      <c r="L38" s="2629"/>
      <c r="M38" s="2630"/>
      <c r="N38" s="2606"/>
      <c r="O38" s="2631"/>
      <c r="P38" s="2631"/>
      <c r="Q38" s="2632"/>
      <c r="R38" s="2633"/>
      <c r="S38" s="2587"/>
      <c r="T38" s="2587" t="s">
        <v>2349</v>
      </c>
      <c r="U38" s="2587"/>
      <c r="V38" s="2595"/>
    </row>
    <row r="39" spans="1:23" s="2599" customFormat="1" ht="13.15" customHeight="1">
      <c r="A39" s="2675">
        <v>9</v>
      </c>
      <c r="B39" s="2676" t="s">
        <v>2427</v>
      </c>
      <c r="C39" s="2643" t="e">
        <f>C38</f>
        <v>#DIV/0!</v>
      </c>
      <c r="D39" s="2676">
        <f>D38/(1+D34)^C36</f>
        <v>0</v>
      </c>
      <c r="E39" s="2676">
        <f>E38/(1+E34)^(C36+D36)</f>
        <v>0</v>
      </c>
      <c r="F39" s="2680"/>
      <c r="G39" s="2595"/>
      <c r="H39" s="2594"/>
      <c r="I39" s="2595"/>
      <c r="J39" s="3499"/>
      <c r="K39" s="3501"/>
      <c r="L39" s="2629"/>
      <c r="M39" s="2630"/>
      <c r="N39" s="2606"/>
      <c r="O39" s="2631"/>
      <c r="P39" s="2631"/>
      <c r="Q39" s="2632"/>
      <c r="R39" s="2633"/>
      <c r="S39" s="2587"/>
      <c r="T39" s="2587"/>
      <c r="U39" s="2587"/>
      <c r="V39" s="2595"/>
    </row>
    <row r="40" spans="1:23" s="2599" customFormat="1" ht="13.15" customHeight="1">
      <c r="A40" s="2734">
        <v>10</v>
      </c>
      <c r="B40" s="2676" t="s">
        <v>2428</v>
      </c>
      <c r="C40" s="2735" t="e">
        <f>C39+D39+E39</f>
        <v>#DIV/0!</v>
      </c>
      <c r="D40" s="2736"/>
      <c r="E40" s="2736"/>
      <c r="F40" s="2737"/>
      <c r="G40" s="2587"/>
      <c r="H40" s="2594"/>
      <c r="I40" s="2595"/>
      <c r="J40" s="3499"/>
      <c r="K40" s="3502"/>
      <c r="L40" s="2649" t="s">
        <v>2367</v>
      </c>
      <c r="M40" s="2650"/>
      <c r="N40" s="2650"/>
      <c r="O40" s="2651"/>
      <c r="P40" s="2651"/>
      <c r="Q40" s="2652"/>
      <c r="R40" s="2598">
        <f>SUM(R37:R39)</f>
        <v>0</v>
      </c>
      <c r="S40" s="2587"/>
      <c r="T40" s="2587"/>
      <c r="U40" s="2587"/>
      <c r="V40" s="2595"/>
    </row>
    <row r="41" spans="1:23" s="2599" customFormat="1" ht="13.15" customHeight="1" thickBot="1">
      <c r="A41" s="2738">
        <v>11</v>
      </c>
      <c r="B41" s="2739" t="s">
        <v>2429</v>
      </c>
      <c r="C41" s="2739" t="e">
        <f>ROUND(C40*10000/B4,0)</f>
        <v>#DIV/0!</v>
      </c>
      <c r="D41" s="2740"/>
      <c r="E41" s="2740"/>
      <c r="F41" s="2741"/>
      <c r="G41" s="2594"/>
      <c r="H41" s="2594"/>
      <c r="I41" s="2595"/>
      <c r="J41" s="2688">
        <v>2</v>
      </c>
      <c r="K41" s="2689" t="s">
        <v>2407</v>
      </c>
      <c r="L41" s="2690"/>
      <c r="M41" s="2690"/>
      <c r="N41" s="2690"/>
      <c r="O41" s="2690"/>
      <c r="P41" s="2691"/>
      <c r="Q41" s="2692"/>
      <c r="R41" s="2665">
        <f>ROUND(R40*Q41,0)</f>
        <v>0</v>
      </c>
      <c r="S41" s="2587"/>
      <c r="T41" s="2587"/>
      <c r="U41" s="2638"/>
      <c r="V41" s="2595"/>
    </row>
    <row r="42" spans="1:23" s="2599" customFormat="1" ht="13.15" customHeight="1">
      <c r="G42" s="2594"/>
      <c r="H42" s="2594"/>
      <c r="I42" s="2595"/>
      <c r="J42" s="3509">
        <v>3</v>
      </c>
      <c r="K42" s="2695" t="s">
        <v>2409</v>
      </c>
      <c r="L42" s="2696"/>
      <c r="M42" s="2697"/>
      <c r="N42" s="2698" t="s">
        <v>2410</v>
      </c>
      <c r="O42" s="2698" t="s">
        <v>2411</v>
      </c>
      <c r="P42" s="2699" t="s">
        <v>2412</v>
      </c>
      <c r="Q42" s="2699" t="s">
        <v>2413</v>
      </c>
      <c r="R42" s="2604" t="s">
        <v>2338</v>
      </c>
      <c r="S42" s="2638"/>
      <c r="T42" s="2638"/>
      <c r="U42" s="2587"/>
      <c r="V42" s="2595"/>
    </row>
    <row r="43" spans="1:23" ht="13.15" customHeight="1">
      <c r="A43" s="2599"/>
      <c r="B43" s="2599"/>
      <c r="C43" s="2599"/>
      <c r="D43" s="2599"/>
      <c r="E43" s="2599"/>
      <c r="F43" s="2599"/>
      <c r="I43" s="2582"/>
      <c r="J43" s="3510"/>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2416</v>
      </c>
      <c r="L44" s="2744" t="s">
        <v>2417</v>
      </c>
      <c r="M44" s="2710"/>
      <c r="N44" s="2744" t="s">
        <v>2418</v>
      </c>
      <c r="O44" s="2710"/>
      <c r="P44" s="2744" t="s">
        <v>2419</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0" t="s">
        <v>1658</v>
      </c>
      <c r="B1" s="1721"/>
      <c r="C1" s="1721"/>
      <c r="D1" s="1721"/>
      <c r="E1" s="1722"/>
      <c r="F1" s="2474"/>
      <c r="G1" s="458"/>
      <c r="H1" s="458"/>
      <c r="I1" s="458"/>
      <c r="J1" s="458"/>
      <c r="K1" s="458"/>
      <c r="L1" s="458"/>
      <c r="M1" s="458"/>
      <c r="N1" s="458"/>
      <c r="O1" s="458"/>
      <c r="P1" s="458"/>
      <c r="Q1" s="458"/>
      <c r="R1" s="458"/>
      <c r="S1" s="458"/>
    </row>
    <row r="2" spans="1:22" ht="15.75">
      <c r="A2" s="1723" t="s">
        <v>1462</v>
      </c>
      <c r="B2" s="807">
        <f ca="1">SUMIF(B6:B13,"&lt;&gt;#ref!",B6:B13)</f>
        <v>0</v>
      </c>
      <c r="C2" s="1724" t="s">
        <v>1651</v>
      </c>
      <c r="D2" s="1725" t="s">
        <v>1652</v>
      </c>
      <c r="E2" s="2387">
        <f>SUM(E6:E13)</f>
        <v>0</v>
      </c>
      <c r="F2" s="2474"/>
      <c r="G2" s="458"/>
      <c r="H2" s="458"/>
      <c r="I2" s="458"/>
      <c r="J2" s="458"/>
      <c r="K2" s="458"/>
      <c r="L2" s="458"/>
      <c r="M2" s="458"/>
      <c r="N2" s="458"/>
      <c r="O2" s="458"/>
      <c r="P2" s="458"/>
      <c r="Q2" s="458"/>
      <c r="R2" s="458"/>
      <c r="S2" s="458"/>
    </row>
    <row r="3" spans="1:22" ht="15.75">
      <c r="A3" s="1723" t="s">
        <v>686</v>
      </c>
      <c r="B3" s="2381" t="e">
        <f ca="1">ROUND(B2*10000/E2,0)</f>
        <v>#DIV/0!</v>
      </c>
      <c r="C3" s="1724"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511" t="s">
        <v>1654</v>
      </c>
      <c r="C5" s="3512"/>
      <c r="D5" s="2475"/>
      <c r="E5" s="1726" t="s">
        <v>1655</v>
      </c>
      <c r="F5" s="128" t="s">
        <v>1656</v>
      </c>
      <c r="G5" s="458"/>
      <c r="H5" s="458"/>
      <c r="I5" s="458"/>
      <c r="J5" s="458"/>
      <c r="K5" s="458"/>
      <c r="L5" s="458"/>
      <c r="M5" s="458"/>
      <c r="N5" s="458"/>
      <c r="O5" s="458"/>
      <c r="P5" s="458"/>
      <c r="Q5" s="458"/>
      <c r="R5" s="458"/>
      <c r="S5" s="458"/>
    </row>
    <row r="6" spans="1:22">
      <c r="A6" s="2384">
        <f>'数据-取费表'!AN6</f>
        <v>0</v>
      </c>
      <c r="B6" s="2382" t="e">
        <f ca="1">IF(F6="是",'数据-取费表'!AO6,0)</f>
        <v>#REF!</v>
      </c>
      <c r="C6" s="1724" t="s">
        <v>1651</v>
      </c>
      <c r="D6" s="2474"/>
      <c r="E6" s="2386">
        <f>IF(OR(A6=0,F6="否"),0,'数据-取费表'!K6+'数据-取费表'!S6)</f>
        <v>0</v>
      </c>
      <c r="F6" s="1727"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4" t="s">
        <v>1651</v>
      </c>
      <c r="D7" s="2474"/>
      <c r="E7" s="2386">
        <f>IF(OR(A7=0,F7="否"),0,'数据-取费表'!K7+'数据-取费表'!S7)</f>
        <v>0</v>
      </c>
      <c r="F7" s="1727"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4" t="s">
        <v>1651</v>
      </c>
      <c r="D8" s="2474"/>
      <c r="E8" s="2386">
        <f>IF(OR(A8=0,F8="否"),0,'数据-取费表'!K8+'数据-取费表'!S8)</f>
        <v>0</v>
      </c>
      <c r="F8" s="1727"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4" t="s">
        <v>1651</v>
      </c>
      <c r="D9" s="2474"/>
      <c r="E9" s="2386">
        <f>IF(OR(A9=0,F9="否"),0,'数据-取费表'!K9+'数据-取费表'!S9)</f>
        <v>0</v>
      </c>
      <c r="F9" s="1727"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4" t="s">
        <v>1651</v>
      </c>
      <c r="D10" s="2474"/>
      <c r="E10" s="2386">
        <f>IF(OR(A10=0,F10="否"),0,'数据-取费表'!K10+'数据-取费表'!S10)</f>
        <v>0</v>
      </c>
      <c r="F10" s="1727"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4" t="s">
        <v>1651</v>
      </c>
      <c r="D11" s="2474"/>
      <c r="E11" s="2386">
        <f>IF(OR(A11=0,F11="否"),0,'数据-取费表'!K11+'数据-取费表'!S11)</f>
        <v>0</v>
      </c>
      <c r="F11" s="1727"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4" t="s">
        <v>1651</v>
      </c>
      <c r="D12" s="2474"/>
      <c r="E12" s="2386">
        <f>IF(OR(A12=0,F12="否"),0,'数据-取费表'!K12+'数据-取费表'!S12)</f>
        <v>0</v>
      </c>
      <c r="F12" s="1727"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28" t="s">
        <v>1651</v>
      </c>
      <c r="D13" s="2476"/>
      <c r="E13" s="2386">
        <f>IF(OR(A13=0,F13="否"),0,'数据-取费表'!K13+'数据-取费表'!S13)</f>
        <v>0</v>
      </c>
      <c r="F13" s="1727"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1661</v>
      </c>
      <c r="C1" s="1151" t="s">
        <v>1662</v>
      </c>
      <c r="D1" s="1138"/>
      <c r="E1" s="3119"/>
      <c r="F1" s="1730"/>
      <c r="G1" s="1148" t="s">
        <v>1663</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7" customFormat="1" ht="28.5" customHeight="1" thickTop="1">
      <c r="A2" s="1134" t="s">
        <v>685</v>
      </c>
      <c r="B2" s="3120"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1664</v>
      </c>
      <c r="F2" s="1734"/>
      <c r="G2" s="850"/>
      <c r="H2" s="850"/>
      <c r="I2" s="850"/>
      <c r="J2" s="850"/>
      <c r="K2" s="1735"/>
      <c r="L2" s="2479"/>
      <c r="M2" s="2480"/>
      <c r="N2" s="2480"/>
      <c r="O2" s="2480"/>
      <c r="P2" s="1736"/>
      <c r="Q2" s="1737"/>
      <c r="R2" s="1737"/>
      <c r="S2" s="1737"/>
      <c r="T2" s="1737"/>
      <c r="U2" s="1737"/>
      <c r="V2" s="1737"/>
      <c r="W2" s="1737"/>
      <c r="X2" s="1737"/>
      <c r="Y2" s="1737"/>
      <c r="Z2" s="1737"/>
      <c r="AA2" s="1737"/>
      <c r="AB2" s="1737"/>
      <c r="AC2" s="994"/>
    </row>
    <row r="3" spans="1:29" s="337" customFormat="1" ht="28.5" customHeight="1" thickBot="1">
      <c r="A3" s="194" t="s">
        <v>686</v>
      </c>
      <c r="B3" s="342">
        <f>IF(C2="——",C49,ROUND(B2*10000/D3,0))</f>
        <v>0</v>
      </c>
      <c r="C3" s="343" t="s">
        <v>1665</v>
      </c>
      <c r="D3" s="342">
        <f>IF(D1="",'数据-汇总表'!E3,SUMIF('数据-汇总表'!$C19:$C33,D1,'数据-汇总表'!$E19:$E33))</f>
        <v>1279.97</v>
      </c>
      <c r="E3" s="850"/>
      <c r="F3" s="1738"/>
      <c r="G3" s="850"/>
      <c r="H3" s="850"/>
      <c r="I3" s="850"/>
      <c r="J3" s="850"/>
      <c r="K3" s="1735"/>
      <c r="L3" s="2479"/>
      <c r="M3" s="2480"/>
      <c r="N3" s="2480"/>
      <c r="O3" s="2480"/>
      <c r="P3" s="1736"/>
      <c r="Q3" s="1737"/>
      <c r="R3" s="1737"/>
      <c r="S3" s="1737"/>
      <c r="T3" s="1737"/>
      <c r="U3" s="1737"/>
      <c r="V3" s="1737"/>
      <c r="W3" s="1737"/>
      <c r="X3" s="1737"/>
      <c r="Y3" s="1737"/>
      <c r="Z3" s="1737"/>
      <c r="AA3" s="1737"/>
      <c r="AB3" s="1737"/>
      <c r="AC3" s="994"/>
    </row>
    <row r="4" spans="1:29" ht="15">
      <c r="A4" s="344" t="s">
        <v>1666</v>
      </c>
      <c r="B4" s="345"/>
      <c r="C4" s="3531" t="s">
        <v>1667</v>
      </c>
      <c r="D4" s="3532"/>
      <c r="E4" s="3533" t="s">
        <v>1668</v>
      </c>
      <c r="F4" s="3534"/>
      <c r="G4" s="3531" t="s">
        <v>1669</v>
      </c>
      <c r="H4" s="3532"/>
      <c r="I4" s="3531" t="s">
        <v>1670</v>
      </c>
      <c r="J4" s="3532"/>
      <c r="K4" s="1739" t="s">
        <v>1671</v>
      </c>
      <c r="L4" s="2481"/>
      <c r="M4" s="2482"/>
      <c r="N4" s="2482"/>
      <c r="O4" s="2482"/>
      <c r="P4" s="3535" t="s">
        <v>1672</v>
      </c>
      <c r="Q4" s="3536"/>
      <c r="R4" s="3518" t="s">
        <v>1668</v>
      </c>
      <c r="S4" s="3519"/>
      <c r="T4" s="3518" t="s">
        <v>1669</v>
      </c>
      <c r="U4" s="3519"/>
      <c r="V4" s="3543" t="s">
        <v>1670</v>
      </c>
      <c r="W4" s="3543"/>
      <c r="X4" s="1261"/>
      <c r="Y4" s="3518" t="s">
        <v>1672</v>
      </c>
      <c r="Z4" s="3519"/>
      <c r="AA4" s="3513" t="s">
        <v>1668</v>
      </c>
      <c r="AB4" s="3513" t="s">
        <v>1669</v>
      </c>
      <c r="AC4" s="3513" t="s">
        <v>1670</v>
      </c>
    </row>
    <row r="5" spans="1:29" ht="15">
      <c r="A5" s="347"/>
      <c r="B5" s="348"/>
      <c r="C5" s="3524" t="s">
        <v>1673</v>
      </c>
      <c r="D5" s="3525"/>
      <c r="E5" s="3522" t="s">
        <v>1674</v>
      </c>
      <c r="F5" s="3523"/>
      <c r="G5" s="3524" t="s">
        <v>1675</v>
      </c>
      <c r="H5" s="3525"/>
      <c r="I5" s="3524" t="s">
        <v>1676</v>
      </c>
      <c r="J5" s="3525"/>
      <c r="K5" s="1740"/>
      <c r="L5" s="2481"/>
      <c r="M5" s="2482"/>
      <c r="N5" s="2482"/>
      <c r="O5" s="2482"/>
      <c r="P5" s="3537"/>
      <c r="Q5" s="3538"/>
      <c r="R5" s="3520"/>
      <c r="S5" s="3521"/>
      <c r="T5" s="3520"/>
      <c r="U5" s="3521"/>
      <c r="V5" s="3543"/>
      <c r="W5" s="3543"/>
      <c r="X5" s="1261"/>
      <c r="Y5" s="3520"/>
      <c r="Z5" s="3521"/>
      <c r="AA5" s="3514"/>
      <c r="AB5" s="3514"/>
      <c r="AC5" s="3514"/>
    </row>
    <row r="6" spans="1:29" ht="15.75" thickBot="1">
      <c r="A6" s="349"/>
      <c r="B6" s="350"/>
      <c r="C6" s="3526" t="s">
        <v>1677</v>
      </c>
      <c r="D6" s="3527"/>
      <c r="E6" s="3528" t="s">
        <v>1677</v>
      </c>
      <c r="F6" s="3529"/>
      <c r="G6" s="3526" t="s">
        <v>1677</v>
      </c>
      <c r="H6" s="3527"/>
      <c r="I6" s="3526" t="s">
        <v>1677</v>
      </c>
      <c r="J6" s="3527"/>
      <c r="K6" s="1740" t="s">
        <v>1678</v>
      </c>
      <c r="L6" s="2481"/>
      <c r="M6" s="2482"/>
      <c r="N6" s="2482"/>
      <c r="O6" s="2482"/>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SUMIF(58:58,YEAR(E7)&amp;"-"&amp;MONTH(E7),59:59)</f>
        <v>0</v>
      </c>
      <c r="G7" s="355"/>
      <c r="H7" s="354">
        <f>SUMIF(58:58,YEAR(G7)&amp;"-"&amp;MONTH(G7),59:59)</f>
        <v>0</v>
      </c>
      <c r="I7" s="355"/>
      <c r="J7" s="354">
        <f>SUMIF(58:58,YEAR(I7)&amp;"-"&amp;MONTH(I7),59:59)</f>
        <v>0</v>
      </c>
      <c r="K7" s="1741"/>
      <c r="L7" s="2483"/>
      <c r="M7" s="2434"/>
      <c r="N7" s="2434"/>
      <c r="O7" s="2434"/>
      <c r="P7" s="3516" t="s">
        <v>1680</v>
      </c>
      <c r="Q7" s="3544"/>
      <c r="R7" s="660" t="s">
        <v>20</v>
      </c>
      <c r="S7" s="661">
        <f t="shared" ref="S7:S15" si="0">F7</f>
        <v>0</v>
      </c>
      <c r="T7" s="660" t="s">
        <v>20</v>
      </c>
      <c r="U7" s="661">
        <f t="shared" ref="U7:U15" si="1">H7</f>
        <v>0</v>
      </c>
      <c r="V7" s="660" t="s">
        <v>20</v>
      </c>
      <c r="W7" s="661">
        <f t="shared" ref="W7:W15" si="2">J7</f>
        <v>0</v>
      </c>
      <c r="X7" s="662"/>
      <c r="Y7" s="3516" t="s">
        <v>1680</v>
      </c>
      <c r="Z7" s="3517"/>
      <c r="AA7" s="50" t="e">
        <f>D7/F7</f>
        <v>#DIV/0!</v>
      </c>
      <c r="AB7" s="50" t="e">
        <f>D7/H7</f>
        <v>#DIV/0!</v>
      </c>
      <c r="AC7" s="50" t="e">
        <f>D7/J7</f>
        <v>#DIV/0!</v>
      </c>
    </row>
    <row r="8" spans="1:29" s="101" customFormat="1" ht="15.75" thickBot="1">
      <c r="A8" s="351" t="s">
        <v>1681</v>
      </c>
      <c r="B8" s="352"/>
      <c r="C8" s="357"/>
      <c r="D8" s="354">
        <v>100</v>
      </c>
      <c r="E8" s="1742"/>
      <c r="F8" s="356">
        <f>SUMIF(61:61,E8,62:62)-SUMIF(61:61,C8,62:62)+100</f>
        <v>100</v>
      </c>
      <c r="G8" s="357"/>
      <c r="H8" s="354">
        <f>SUMIF(61:61,G8,62:62)-SUMIF(61:61,C8,62:62)+100</f>
        <v>100</v>
      </c>
      <c r="I8" s="1742"/>
      <c r="J8" s="354">
        <f>SUMIF(61:61,I8,62:62)-SUMIF(61:61,C8,62:62)+100</f>
        <v>100</v>
      </c>
      <c r="K8" s="1741"/>
      <c r="L8" s="2483"/>
      <c r="M8" s="2434"/>
      <c r="N8" s="2434"/>
      <c r="O8" s="2434"/>
      <c r="P8" s="3516" t="s">
        <v>1683</v>
      </c>
      <c r="Q8" s="3517"/>
      <c r="R8" s="660" t="s">
        <v>20</v>
      </c>
      <c r="S8" s="661">
        <f t="shared" si="0"/>
        <v>100</v>
      </c>
      <c r="T8" s="660" t="s">
        <v>20</v>
      </c>
      <c r="U8" s="661">
        <f t="shared" si="1"/>
        <v>100</v>
      </c>
      <c r="V8" s="660" t="s">
        <v>20</v>
      </c>
      <c r="W8" s="661">
        <f t="shared" si="2"/>
        <v>100</v>
      </c>
      <c r="X8" s="662"/>
      <c r="Y8" s="3516" t="s">
        <v>1683</v>
      </c>
      <c r="Z8" s="3517"/>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1"/>
      <c r="L9" s="2483"/>
      <c r="M9" s="2434"/>
      <c r="N9" s="2434"/>
      <c r="O9" s="2434"/>
      <c r="P9" s="3530"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1"/>
      <c r="L10" s="2484"/>
      <c r="M10" s="2485"/>
      <c r="N10" s="2485"/>
      <c r="O10" s="2485"/>
      <c r="P10" s="3530"/>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6"/>
      <c r="M11" s="2482"/>
      <c r="N11" s="2482"/>
      <c r="O11" s="2482"/>
      <c r="P11" s="3530"/>
      <c r="Q11" s="529" t="str">
        <f t="shared" si="6"/>
        <v>容积率</v>
      </c>
      <c r="R11" s="660" t="s">
        <v>18</v>
      </c>
      <c r="S11" s="661" t="e">
        <f t="shared" si="0"/>
        <v>#N/A</v>
      </c>
      <c r="T11" s="660" t="s">
        <v>18</v>
      </c>
      <c r="U11" s="661" t="e">
        <f t="shared" si="1"/>
        <v>#N/A</v>
      </c>
      <c r="V11" s="660" t="s">
        <v>18</v>
      </c>
      <c r="W11" s="661" t="e">
        <f t="shared" si="2"/>
        <v>#N/A</v>
      </c>
      <c r="X11" s="662"/>
      <c r="Y11" s="346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83"/>
      <c r="M12" s="2434"/>
      <c r="N12" s="2434"/>
      <c r="O12" s="2434"/>
      <c r="P12" s="3530"/>
      <c r="Q12" s="529">
        <f t="shared" si="6"/>
        <v>111</v>
      </c>
      <c r="R12" s="660" t="s">
        <v>18</v>
      </c>
      <c r="S12" s="661">
        <f t="shared" si="0"/>
        <v>100</v>
      </c>
      <c r="T12" s="660" t="s">
        <v>18</v>
      </c>
      <c r="U12" s="661">
        <f t="shared" si="1"/>
        <v>100</v>
      </c>
      <c r="V12" s="660" t="s">
        <v>18</v>
      </c>
      <c r="W12" s="661">
        <f t="shared" si="2"/>
        <v>100</v>
      </c>
      <c r="X12" s="662"/>
      <c r="Y12" s="34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7"/>
      <c r="M13" s="2482"/>
      <c r="N13" s="2482"/>
      <c r="O13" s="2482"/>
      <c r="P13" s="3530"/>
      <c r="Q13" s="529">
        <f t="shared" si="6"/>
        <v>111</v>
      </c>
      <c r="R13" s="660" t="s">
        <v>18</v>
      </c>
      <c r="S13" s="661">
        <f t="shared" si="0"/>
        <v>100</v>
      </c>
      <c r="T13" s="660" t="s">
        <v>18</v>
      </c>
      <c r="U13" s="661">
        <f t="shared" si="1"/>
        <v>100</v>
      </c>
      <c r="V13" s="660" t="s">
        <v>18</v>
      </c>
      <c r="W13" s="661">
        <f t="shared" si="2"/>
        <v>100</v>
      </c>
      <c r="X13" s="662"/>
      <c r="Y13" s="3460"/>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7"/>
      <c r="M14" s="2482"/>
      <c r="N14" s="2482"/>
      <c r="O14" s="2482"/>
      <c r="P14" s="3530"/>
      <c r="Q14" s="529">
        <f t="shared" si="6"/>
        <v>111</v>
      </c>
      <c r="R14" s="660" t="s">
        <v>18</v>
      </c>
      <c r="S14" s="661">
        <f t="shared" si="0"/>
        <v>100</v>
      </c>
      <c r="T14" s="660" t="s">
        <v>18</v>
      </c>
      <c r="U14" s="661">
        <f t="shared" si="1"/>
        <v>100</v>
      </c>
      <c r="V14" s="660" t="s">
        <v>18</v>
      </c>
      <c r="W14" s="661">
        <f t="shared" si="2"/>
        <v>100</v>
      </c>
      <c r="X14" s="662"/>
      <c r="Y14" s="3460"/>
      <c r="Z14" s="50">
        <f t="shared" si="7"/>
        <v>111</v>
      </c>
      <c r="AA14" s="50">
        <f t="shared" si="3"/>
        <v>1</v>
      </c>
      <c r="AB14" s="50">
        <f t="shared" si="4"/>
        <v>1</v>
      </c>
      <c r="AC14" s="50">
        <f t="shared" si="5"/>
        <v>1</v>
      </c>
    </row>
    <row r="15" spans="1:29" ht="99.75">
      <c r="A15" s="378" t="s">
        <v>1690</v>
      </c>
      <c r="B15" s="57" t="s">
        <v>1257</v>
      </c>
      <c r="C15" s="1745"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7"/>
      <c r="M15" s="2482"/>
      <c r="N15" s="2482"/>
      <c r="O15" s="2482"/>
      <c r="P15" s="3556" t="s">
        <v>1691</v>
      </c>
      <c r="Q15" s="1259" t="str">
        <f t="shared" si="6"/>
        <v>居住社区成熟度</v>
      </c>
      <c r="R15" s="663" t="s">
        <v>18</v>
      </c>
      <c r="S15" s="664">
        <f t="shared" si="0"/>
        <v>100</v>
      </c>
      <c r="T15" s="663" t="s">
        <v>18</v>
      </c>
      <c r="U15" s="664">
        <f t="shared" si="1"/>
        <v>100</v>
      </c>
      <c r="V15" s="663" t="s">
        <v>18</v>
      </c>
      <c r="W15" s="664">
        <f t="shared" si="2"/>
        <v>100</v>
      </c>
      <c r="X15" s="1261"/>
      <c r="Y15" s="3549" t="s">
        <v>1691</v>
      </c>
      <c r="Z15" s="1260" t="str">
        <f t="shared" si="7"/>
        <v>居住社区成熟度</v>
      </c>
      <c r="AA15" s="1260">
        <f t="shared" si="3"/>
        <v>1</v>
      </c>
      <c r="AB15" s="1260">
        <f t="shared" si="4"/>
        <v>1</v>
      </c>
      <c r="AC15" s="1260">
        <f t="shared" si="5"/>
        <v>1</v>
      </c>
    </row>
    <row r="16" spans="1:29" ht="15">
      <c r="A16" s="366"/>
      <c r="B16" s="384"/>
      <c r="C16" s="385"/>
      <c r="D16" s="386"/>
      <c r="E16" s="1746"/>
      <c r="F16" s="386"/>
      <c r="G16" s="1747"/>
      <c r="H16" s="388"/>
      <c r="I16" s="1747"/>
      <c r="J16" s="386"/>
      <c r="K16" s="1748"/>
      <c r="L16" s="2487"/>
      <c r="M16" s="2482"/>
      <c r="N16" s="2482"/>
      <c r="O16" s="2482"/>
      <c r="P16" s="3557"/>
      <c r="Q16" s="1259"/>
      <c r="R16" s="663"/>
      <c r="S16" s="664"/>
      <c r="T16" s="663"/>
      <c r="U16" s="664"/>
      <c r="V16" s="663"/>
      <c r="W16" s="664"/>
      <c r="X16" s="1261"/>
      <c r="Y16" s="3550"/>
      <c r="Z16" s="1260"/>
      <c r="AA16" s="1260">
        <v>1</v>
      </c>
      <c r="AB16" s="1260">
        <v>1</v>
      </c>
      <c r="AC16" s="1260">
        <v>1</v>
      </c>
    </row>
    <row r="17" spans="1:29" ht="17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7"/>
      <c r="M17" s="2482"/>
      <c r="N17" s="2482"/>
      <c r="O17" s="2482"/>
      <c r="P17" s="3557"/>
      <c r="Q17" s="1259" t="str">
        <f>B17</f>
        <v>交通便捷度</v>
      </c>
      <c r="R17" s="663" t="s">
        <v>18</v>
      </c>
      <c r="S17" s="664">
        <f>F17</f>
        <v>100</v>
      </c>
      <c r="T17" s="663" t="s">
        <v>18</v>
      </c>
      <c r="U17" s="664">
        <f>H17</f>
        <v>100</v>
      </c>
      <c r="V17" s="663" t="s">
        <v>18</v>
      </c>
      <c r="W17" s="664">
        <f>J17</f>
        <v>100</v>
      </c>
      <c r="X17" s="1261"/>
      <c r="Y17" s="3550"/>
      <c r="Z17" s="1260" t="str">
        <f>Q17</f>
        <v>交通便捷度</v>
      </c>
      <c r="AA17" s="1260">
        <f t="shared" si="3"/>
        <v>1</v>
      </c>
      <c r="AB17" s="1260">
        <f t="shared" si="4"/>
        <v>1</v>
      </c>
      <c r="AC17" s="1260">
        <f t="shared" si="5"/>
        <v>1</v>
      </c>
    </row>
    <row r="18" spans="1:29" ht="15">
      <c r="A18" s="366"/>
      <c r="B18" s="394"/>
      <c r="C18" s="1750"/>
      <c r="D18" s="388"/>
      <c r="E18" s="1751"/>
      <c r="F18" s="388"/>
      <c r="G18" s="1752"/>
      <c r="H18" s="386"/>
      <c r="I18" s="1752"/>
      <c r="J18" s="386"/>
      <c r="K18" s="1748"/>
      <c r="L18" s="2487"/>
      <c r="M18" s="2482"/>
      <c r="N18" s="2482"/>
      <c r="O18" s="2482"/>
      <c r="P18" s="3557"/>
      <c r="Q18" s="1259"/>
      <c r="R18" s="663"/>
      <c r="S18" s="664"/>
      <c r="T18" s="663"/>
      <c r="U18" s="664"/>
      <c r="V18" s="663"/>
      <c r="W18" s="664"/>
      <c r="X18" s="1261"/>
      <c r="Y18" s="3550"/>
      <c r="Z18" s="1260"/>
      <c r="AA18" s="1260">
        <v>1</v>
      </c>
      <c r="AB18" s="1260">
        <v>1</v>
      </c>
      <c r="AC18" s="1260">
        <v>1</v>
      </c>
    </row>
    <row r="19" spans="1:29" ht="356.25">
      <c r="A19" s="366"/>
      <c r="B19" s="389" t="s">
        <v>1258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7"/>
      <c r="F19" s="393">
        <f>SUMIF(80:80,E20,81:81)-SUMIF(80:80,C20,81:81)+100</f>
        <v>100</v>
      </c>
      <c r="G19" s="395"/>
      <c r="H19" s="388">
        <f>SUMIF(80:80,G20,81:81)-SUMIF(80:80,C20,81:81)+100</f>
        <v>100</v>
      </c>
      <c r="I19" s="395"/>
      <c r="J19" s="388">
        <f>SUMIF(80:80,I20,81:81)-SUMIF(80:80,C20,81:81)+100</f>
        <v>100</v>
      </c>
      <c r="K19" s="383"/>
      <c r="L19" s="2487"/>
      <c r="M19" s="2482"/>
      <c r="N19" s="2482"/>
      <c r="O19" s="2482"/>
      <c r="P19" s="3557"/>
      <c r="Q19" s="1259" t="str">
        <f>B19</f>
        <v>公共配套设施</v>
      </c>
      <c r="R19" s="663" t="s">
        <v>18</v>
      </c>
      <c r="S19" s="664">
        <f>F19</f>
        <v>100</v>
      </c>
      <c r="T19" s="663" t="s">
        <v>18</v>
      </c>
      <c r="U19" s="664">
        <f>H19</f>
        <v>100</v>
      </c>
      <c r="V19" s="663" t="s">
        <v>18</v>
      </c>
      <c r="W19" s="664">
        <f>J19</f>
        <v>100</v>
      </c>
      <c r="X19" s="1261"/>
      <c r="Y19" s="3550"/>
      <c r="Z19" s="1260" t="str">
        <f>Q19</f>
        <v>公共配套设施</v>
      </c>
      <c r="AA19" s="1260">
        <f t="shared" si="3"/>
        <v>1</v>
      </c>
      <c r="AB19" s="1260">
        <f t="shared" si="4"/>
        <v>1</v>
      </c>
      <c r="AC19" s="1260">
        <f t="shared" si="5"/>
        <v>1</v>
      </c>
    </row>
    <row r="20" spans="1:29" ht="15">
      <c r="A20" s="366"/>
      <c r="B20" s="394"/>
      <c r="C20" s="385"/>
      <c r="D20" s="386"/>
      <c r="E20" s="1746"/>
      <c r="F20" s="386"/>
      <c r="G20" s="1747"/>
      <c r="H20" s="386"/>
      <c r="I20" s="1747"/>
      <c r="J20" s="386"/>
      <c r="K20" s="1748"/>
      <c r="L20" s="2487"/>
      <c r="M20" s="2482"/>
      <c r="N20" s="2482"/>
      <c r="O20" s="2482"/>
      <c r="P20" s="3557"/>
      <c r="Q20" s="1259"/>
      <c r="R20" s="663"/>
      <c r="S20" s="664"/>
      <c r="T20" s="663"/>
      <c r="U20" s="664"/>
      <c r="V20" s="663"/>
      <c r="W20" s="664"/>
      <c r="X20" s="1261"/>
      <c r="Y20" s="3550"/>
      <c r="Z20" s="1260"/>
      <c r="AA20" s="1260">
        <v>1</v>
      </c>
      <c r="AB20" s="1260">
        <v>1</v>
      </c>
      <c r="AC20" s="1260">
        <v>1</v>
      </c>
    </row>
    <row r="21" spans="1:29" ht="42.75">
      <c r="A21" s="366"/>
      <c r="B21" s="584" t="s">
        <v>1260</v>
      </c>
      <c r="C21" s="1749"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7"/>
      <c r="M21" s="2482"/>
      <c r="N21" s="2482"/>
      <c r="O21" s="2482"/>
      <c r="P21" s="3557"/>
      <c r="Q21" s="1259" t="str">
        <f>B21</f>
        <v>基础设施水平</v>
      </c>
      <c r="R21" s="663" t="s">
        <v>14</v>
      </c>
      <c r="S21" s="664">
        <f>F21</f>
        <v>100</v>
      </c>
      <c r="T21" s="663" t="s">
        <v>14</v>
      </c>
      <c r="U21" s="664">
        <f>H21</f>
        <v>100</v>
      </c>
      <c r="V21" s="663" t="s">
        <v>14</v>
      </c>
      <c r="W21" s="664">
        <f>J21</f>
        <v>100</v>
      </c>
      <c r="X21" s="1261"/>
      <c r="Y21" s="3550"/>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6"/>
      <c r="G22" s="1753"/>
      <c r="H22" s="386"/>
      <c r="I22" s="385"/>
      <c r="J22" s="386"/>
      <c r="K22" s="1754"/>
      <c r="L22" s="2487"/>
      <c r="M22" s="2482"/>
      <c r="N22" s="2482"/>
      <c r="O22" s="2482"/>
      <c r="P22" s="3557"/>
      <c r="Q22" s="1259"/>
      <c r="R22" s="663"/>
      <c r="S22" s="664"/>
      <c r="T22" s="663"/>
      <c r="U22" s="664"/>
      <c r="V22" s="663"/>
      <c r="W22" s="664"/>
      <c r="X22" s="1261"/>
      <c r="Y22" s="3550"/>
      <c r="Z22" s="1260"/>
      <c r="AA22" s="1260">
        <v>1</v>
      </c>
      <c r="AB22" s="1260">
        <v>1</v>
      </c>
      <c r="AC22" s="1260">
        <v>1</v>
      </c>
    </row>
    <row r="23" spans="1:29" ht="128.25">
      <c r="A23" s="366"/>
      <c r="B23" s="389" t="s">
        <v>1261</v>
      </c>
      <c r="C23" s="1749" t="str">
        <f>估价对象房地状况!C9</f>
        <v>估价对象周边有帽子公园、新中街城市森林公园等绿化景观，北京工人体育场、农业展览馆等人文场所，综合评价环境状况较好。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87"/>
      <c r="M23" s="2482"/>
      <c r="N23" s="2482"/>
      <c r="O23" s="2482"/>
      <c r="P23" s="3557"/>
      <c r="Q23" s="1259" t="str">
        <f>B23</f>
        <v>自然及人文环境</v>
      </c>
      <c r="R23" s="663" t="s">
        <v>18</v>
      </c>
      <c r="S23" s="664">
        <f>F23</f>
        <v>100</v>
      </c>
      <c r="T23" s="663" t="s">
        <v>18</v>
      </c>
      <c r="U23" s="664">
        <f>H23</f>
        <v>100</v>
      </c>
      <c r="V23" s="663" t="s">
        <v>18</v>
      </c>
      <c r="W23" s="664">
        <f>J23</f>
        <v>100</v>
      </c>
      <c r="X23" s="1261"/>
      <c r="Y23" s="3550"/>
      <c r="Z23" s="1260" t="str">
        <f>Q23</f>
        <v>自然及人文环境</v>
      </c>
      <c r="AA23" s="1260">
        <f>D23/F23</f>
        <v>1</v>
      </c>
      <c r="AB23" s="1260">
        <f>D23/H23</f>
        <v>1</v>
      </c>
      <c r="AC23" s="1260">
        <f>D23/J23</f>
        <v>1</v>
      </c>
    </row>
    <row r="24" spans="1:29" ht="15">
      <c r="A24" s="366"/>
      <c r="B24" s="394"/>
      <c r="C24" s="385"/>
      <c r="D24" s="386"/>
      <c r="E24" s="1746"/>
      <c r="F24" s="386"/>
      <c r="G24" s="1747"/>
      <c r="H24" s="386"/>
      <c r="I24" s="1747"/>
      <c r="J24" s="386"/>
      <c r="K24" s="1748"/>
      <c r="L24" s="2487"/>
      <c r="M24" s="2482"/>
      <c r="N24" s="2482"/>
      <c r="O24" s="2482"/>
      <c r="P24" s="3557"/>
      <c r="Q24" s="1259"/>
      <c r="R24" s="663"/>
      <c r="S24" s="664"/>
      <c r="T24" s="663"/>
      <c r="U24" s="664"/>
      <c r="V24" s="663"/>
      <c r="W24" s="664"/>
      <c r="X24" s="1261"/>
      <c r="Y24" s="3550"/>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7"/>
      <c r="M25" s="2482"/>
      <c r="N25" s="2482"/>
      <c r="O25" s="2482"/>
      <c r="P25" s="3557"/>
      <c r="Q25" s="1259" t="str">
        <f t="shared" ref="Q25:Q46" si="11">B25</f>
        <v>楼层-1</v>
      </c>
      <c r="R25" s="663" t="s">
        <v>18</v>
      </c>
      <c r="S25" s="664">
        <f t="shared" ref="S25:S46" si="12">F25</f>
        <v>100</v>
      </c>
      <c r="T25" s="663" t="s">
        <v>18</v>
      </c>
      <c r="U25" s="664">
        <f t="shared" ref="U25:U46" si="13">H25</f>
        <v>100</v>
      </c>
      <c r="V25" s="663" t="s">
        <v>18</v>
      </c>
      <c r="W25" s="664">
        <f t="shared" ref="W25:W46" si="14">J25</f>
        <v>100</v>
      </c>
      <c r="X25" s="1261"/>
      <c r="Y25" s="3550"/>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7"/>
      <c r="M26" s="2482"/>
      <c r="N26" s="2482"/>
      <c r="O26" s="2482"/>
      <c r="P26" s="3557"/>
      <c r="Q26" s="1259" t="str">
        <f t="shared" si="11"/>
        <v>朝向</v>
      </c>
      <c r="R26" s="663" t="s">
        <v>18</v>
      </c>
      <c r="S26" s="664">
        <f t="shared" si="12"/>
        <v>100</v>
      </c>
      <c r="T26" s="663" t="s">
        <v>18</v>
      </c>
      <c r="U26" s="664">
        <f t="shared" si="13"/>
        <v>100</v>
      </c>
      <c r="V26" s="663" t="s">
        <v>18</v>
      </c>
      <c r="W26" s="664">
        <f t="shared" si="14"/>
        <v>100</v>
      </c>
      <c r="X26" s="1261"/>
      <c r="Y26" s="3550"/>
      <c r="Z26" s="1260" t="str">
        <f>Q26</f>
        <v>朝向</v>
      </c>
      <c r="AA26" s="1260">
        <f t="shared" si="15"/>
        <v>1</v>
      </c>
      <c r="AB26" s="1260">
        <f t="shared" si="16"/>
        <v>1</v>
      </c>
      <c r="AC26" s="1260">
        <f t="shared" si="17"/>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43"/>
      <c r="L27" s="2483"/>
      <c r="M27" s="2434"/>
      <c r="N27" s="2434"/>
      <c r="O27" s="2434"/>
      <c r="P27" s="3557"/>
      <c r="Q27" s="529">
        <f t="shared" si="11"/>
        <v>111</v>
      </c>
      <c r="R27" s="660" t="s">
        <v>18</v>
      </c>
      <c r="S27" s="661">
        <f t="shared" si="12"/>
        <v>100</v>
      </c>
      <c r="T27" s="660" t="s">
        <v>18</v>
      </c>
      <c r="U27" s="661">
        <f t="shared" si="13"/>
        <v>100</v>
      </c>
      <c r="V27" s="660" t="s">
        <v>18</v>
      </c>
      <c r="W27" s="661">
        <f t="shared" si="14"/>
        <v>100</v>
      </c>
      <c r="X27" s="662"/>
      <c r="Y27" s="3550"/>
      <c r="Z27" s="50">
        <f>Q27</f>
        <v>111</v>
      </c>
      <c r="AA27" s="1260">
        <f t="shared" si="15"/>
        <v>1</v>
      </c>
      <c r="AB27" s="1260">
        <f t="shared" si="16"/>
        <v>1</v>
      </c>
      <c r="AC27" s="1260">
        <f t="shared" si="17"/>
        <v>1</v>
      </c>
    </row>
    <row r="28" spans="1:29" ht="15">
      <c r="A28" s="366"/>
      <c r="B28" s="1062">
        <v>111</v>
      </c>
      <c r="C28" s="372"/>
      <c r="D28" s="373">
        <v>100</v>
      </c>
      <c r="E28" s="372"/>
      <c r="F28" s="373">
        <f>SUMIF(92:92,E28,93:93)-SUMIF(92:92,C28,93:93)+100</f>
        <v>100</v>
      </c>
      <c r="G28" s="1757"/>
      <c r="H28" s="373">
        <f>SUMIF(92:92,G28,93:93)-SUMIF(92:92,C28,93:93)+100</f>
        <v>100</v>
      </c>
      <c r="I28" s="372"/>
      <c r="J28" s="373">
        <f>SUMIF(92:92,I28,93:93)-SUMIF(92:92,C28,93:93)+100</f>
        <v>100</v>
      </c>
      <c r="K28" s="1743"/>
      <c r="L28" s="2487"/>
      <c r="M28" s="2482"/>
      <c r="N28" s="2482"/>
      <c r="O28" s="2482"/>
      <c r="P28" s="3557"/>
      <c r="Q28" s="1259">
        <f t="shared" si="11"/>
        <v>111</v>
      </c>
      <c r="R28" s="663" t="s">
        <v>18</v>
      </c>
      <c r="S28" s="664">
        <f t="shared" si="12"/>
        <v>100</v>
      </c>
      <c r="T28" s="663" t="s">
        <v>18</v>
      </c>
      <c r="U28" s="664">
        <f t="shared" si="13"/>
        <v>100</v>
      </c>
      <c r="V28" s="663" t="s">
        <v>18</v>
      </c>
      <c r="W28" s="664">
        <f t="shared" si="14"/>
        <v>100</v>
      </c>
      <c r="X28" s="1261"/>
      <c r="Y28" s="3550"/>
      <c r="Z28" s="1260">
        <f t="shared" ref="Z28:Z46" si="18">Q28</f>
        <v>111</v>
      </c>
      <c r="AA28" s="1260">
        <f t="shared" si="15"/>
        <v>1</v>
      </c>
      <c r="AB28" s="1260">
        <f t="shared" si="16"/>
        <v>1</v>
      </c>
      <c r="AC28" s="1260">
        <f t="shared" si="17"/>
        <v>1</v>
      </c>
    </row>
    <row r="29" spans="1:29" ht="15">
      <c r="A29" s="366"/>
      <c r="B29" s="1062">
        <v>111</v>
      </c>
      <c r="C29" s="372"/>
      <c r="D29" s="373">
        <v>100</v>
      </c>
      <c r="E29" s="372"/>
      <c r="F29" s="373">
        <f>SUMIF(94:94,E29,95:95)-SUMIF(94:94,C29,95:95)+100</f>
        <v>100</v>
      </c>
      <c r="G29" s="1757"/>
      <c r="H29" s="373">
        <f>SUMIF(94:94,G29,95:95)-SUMIF(94:94,C29,95:95)+100</f>
        <v>100</v>
      </c>
      <c r="I29" s="372"/>
      <c r="J29" s="373">
        <f>SUMIF(94:94,I29,95:95)-SUMIF(94:94,C29,95:95)+100</f>
        <v>100</v>
      </c>
      <c r="K29" s="1743"/>
      <c r="L29" s="2487"/>
      <c r="M29" s="2482"/>
      <c r="N29" s="2482"/>
      <c r="O29" s="2482"/>
      <c r="P29" s="3557"/>
      <c r="Q29" s="1259">
        <f t="shared" si="11"/>
        <v>111</v>
      </c>
      <c r="R29" s="663" t="s">
        <v>18</v>
      </c>
      <c r="S29" s="664">
        <f t="shared" si="12"/>
        <v>100</v>
      </c>
      <c r="T29" s="663" t="s">
        <v>18</v>
      </c>
      <c r="U29" s="664">
        <f t="shared" si="13"/>
        <v>100</v>
      </c>
      <c r="V29" s="663" t="s">
        <v>18</v>
      </c>
      <c r="W29" s="664">
        <f t="shared" si="14"/>
        <v>100</v>
      </c>
      <c r="X29" s="1261"/>
      <c r="Y29" s="3550"/>
      <c r="Z29" s="1260">
        <f t="shared" si="18"/>
        <v>111</v>
      </c>
      <c r="AA29" s="1260">
        <f t="shared" si="15"/>
        <v>1</v>
      </c>
      <c r="AB29" s="1260">
        <f t="shared" si="16"/>
        <v>1</v>
      </c>
      <c r="AC29" s="1260">
        <f t="shared" si="17"/>
        <v>1</v>
      </c>
    </row>
    <row r="30" spans="1:29" ht="15">
      <c r="A30" s="366"/>
      <c r="B30" s="1062">
        <v>111</v>
      </c>
      <c r="C30" s="372"/>
      <c r="D30" s="373">
        <v>100</v>
      </c>
      <c r="E30" s="372"/>
      <c r="F30" s="373">
        <f>SUMIF(96:96,E30,97:97)-SUMIF(96:96,C30,97:97)+100</f>
        <v>100</v>
      </c>
      <c r="G30" s="1757"/>
      <c r="H30" s="373">
        <f>SUMIF(96:96,G30,97:97)-SUMIF(96:96,C30,97:97)+100</f>
        <v>100</v>
      </c>
      <c r="I30" s="372"/>
      <c r="J30" s="373">
        <f>SUMIF(96:96,I30,97:97)-SUMIF(96:96,C30,97:97)+100</f>
        <v>100</v>
      </c>
      <c r="K30" s="1743"/>
      <c r="L30" s="2487"/>
      <c r="M30" s="2482"/>
      <c r="N30" s="2482"/>
      <c r="O30" s="2482"/>
      <c r="P30" s="3557"/>
      <c r="Q30" s="1259">
        <f t="shared" si="11"/>
        <v>111</v>
      </c>
      <c r="R30" s="663" t="s">
        <v>18</v>
      </c>
      <c r="S30" s="664">
        <f t="shared" si="12"/>
        <v>100</v>
      </c>
      <c r="T30" s="663" t="s">
        <v>18</v>
      </c>
      <c r="U30" s="664">
        <f t="shared" si="13"/>
        <v>100</v>
      </c>
      <c r="V30" s="663" t="s">
        <v>18</v>
      </c>
      <c r="W30" s="664">
        <f t="shared" si="14"/>
        <v>100</v>
      </c>
      <c r="X30" s="1261"/>
      <c r="Y30" s="3550"/>
      <c r="Z30" s="1260">
        <f t="shared" si="18"/>
        <v>111</v>
      </c>
      <c r="AA30" s="1260">
        <f t="shared" si="15"/>
        <v>1</v>
      </c>
      <c r="AB30" s="1260">
        <f t="shared" si="16"/>
        <v>1</v>
      </c>
      <c r="AC30" s="1260">
        <f t="shared" si="17"/>
        <v>1</v>
      </c>
    </row>
    <row r="31" spans="1:29" ht="15.75" thickBot="1">
      <c r="A31" s="374"/>
      <c r="B31" s="1062">
        <v>111</v>
      </c>
      <c r="C31" s="375"/>
      <c r="D31" s="376">
        <v>100</v>
      </c>
      <c r="E31" s="375"/>
      <c r="F31" s="376">
        <f>SUMIF(98:98,E31,99:99)-SUMIF(98:98,C31,99:99)+100</f>
        <v>100</v>
      </c>
      <c r="G31" s="1758"/>
      <c r="H31" s="376">
        <f>SUMIF(98:98,G31,99:99)-SUMIF(98:98,C31,99:99)+100</f>
        <v>100</v>
      </c>
      <c r="I31" s="375"/>
      <c r="J31" s="376">
        <f>SUMIF(98:98,I31,99:99)-SUMIF(98:98,C31,99:99)+100</f>
        <v>100</v>
      </c>
      <c r="K31" s="1743"/>
      <c r="L31" s="2487"/>
      <c r="M31" s="2482"/>
      <c r="N31" s="2482"/>
      <c r="O31" s="2482"/>
      <c r="P31" s="3557"/>
      <c r="Q31" s="1259">
        <f t="shared" si="11"/>
        <v>111</v>
      </c>
      <c r="R31" s="663" t="s">
        <v>18</v>
      </c>
      <c r="S31" s="664">
        <f t="shared" si="12"/>
        <v>100</v>
      </c>
      <c r="T31" s="663" t="s">
        <v>18</v>
      </c>
      <c r="U31" s="664">
        <f t="shared" si="13"/>
        <v>100</v>
      </c>
      <c r="V31" s="663" t="s">
        <v>18</v>
      </c>
      <c r="W31" s="664">
        <f t="shared" si="14"/>
        <v>100</v>
      </c>
      <c r="X31" s="1261"/>
      <c r="Y31" s="3550"/>
      <c r="Z31" s="1260">
        <f t="shared" si="18"/>
        <v>111</v>
      </c>
      <c r="AA31" s="1260">
        <f t="shared" si="15"/>
        <v>1</v>
      </c>
      <c r="AB31" s="1260">
        <f t="shared" si="16"/>
        <v>1</v>
      </c>
      <c r="AC31" s="1260">
        <f t="shared" si="17"/>
        <v>1</v>
      </c>
    </row>
    <row r="32" spans="1:29" ht="15">
      <c r="A32" s="378" t="s">
        <v>1694</v>
      </c>
      <c r="B32" s="59" t="s">
        <v>1695</v>
      </c>
      <c r="C32" s="1759"/>
      <c r="D32" s="404">
        <v>100</v>
      </c>
      <c r="E32" s="1760"/>
      <c r="F32" s="399">
        <f>SUMIF(100:100,E32,101:101)-SUMIF(100:100,C32,101:101)+100</f>
        <v>100</v>
      </c>
      <c r="G32" s="1759"/>
      <c r="H32" s="404">
        <f>SUMIF(100:100,G32,101:101)-SUMIF(100:100,C32,101:101)+100</f>
        <v>100</v>
      </c>
      <c r="I32" s="1760"/>
      <c r="J32" s="373">
        <f>SUMIF(100:100,I32,101:101)-SUMIF(100:100,C32,101:101)+100</f>
        <v>100</v>
      </c>
      <c r="K32" s="364"/>
      <c r="L32" s="2487"/>
      <c r="M32" s="2482"/>
      <c r="N32" s="2482"/>
      <c r="O32" s="2482"/>
      <c r="P32" s="3551" t="s">
        <v>1696</v>
      </c>
      <c r="Q32" s="1259" t="str">
        <f t="shared" si="11"/>
        <v>建筑类型</v>
      </c>
      <c r="R32" s="663" t="s">
        <v>18</v>
      </c>
      <c r="S32" s="664">
        <f t="shared" si="12"/>
        <v>100</v>
      </c>
      <c r="T32" s="663" t="s">
        <v>18</v>
      </c>
      <c r="U32" s="664">
        <f t="shared" si="13"/>
        <v>100</v>
      </c>
      <c r="V32" s="663" t="s">
        <v>18</v>
      </c>
      <c r="W32" s="664">
        <f t="shared" si="14"/>
        <v>100</v>
      </c>
      <c r="X32" s="1261"/>
      <c r="Y32" s="3554"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3"/>
      <c r="L33" s="2486"/>
      <c r="M33" s="2488"/>
      <c r="N33" s="2488"/>
      <c r="O33" s="2488"/>
      <c r="P33" s="3552"/>
      <c r="Q33" s="530" t="str">
        <f t="shared" si="11"/>
        <v>项目建筑规模</v>
      </c>
      <c r="R33" s="665" t="s">
        <v>18</v>
      </c>
      <c r="S33" s="666" t="e">
        <f t="shared" si="12"/>
        <v>#N/A</v>
      </c>
      <c r="T33" s="665" t="s">
        <v>18</v>
      </c>
      <c r="U33" s="666" t="e">
        <f t="shared" si="13"/>
        <v>#N/A</v>
      </c>
      <c r="V33" s="665" t="s">
        <v>18</v>
      </c>
      <c r="W33" s="666" t="e">
        <f t="shared" si="14"/>
        <v>#N/A</v>
      </c>
      <c r="X33" s="667"/>
      <c r="Y33" s="3554"/>
      <c r="Z33" s="668" t="str">
        <f t="shared" si="18"/>
        <v>项目建筑规模</v>
      </c>
      <c r="AA33" s="1260" t="e">
        <f t="shared" si="15"/>
        <v>#N/A</v>
      </c>
      <c r="AB33" s="1260" t="e">
        <f t="shared" si="16"/>
        <v>#N/A</v>
      </c>
      <c r="AC33" s="1260" t="e">
        <f t="shared" si="17"/>
        <v>#N/A</v>
      </c>
    </row>
    <row r="34" spans="1:29" ht="15">
      <c r="A34" s="408"/>
      <c r="B34" s="363" t="s">
        <v>1698</v>
      </c>
      <c r="C34" s="398"/>
      <c r="D34" s="373">
        <v>100</v>
      </c>
      <c r="E34" s="1761"/>
      <c r="F34" s="399">
        <f>SUMIF(105:105,E34,106:106)-SUMIF(105:105,C34,106:106)+100</f>
        <v>100</v>
      </c>
      <c r="G34" s="398"/>
      <c r="H34" s="373">
        <f>SUMIF(105:105,G34,106:106)-SUMIF(105:105,C34,106:106)+100</f>
        <v>100</v>
      </c>
      <c r="I34" s="1761"/>
      <c r="J34" s="373">
        <f>SUMIF(105:105,I34,106:106)-SUMIF(105:105,C34,106:106)+100</f>
        <v>100</v>
      </c>
      <c r="K34" s="364"/>
      <c r="L34" s="2487"/>
      <c r="M34" s="2482"/>
      <c r="N34" s="2482"/>
      <c r="O34" s="2482"/>
      <c r="P34" s="3552"/>
      <c r="Q34" s="1259" t="str">
        <f t="shared" si="11"/>
        <v>建筑结构</v>
      </c>
      <c r="R34" s="663" t="s">
        <v>18</v>
      </c>
      <c r="S34" s="664">
        <f t="shared" si="12"/>
        <v>100</v>
      </c>
      <c r="T34" s="663" t="s">
        <v>18</v>
      </c>
      <c r="U34" s="664">
        <f t="shared" si="13"/>
        <v>100</v>
      </c>
      <c r="V34" s="663" t="s">
        <v>18</v>
      </c>
      <c r="W34" s="664">
        <f t="shared" si="14"/>
        <v>100</v>
      </c>
      <c r="X34" s="1261"/>
      <c r="Y34" s="3554"/>
      <c r="Z34" s="1260" t="str">
        <f t="shared" si="18"/>
        <v>建筑结构</v>
      </c>
      <c r="AA34" s="1260">
        <f t="shared" si="15"/>
        <v>1</v>
      </c>
      <c r="AB34" s="1260">
        <f t="shared" si="16"/>
        <v>1</v>
      </c>
      <c r="AC34" s="1260">
        <f t="shared" si="17"/>
        <v>1</v>
      </c>
    </row>
    <row r="35" spans="1:29" ht="15">
      <c r="A35" s="408"/>
      <c r="B35" s="363" t="s">
        <v>1699</v>
      </c>
      <c r="C35" s="1755"/>
      <c r="D35" s="373">
        <v>100</v>
      </c>
      <c r="E35" s="1756"/>
      <c r="F35" s="399">
        <f>SUMIF(107:107,E35,108:108)-SUMIF(107:107,C35,108:108)+100</f>
        <v>100</v>
      </c>
      <c r="G35" s="1755"/>
      <c r="H35" s="373">
        <f>SUMIF(107:107,G35,108:108)-SUMIF(107:107,C35,108:108)+100</f>
        <v>100</v>
      </c>
      <c r="I35" s="1756"/>
      <c r="J35" s="373">
        <f>SUMIF(107:107,I35,108:108)-SUMIF(107:107,C35,108:108)+100</f>
        <v>100</v>
      </c>
      <c r="K35" s="364"/>
      <c r="L35" s="2487"/>
      <c r="M35" s="2482"/>
      <c r="N35" s="2482"/>
      <c r="O35" s="2482"/>
      <c r="P35" s="3552"/>
      <c r="Q35" s="1259" t="str">
        <f t="shared" si="11"/>
        <v>建筑品质</v>
      </c>
      <c r="R35" s="663" t="s">
        <v>18</v>
      </c>
      <c r="S35" s="664">
        <f t="shared" si="12"/>
        <v>100</v>
      </c>
      <c r="T35" s="663" t="s">
        <v>18</v>
      </c>
      <c r="U35" s="664">
        <f t="shared" si="13"/>
        <v>100</v>
      </c>
      <c r="V35" s="663" t="s">
        <v>18</v>
      </c>
      <c r="W35" s="664">
        <f t="shared" si="14"/>
        <v>100</v>
      </c>
      <c r="X35" s="1261"/>
      <c r="Y35" s="3554"/>
      <c r="Z35" s="1260" t="str">
        <f t="shared" si="18"/>
        <v>建筑品质</v>
      </c>
      <c r="AA35" s="1260">
        <f t="shared" si="15"/>
        <v>1</v>
      </c>
      <c r="AB35" s="1260">
        <f t="shared" si="16"/>
        <v>1</v>
      </c>
      <c r="AC35" s="1260">
        <f t="shared" si="17"/>
        <v>1</v>
      </c>
    </row>
    <row r="36" spans="1:29" ht="15">
      <c r="A36" s="408"/>
      <c r="B36" s="363" t="s">
        <v>1700</v>
      </c>
      <c r="C36" s="1755"/>
      <c r="D36" s="373">
        <v>100</v>
      </c>
      <c r="E36" s="1756"/>
      <c r="F36" s="399">
        <f>SUMIF(109:109,E36,110:110)-SUMIF(109:109,C36,110:110)+100</f>
        <v>100</v>
      </c>
      <c r="G36" s="1755"/>
      <c r="H36" s="373">
        <f>SUMIF(109:109,G36,110:110)-SUMIF(109:109,C36,110:110)+100</f>
        <v>100</v>
      </c>
      <c r="I36" s="1756"/>
      <c r="J36" s="373">
        <f>SUMIF(109:109,I36,110:110)-SUMIF(109:109,C36,110:110)+100</f>
        <v>100</v>
      </c>
      <c r="K36" s="364"/>
      <c r="L36" s="2487"/>
      <c r="M36" s="2482"/>
      <c r="N36" s="2482"/>
      <c r="O36" s="2482"/>
      <c r="P36" s="3552"/>
      <c r="Q36" s="1259" t="str">
        <f t="shared" si="11"/>
        <v>公共部分装修</v>
      </c>
      <c r="R36" s="663" t="s">
        <v>18</v>
      </c>
      <c r="S36" s="664">
        <f t="shared" si="12"/>
        <v>100</v>
      </c>
      <c r="T36" s="663" t="s">
        <v>18</v>
      </c>
      <c r="U36" s="664">
        <f t="shared" si="13"/>
        <v>100</v>
      </c>
      <c r="V36" s="663" t="s">
        <v>18</v>
      </c>
      <c r="W36" s="664">
        <f t="shared" si="14"/>
        <v>100</v>
      </c>
      <c r="X36" s="1261"/>
      <c r="Y36" s="3554"/>
      <c r="Z36" s="1260" t="str">
        <f t="shared" si="18"/>
        <v>公共部分装修</v>
      </c>
      <c r="AA36" s="1260">
        <f t="shared" si="15"/>
        <v>1</v>
      </c>
      <c r="AB36" s="1260">
        <f t="shared" si="16"/>
        <v>1</v>
      </c>
      <c r="AC36" s="1260">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3"/>
      <c r="M37" s="2434"/>
      <c r="N37" s="2434"/>
      <c r="O37" s="2434"/>
      <c r="P37" s="3552"/>
      <c r="Q37" s="529" t="str">
        <f t="shared" si="11"/>
        <v>成新度</v>
      </c>
      <c r="R37" s="660" t="s">
        <v>18</v>
      </c>
      <c r="S37" s="661" t="e">
        <f t="shared" si="12"/>
        <v>#N/A</v>
      </c>
      <c r="T37" s="660" t="s">
        <v>18</v>
      </c>
      <c r="U37" s="661" t="e">
        <f t="shared" si="13"/>
        <v>#N/A</v>
      </c>
      <c r="V37" s="660" t="s">
        <v>18</v>
      </c>
      <c r="W37" s="661" t="e">
        <f t="shared" si="14"/>
        <v>#N/A</v>
      </c>
      <c r="X37" s="662"/>
      <c r="Y37" s="3554"/>
      <c r="Z37" s="50" t="str">
        <f t="shared" si="18"/>
        <v>成新度</v>
      </c>
      <c r="AA37" s="50" t="e">
        <f t="shared" si="15"/>
        <v>#N/A</v>
      </c>
      <c r="AB37" s="50" t="e">
        <f t="shared" si="16"/>
        <v>#N/A</v>
      </c>
      <c r="AC37" s="50" t="e">
        <f t="shared" si="17"/>
        <v>#N/A</v>
      </c>
    </row>
    <row r="38" spans="1:29" ht="15">
      <c r="A38" s="408"/>
      <c r="B38" s="363" t="s">
        <v>1702</v>
      </c>
      <c r="C38" s="1755"/>
      <c r="D38" s="373">
        <v>100</v>
      </c>
      <c r="E38" s="1756"/>
      <c r="F38" s="399">
        <f>SUMIF(114:114,E38,115:115)-SUMIF(114:114,C38,115:115)+100</f>
        <v>100</v>
      </c>
      <c r="G38" s="1755"/>
      <c r="H38" s="373">
        <f>SUMIF(114:114,G38,115:115)-SUMIF(114:114,C38,115:115)+100</f>
        <v>100</v>
      </c>
      <c r="I38" s="1756"/>
      <c r="J38" s="373">
        <f>SUMIF(114:114,I38,115:115)-SUMIF(114:114,C38,115:115)+100</f>
        <v>100</v>
      </c>
      <c r="K38" s="364"/>
      <c r="L38" s="2487"/>
      <c r="M38" s="2482"/>
      <c r="N38" s="2482"/>
      <c r="O38" s="2482"/>
      <c r="P38" s="3552" t="s">
        <v>1696</v>
      </c>
      <c r="Q38" s="1259" t="str">
        <f t="shared" si="11"/>
        <v>物业管理</v>
      </c>
      <c r="R38" s="663" t="s">
        <v>18</v>
      </c>
      <c r="S38" s="664">
        <f t="shared" si="12"/>
        <v>100</v>
      </c>
      <c r="T38" s="663" t="s">
        <v>18</v>
      </c>
      <c r="U38" s="664">
        <f t="shared" si="13"/>
        <v>100</v>
      </c>
      <c r="V38" s="663" t="s">
        <v>18</v>
      </c>
      <c r="W38" s="664">
        <f t="shared" si="14"/>
        <v>100</v>
      </c>
      <c r="X38" s="1261"/>
      <c r="Y38" s="3554" t="s">
        <v>1696</v>
      </c>
      <c r="Z38" s="1260" t="str">
        <f t="shared" si="18"/>
        <v>物业管理</v>
      </c>
      <c r="AA38" s="1260">
        <f t="shared" si="15"/>
        <v>1</v>
      </c>
      <c r="AB38" s="1260">
        <f t="shared" si="16"/>
        <v>1</v>
      </c>
      <c r="AC38" s="1260">
        <f t="shared" si="17"/>
        <v>1</v>
      </c>
    </row>
    <row r="39" spans="1:29" ht="15">
      <c r="A39" s="408"/>
      <c r="B39" s="363" t="s">
        <v>1703</v>
      </c>
      <c r="C39" s="1755"/>
      <c r="D39" s="373">
        <v>100</v>
      </c>
      <c r="E39" s="1756"/>
      <c r="F39" s="399">
        <f>SUMIF(116:116,E39,117:117)-SUMIF(116:116,C39,117:117)+100</f>
        <v>100</v>
      </c>
      <c r="G39" s="1755"/>
      <c r="H39" s="373">
        <f>SUMIF(116:116,G39,117:117)-SUMIF(116:116,C39,117:117)+100</f>
        <v>100</v>
      </c>
      <c r="I39" s="1756"/>
      <c r="J39" s="373">
        <f>SUMIF(116:116,I39,117:117)-SUMIF(116:116,C39,117:117)+100</f>
        <v>100</v>
      </c>
      <c r="K39" s="364"/>
      <c r="L39" s="2487"/>
      <c r="M39" s="2482"/>
      <c r="N39" s="2482"/>
      <c r="O39" s="2482"/>
      <c r="P39" s="3552"/>
      <c r="Q39" s="1259" t="str">
        <f t="shared" si="11"/>
        <v>市政基础设施</v>
      </c>
      <c r="R39" s="663" t="s">
        <v>18</v>
      </c>
      <c r="S39" s="664">
        <f t="shared" si="12"/>
        <v>100</v>
      </c>
      <c r="T39" s="663" t="s">
        <v>18</v>
      </c>
      <c r="U39" s="664">
        <f t="shared" si="13"/>
        <v>100</v>
      </c>
      <c r="V39" s="663" t="s">
        <v>18</v>
      </c>
      <c r="W39" s="664">
        <f t="shared" si="14"/>
        <v>100</v>
      </c>
      <c r="X39" s="1261"/>
      <c r="Y39" s="3554"/>
      <c r="Z39" s="1260" t="str">
        <f t="shared" si="18"/>
        <v>市政基础设施</v>
      </c>
      <c r="AA39" s="1260">
        <f t="shared" si="15"/>
        <v>1</v>
      </c>
      <c r="AB39" s="1260">
        <f t="shared" si="16"/>
        <v>1</v>
      </c>
      <c r="AC39" s="1260">
        <f t="shared" si="17"/>
        <v>1</v>
      </c>
    </row>
    <row r="40" spans="1:29" ht="15">
      <c r="A40" s="408"/>
      <c r="B40" s="363" t="s">
        <v>1704</v>
      </c>
      <c r="C40" s="1755"/>
      <c r="D40" s="373">
        <v>100</v>
      </c>
      <c r="E40" s="1756"/>
      <c r="F40" s="399">
        <f>SUMIF(118:118,E40,119:119)-SUMIF(118:118,C40,119:119)+100</f>
        <v>100</v>
      </c>
      <c r="G40" s="1755"/>
      <c r="H40" s="373">
        <f>SUMIF(118:118,G40,119:119)-SUMIF(118:118,C40,119:119)+100</f>
        <v>100</v>
      </c>
      <c r="I40" s="1756"/>
      <c r="J40" s="373">
        <f>SUMIF(118:118,I40,119:119)-SUMIF(118:118,C40,119:119)+100</f>
        <v>100</v>
      </c>
      <c r="K40" s="364"/>
      <c r="L40" s="2487"/>
      <c r="M40" s="2482"/>
      <c r="N40" s="2482"/>
      <c r="O40" s="2482"/>
      <c r="P40" s="3552"/>
      <c r="Q40" s="1259" t="str">
        <f t="shared" si="11"/>
        <v>房型</v>
      </c>
      <c r="R40" s="663" t="s">
        <v>18</v>
      </c>
      <c r="S40" s="664">
        <f t="shared" si="12"/>
        <v>100</v>
      </c>
      <c r="T40" s="663" t="s">
        <v>18</v>
      </c>
      <c r="U40" s="664">
        <f t="shared" si="13"/>
        <v>100</v>
      </c>
      <c r="V40" s="663" t="s">
        <v>18</v>
      </c>
      <c r="W40" s="664">
        <f t="shared" si="14"/>
        <v>100</v>
      </c>
      <c r="X40" s="1261"/>
      <c r="Y40" s="3554"/>
      <c r="Z40" s="1260" t="str">
        <f t="shared" si="18"/>
        <v>房型</v>
      </c>
      <c r="AA40" s="1260">
        <f t="shared" si="15"/>
        <v>1</v>
      </c>
      <c r="AB40" s="1260">
        <f t="shared" si="16"/>
        <v>1</v>
      </c>
      <c r="AC40" s="1260">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3"/>
      <c r="L41" s="2486"/>
      <c r="M41" s="2488"/>
      <c r="N41" s="2488"/>
      <c r="O41" s="2488"/>
      <c r="P41" s="3552"/>
      <c r="Q41" s="530" t="str">
        <f t="shared" si="11"/>
        <v>单套/主力户型建筑面积</v>
      </c>
      <c r="R41" s="665" t="s">
        <v>18</v>
      </c>
      <c r="S41" s="666">
        <f t="shared" si="12"/>
        <v>100</v>
      </c>
      <c r="T41" s="665" t="s">
        <v>18</v>
      </c>
      <c r="U41" s="666">
        <f t="shared" si="13"/>
        <v>100</v>
      </c>
      <c r="V41" s="665" t="s">
        <v>18</v>
      </c>
      <c r="W41" s="666">
        <f t="shared" si="14"/>
        <v>100</v>
      </c>
      <c r="X41" s="667"/>
      <c r="Y41" s="3554"/>
      <c r="Z41" s="668" t="str">
        <f t="shared" si="18"/>
        <v>单套/主力户型建筑面积</v>
      </c>
      <c r="AA41" s="1260">
        <f t="shared" si="15"/>
        <v>1</v>
      </c>
      <c r="AB41" s="1260">
        <f t="shared" si="16"/>
        <v>1</v>
      </c>
      <c r="AC41" s="1260">
        <f t="shared" si="17"/>
        <v>1</v>
      </c>
    </row>
    <row r="42" spans="1:29" ht="15">
      <c r="A42" s="408"/>
      <c r="B42" s="363" t="s">
        <v>1706</v>
      </c>
      <c r="C42" s="1755"/>
      <c r="D42" s="373">
        <v>100</v>
      </c>
      <c r="E42" s="1756"/>
      <c r="F42" s="399">
        <f>SUMIF(122:122,E42,123:123)-SUMIF(122:122,C42,123:123)+100</f>
        <v>100</v>
      </c>
      <c r="G42" s="1755"/>
      <c r="H42" s="373">
        <f>SUMIF(122:122,G42,123:123)-SUMIF(122:122,C42,123:123)+100</f>
        <v>100</v>
      </c>
      <c r="I42" s="1756"/>
      <c r="J42" s="373">
        <f>SUMIF(122:122,I42,123:123)-SUMIF(122:122,C42,123:123)+100</f>
        <v>100</v>
      </c>
      <c r="K42" s="364"/>
      <c r="L42" s="2487"/>
      <c r="M42" s="2482"/>
      <c r="N42" s="2482"/>
      <c r="O42" s="2482"/>
      <c r="P42" s="3552"/>
      <c r="Q42" s="1259" t="str">
        <f t="shared" si="11"/>
        <v>内部装修</v>
      </c>
      <c r="R42" s="663" t="s">
        <v>18</v>
      </c>
      <c r="S42" s="664">
        <f t="shared" si="12"/>
        <v>100</v>
      </c>
      <c r="T42" s="663" t="s">
        <v>18</v>
      </c>
      <c r="U42" s="664">
        <f t="shared" si="13"/>
        <v>100</v>
      </c>
      <c r="V42" s="663" t="s">
        <v>18</v>
      </c>
      <c r="W42" s="664">
        <f t="shared" si="14"/>
        <v>100</v>
      </c>
      <c r="X42" s="1261"/>
      <c r="Y42" s="3554"/>
      <c r="Z42" s="1260" t="str">
        <f t="shared" si="18"/>
        <v>内部装修</v>
      </c>
      <c r="AA42" s="1260">
        <f t="shared" si="15"/>
        <v>1</v>
      </c>
      <c r="AB42" s="1260">
        <f t="shared" si="16"/>
        <v>1</v>
      </c>
      <c r="AC42" s="1260">
        <f t="shared" si="17"/>
        <v>1</v>
      </c>
    </row>
    <row r="43" spans="1:29" ht="15">
      <c r="A43" s="408"/>
      <c r="B43" s="363" t="s">
        <v>1707</v>
      </c>
      <c r="C43" s="1755"/>
      <c r="D43" s="373">
        <v>100</v>
      </c>
      <c r="E43" s="1756"/>
      <c r="F43" s="399">
        <f>SUMIF(124:124,E43,125:125)-SUMIF(124:124,C43,125:125)+100</f>
        <v>100</v>
      </c>
      <c r="G43" s="1755"/>
      <c r="H43" s="373">
        <f>SUMIF(124:124,G43,125:125)-SUMIF(124:124,C43,125:125)+100</f>
        <v>100</v>
      </c>
      <c r="I43" s="1756"/>
      <c r="J43" s="373">
        <f>SUMIF(124:124,I43,125:125)-SUMIF(124:124,C43,125:125)+100</f>
        <v>100</v>
      </c>
      <c r="K43" s="364"/>
      <c r="L43" s="2487"/>
      <c r="M43" s="2482"/>
      <c r="N43" s="2482"/>
      <c r="O43" s="2482"/>
      <c r="P43" s="3552"/>
      <c r="Q43" s="1259" t="str">
        <f t="shared" si="11"/>
        <v>内部装修维护情况</v>
      </c>
      <c r="R43" s="663" t="s">
        <v>18</v>
      </c>
      <c r="S43" s="664">
        <f t="shared" si="12"/>
        <v>100</v>
      </c>
      <c r="T43" s="663" t="s">
        <v>18</v>
      </c>
      <c r="U43" s="664">
        <f t="shared" si="13"/>
        <v>100</v>
      </c>
      <c r="V43" s="663" t="s">
        <v>18</v>
      </c>
      <c r="W43" s="664">
        <f t="shared" si="14"/>
        <v>100</v>
      </c>
      <c r="X43" s="1261"/>
      <c r="Y43" s="3554"/>
      <c r="Z43" s="1260" t="str">
        <f t="shared" si="18"/>
        <v>内部装修维护情况</v>
      </c>
      <c r="AA43" s="1260">
        <f t="shared" si="15"/>
        <v>1</v>
      </c>
      <c r="AB43" s="1260">
        <f t="shared" si="16"/>
        <v>1</v>
      </c>
      <c r="AC43" s="1260">
        <f t="shared" si="17"/>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83"/>
      <c r="M44" s="2434"/>
      <c r="N44" s="2434"/>
      <c r="O44" s="2434"/>
      <c r="P44" s="3552"/>
      <c r="Q44" s="529">
        <f t="shared" si="11"/>
        <v>111</v>
      </c>
      <c r="R44" s="660" t="s">
        <v>18</v>
      </c>
      <c r="S44" s="661">
        <f t="shared" si="12"/>
        <v>100</v>
      </c>
      <c r="T44" s="660" t="s">
        <v>18</v>
      </c>
      <c r="U44" s="661">
        <f t="shared" si="13"/>
        <v>100</v>
      </c>
      <c r="V44" s="660" t="s">
        <v>18</v>
      </c>
      <c r="W44" s="661">
        <f t="shared" si="14"/>
        <v>100</v>
      </c>
      <c r="X44" s="662"/>
      <c r="Y44" s="3554"/>
      <c r="Z44" s="50">
        <f t="shared" si="18"/>
        <v>111</v>
      </c>
      <c r="AA44" s="50">
        <f t="shared" si="15"/>
        <v>1</v>
      </c>
      <c r="AB44" s="50">
        <f t="shared" si="16"/>
        <v>1</v>
      </c>
      <c r="AC44" s="50">
        <f t="shared" si="17"/>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7"/>
      <c r="M45" s="2482"/>
      <c r="N45" s="2482"/>
      <c r="O45" s="2482"/>
      <c r="P45" s="3552"/>
      <c r="Q45" s="1259">
        <f t="shared" si="11"/>
        <v>111</v>
      </c>
      <c r="R45" s="663" t="s">
        <v>18</v>
      </c>
      <c r="S45" s="664">
        <f t="shared" si="12"/>
        <v>100</v>
      </c>
      <c r="T45" s="663" t="s">
        <v>18</v>
      </c>
      <c r="U45" s="664">
        <f t="shared" si="13"/>
        <v>100</v>
      </c>
      <c r="V45" s="663" t="s">
        <v>18</v>
      </c>
      <c r="W45" s="664">
        <f t="shared" si="14"/>
        <v>100</v>
      </c>
      <c r="X45" s="1261"/>
      <c r="Y45" s="3554"/>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7"/>
      <c r="M46" s="2482"/>
      <c r="N46" s="2482"/>
      <c r="O46" s="2482"/>
      <c r="P46" s="3553"/>
      <c r="Q46" s="1259">
        <f t="shared" si="11"/>
        <v>111</v>
      </c>
      <c r="R46" s="663" t="s">
        <v>17</v>
      </c>
      <c r="S46" s="664">
        <f t="shared" si="12"/>
        <v>100</v>
      </c>
      <c r="T46" s="663" t="s">
        <v>17</v>
      </c>
      <c r="U46" s="664">
        <f t="shared" si="13"/>
        <v>100</v>
      </c>
      <c r="V46" s="663" t="s">
        <v>17</v>
      </c>
      <c r="W46" s="664">
        <f t="shared" si="14"/>
        <v>100</v>
      </c>
      <c r="X46" s="1261"/>
      <c r="Y46" s="3555"/>
      <c r="Z46" s="1260">
        <f t="shared" si="18"/>
        <v>111</v>
      </c>
      <c r="AA46" s="1260">
        <f t="shared" si="15"/>
        <v>1</v>
      </c>
      <c r="AB46" s="1260">
        <f t="shared" si="16"/>
        <v>1</v>
      </c>
      <c r="AC46" s="1260">
        <f t="shared" si="17"/>
        <v>1</v>
      </c>
    </row>
    <row r="47" spans="1:29" ht="15">
      <c r="A47" s="415" t="s">
        <v>1708</v>
      </c>
      <c r="B47" s="416"/>
      <c r="C47" s="1077" t="s">
        <v>16</v>
      </c>
      <c r="D47" s="417"/>
      <c r="E47" s="418"/>
      <c r="F47" s="419"/>
      <c r="G47" s="420"/>
      <c r="H47" s="421"/>
      <c r="I47" s="418"/>
      <c r="J47" s="421"/>
      <c r="K47" s="1762"/>
      <c r="L47" s="2489"/>
      <c r="M47" s="2482"/>
      <c r="N47" s="2482"/>
      <c r="O47" s="2482"/>
      <c r="P47" s="3548" t="str">
        <f>A47</f>
        <v>成交单价（元/平方米）</v>
      </c>
      <c r="Q47" s="3548"/>
      <c r="R47" s="3543">
        <f>E47</f>
        <v>0</v>
      </c>
      <c r="S47" s="3543"/>
      <c r="T47" s="3543">
        <f>G47</f>
        <v>0</v>
      </c>
      <c r="U47" s="3543"/>
      <c r="V47" s="3543">
        <f>I47</f>
        <v>0</v>
      </c>
      <c r="W47" s="3543"/>
      <c r="X47" s="384"/>
      <c r="Y47" s="669"/>
      <c r="Z47" s="384"/>
      <c r="AA47" s="384"/>
      <c r="AB47" s="384"/>
      <c r="AC47" s="384"/>
    </row>
    <row r="48" spans="1:29" ht="15.75" thickBot="1">
      <c r="A48" s="422" t="s">
        <v>1709</v>
      </c>
      <c r="B48" s="423"/>
      <c r="C48" s="1078" t="e">
        <f>R49</f>
        <v>#DIV/0!</v>
      </c>
      <c r="D48" s="2136" t="s">
        <v>2135</v>
      </c>
      <c r="E48" s="1079" t="e">
        <f>R48</f>
        <v>#DIV/0!</v>
      </c>
      <c r="F48" s="2137"/>
      <c r="G48" s="1078" t="e">
        <f>T48</f>
        <v>#DIV/0!</v>
      </c>
      <c r="H48" s="2137"/>
      <c r="I48" s="1079" t="e">
        <f>V48</f>
        <v>#DIV/0!</v>
      </c>
      <c r="J48" s="2137"/>
      <c r="K48" s="2138">
        <f>F48+H48+J48</f>
        <v>0</v>
      </c>
      <c r="L48" s="2489"/>
      <c r="M48" s="2482"/>
      <c r="N48" s="2482"/>
      <c r="O48" s="2482"/>
      <c r="P48" s="3548" t="str">
        <f>A48</f>
        <v>比较价值（元/平方米）</v>
      </c>
      <c r="Q48" s="3548"/>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384"/>
      <c r="Y48" s="384"/>
      <c r="Z48" s="384"/>
      <c r="AA48" s="384"/>
      <c r="AB48" s="384"/>
      <c r="AC48" s="384"/>
    </row>
    <row r="49" spans="1:29" ht="15.75" thickBot="1">
      <c r="A49" s="426" t="s">
        <v>1710</v>
      </c>
      <c r="B49" s="427"/>
      <c r="C49" s="1080" t="e">
        <f>R49</f>
        <v>#DIV/0!</v>
      </c>
      <c r="D49" s="350"/>
      <c r="E49" s="350"/>
      <c r="F49" s="350"/>
      <c r="G49" s="350"/>
      <c r="H49" s="350"/>
      <c r="I49" s="350"/>
      <c r="J49" s="350"/>
      <c r="K49" s="1763"/>
      <c r="L49" s="2489"/>
      <c r="M49" s="2482"/>
      <c r="N49" s="2482"/>
      <c r="O49" s="2482"/>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row>
    <row r="53" spans="1:29" ht="13.5" customHeight="1">
      <c r="A53" s="2482"/>
      <c r="B53" s="2482"/>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row>
    <row r="54" spans="1:29" s="436" customFormat="1" ht="13.5" customHeight="1">
      <c r="A54" s="2492"/>
      <c r="B54" s="2492"/>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4" t="s">
        <v>1714</v>
      </c>
      <c r="B57" s="384"/>
      <c r="C57" s="655"/>
      <c r="D57" s="655"/>
      <c r="E57" s="655"/>
      <c r="F57" s="656"/>
      <c r="G57" s="656"/>
      <c r="H57" s="655"/>
      <c r="I57" s="655"/>
      <c r="J57" s="655"/>
      <c r="K57" s="883"/>
      <c r="L57" s="884"/>
      <c r="M57" s="882"/>
      <c r="N57" s="882"/>
      <c r="O57" s="882"/>
      <c r="P57" s="1766"/>
      <c r="Q57" s="438"/>
    </row>
    <row r="58" spans="1:29" s="441" customFormat="1" ht="15">
      <c r="A58" s="439" t="s">
        <v>1715</v>
      </c>
      <c r="B58" s="440"/>
      <c r="C58" s="1101" t="str">
        <f>YEAR(C7)&amp;"-"&amp;MONTH(C7)</f>
        <v>2024-6</v>
      </c>
      <c r="D58" s="1100">
        <f>EDATE(C58,-1)</f>
        <v>45413</v>
      </c>
      <c r="E58" s="1100">
        <f>EDATE(D58,-1)</f>
        <v>45383</v>
      </c>
      <c r="F58" s="1100">
        <f t="shared" ref="F58:O58" si="19">EDATE(E58,-1)</f>
        <v>45352</v>
      </c>
      <c r="G58" s="1100">
        <f t="shared" si="19"/>
        <v>45323</v>
      </c>
      <c r="H58" s="1100">
        <f t="shared" si="19"/>
        <v>45292</v>
      </c>
      <c r="I58" s="1100">
        <f t="shared" si="19"/>
        <v>45261</v>
      </c>
      <c r="J58" s="1100">
        <f t="shared" si="19"/>
        <v>45231</v>
      </c>
      <c r="K58" s="1100">
        <f t="shared" si="19"/>
        <v>45200</v>
      </c>
      <c r="L58" s="1100">
        <f t="shared" si="19"/>
        <v>45170</v>
      </c>
      <c r="M58" s="1100">
        <f t="shared" si="19"/>
        <v>45139</v>
      </c>
      <c r="N58" s="1100">
        <f t="shared" si="19"/>
        <v>45108</v>
      </c>
      <c r="O58" s="1100">
        <f t="shared" si="19"/>
        <v>45078</v>
      </c>
      <c r="P58" s="1096"/>
    </row>
    <row r="59" spans="1:29" s="101" customFormat="1" ht="15">
      <c r="A59" s="442"/>
      <c r="B59" s="1767"/>
      <c r="C59" s="1098">
        <v>100</v>
      </c>
      <c r="D59" s="444"/>
      <c r="E59" s="445"/>
      <c r="F59" s="445"/>
      <c r="G59" s="445"/>
      <c r="H59" s="445"/>
      <c r="I59" s="445"/>
      <c r="J59" s="445"/>
      <c r="K59" s="445"/>
      <c r="L59" s="445"/>
      <c r="M59" s="446"/>
      <c r="N59" s="445"/>
      <c r="O59" s="446"/>
      <c r="P59" s="1768"/>
    </row>
    <row r="60" spans="1:29" s="101" customFormat="1" ht="15.75" thickBot="1">
      <c r="A60" s="448" t="s">
        <v>1716</v>
      </c>
      <c r="B60" s="449"/>
      <c r="C60" s="450"/>
      <c r="D60" s="451"/>
      <c r="E60" s="451"/>
      <c r="F60" s="451"/>
      <c r="G60" s="451"/>
      <c r="H60" s="451"/>
      <c r="I60" s="451"/>
      <c r="J60" s="451"/>
      <c r="K60" s="451"/>
      <c r="L60" s="451"/>
      <c r="M60" s="452"/>
      <c r="N60" s="451"/>
      <c r="O60" s="452"/>
      <c r="P60" s="1768"/>
      <c r="Q60" s="438"/>
    </row>
    <row r="61" spans="1:29" s="101" customFormat="1" ht="15">
      <c r="A61" s="454" t="s">
        <v>1717</v>
      </c>
      <c r="B61" s="443"/>
      <c r="C61" s="455" t="s">
        <v>1718</v>
      </c>
      <c r="D61" s="31"/>
      <c r="E61" s="31"/>
      <c r="F61" s="31"/>
      <c r="G61" s="31"/>
      <c r="H61" s="31"/>
      <c r="I61" s="31"/>
      <c r="J61" s="31"/>
      <c r="K61" s="31"/>
      <c r="L61" s="456"/>
      <c r="M61" s="457"/>
      <c r="N61" s="874"/>
      <c r="O61" s="874"/>
      <c r="P61" s="1769"/>
      <c r="Q61" s="438"/>
    </row>
    <row r="62" spans="1:29" s="101" customFormat="1" ht="15.75" thickBot="1">
      <c r="A62" s="454"/>
      <c r="B62" s="443"/>
      <c r="C62" s="444">
        <v>100</v>
      </c>
      <c r="D62" s="445"/>
      <c r="E62" s="445"/>
      <c r="F62" s="445"/>
      <c r="G62" s="445"/>
      <c r="H62" s="445"/>
      <c r="I62" s="445"/>
      <c r="J62" s="445"/>
      <c r="K62" s="445"/>
      <c r="L62" s="445"/>
      <c r="M62" s="447"/>
      <c r="N62" s="874"/>
      <c r="O62" s="874"/>
      <c r="P62" s="1768"/>
      <c r="Q62" s="438"/>
    </row>
    <row r="63" spans="1:29">
      <c r="A63" s="378" t="s">
        <v>1719</v>
      </c>
      <c r="B63" s="459" t="s">
        <v>1685</v>
      </c>
      <c r="C63" s="460">
        <f>C9</f>
        <v>0</v>
      </c>
      <c r="D63" s="461"/>
      <c r="E63" s="461"/>
      <c r="F63" s="461"/>
      <c r="G63" s="461"/>
      <c r="H63" s="461"/>
      <c r="I63" s="461"/>
      <c r="J63" s="461"/>
      <c r="K63" s="462"/>
      <c r="L63" s="463"/>
      <c r="M63" s="464"/>
      <c r="N63" s="875"/>
      <c r="O63" s="875"/>
      <c r="P63" s="1770"/>
      <c r="Q63" s="438"/>
    </row>
    <row r="64" spans="1:29" ht="15.75" thickBot="1">
      <c r="A64" s="366"/>
      <c r="B64" s="465"/>
      <c r="C64" s="466">
        <v>100</v>
      </c>
      <c r="D64" s="466"/>
      <c r="E64" s="466"/>
      <c r="F64" s="466"/>
      <c r="G64" s="466"/>
      <c r="H64" s="466"/>
      <c r="I64" s="466"/>
      <c r="J64" s="466"/>
      <c r="K64" s="466"/>
      <c r="L64" s="466"/>
      <c r="M64" s="467"/>
      <c r="N64" s="876"/>
      <c r="O64" s="876"/>
      <c r="P64" s="1770"/>
      <c r="Q64" s="438"/>
    </row>
    <row r="65" spans="1:17" ht="27.75" thickTop="1">
      <c r="A65" s="366"/>
      <c r="B65" s="468" t="s">
        <v>1688</v>
      </c>
      <c r="C65" s="512"/>
      <c r="D65" s="512"/>
      <c r="E65" s="512"/>
      <c r="F65" s="512"/>
      <c r="G65" s="512"/>
      <c r="H65" s="512"/>
      <c r="I65" s="512"/>
      <c r="J65" s="512"/>
      <c r="K65" s="512"/>
      <c r="L65" s="512"/>
      <c r="M65" s="512"/>
      <c r="N65" s="876"/>
      <c r="O65" s="876"/>
      <c r="P65" s="1770"/>
      <c r="Q65" s="438"/>
    </row>
    <row r="66" spans="1:17" ht="15.75" thickBot="1">
      <c r="A66" s="366"/>
      <c r="B66" s="473"/>
      <c r="C66" s="466"/>
      <c r="D66" s="466"/>
      <c r="E66" s="466"/>
      <c r="F66" s="466"/>
      <c r="G66" s="466"/>
      <c r="H66" s="466"/>
      <c r="I66" s="466"/>
      <c r="J66" s="466"/>
      <c r="K66" s="466"/>
      <c r="L66" s="466"/>
      <c r="M66" s="467"/>
      <c r="N66" s="876"/>
      <c r="O66" s="876"/>
      <c r="P66" s="1770"/>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6"/>
      <c r="O67" s="876"/>
      <c r="P67" s="1770"/>
      <c r="Q67" s="438"/>
    </row>
    <row r="68" spans="1:17" ht="15">
      <c r="A68" s="366"/>
      <c r="B68" s="478"/>
      <c r="C68" s="479"/>
      <c r="D68" s="479"/>
      <c r="E68" s="479"/>
      <c r="F68" s="479"/>
      <c r="G68" s="479"/>
      <c r="H68" s="479"/>
      <c r="I68" s="479"/>
      <c r="J68" s="479"/>
      <c r="K68" s="480"/>
      <c r="L68" s="481"/>
      <c r="M68" s="482"/>
      <c r="N68" s="875"/>
      <c r="O68" s="875"/>
      <c r="P68" s="1770"/>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6"/>
      <c r="O69" s="876"/>
      <c r="P69" s="1770"/>
      <c r="Q69" s="438"/>
    </row>
    <row r="70" spans="1:17" s="407" customFormat="1" ht="15.75" thickTop="1">
      <c r="A70" s="483"/>
      <c r="B70" s="468">
        <f>B12</f>
        <v>111</v>
      </c>
      <c r="C70" s="484"/>
      <c r="D70" s="484"/>
      <c r="E70" s="484"/>
      <c r="F70" s="484"/>
      <c r="G70" s="484"/>
      <c r="H70" s="485"/>
      <c r="I70" s="485"/>
      <c r="J70" s="485"/>
      <c r="K70" s="485"/>
      <c r="L70" s="486"/>
      <c r="M70" s="487"/>
      <c r="N70" s="877"/>
      <c r="O70" s="877"/>
      <c r="P70" s="1771"/>
      <c r="Q70" s="489"/>
    </row>
    <row r="71" spans="1:17" s="407" customFormat="1" ht="15.75" thickBot="1">
      <c r="A71" s="483"/>
      <c r="B71" s="473"/>
      <c r="C71" s="490"/>
      <c r="D71" s="466"/>
      <c r="E71" s="466"/>
      <c r="F71" s="466"/>
      <c r="G71" s="466"/>
      <c r="H71" s="466"/>
      <c r="I71" s="466"/>
      <c r="J71" s="466"/>
      <c r="K71" s="466"/>
      <c r="L71" s="466"/>
      <c r="M71" s="467"/>
      <c r="N71" s="876"/>
      <c r="O71" s="876"/>
      <c r="P71" s="1771"/>
      <c r="Q71" s="489"/>
    </row>
    <row r="72" spans="1:17" s="407" customFormat="1" ht="15.75" thickTop="1">
      <c r="A72" s="483"/>
      <c r="B72" s="468">
        <f>B13</f>
        <v>111</v>
      </c>
      <c r="C72" s="484"/>
      <c r="D72" s="484"/>
      <c r="E72" s="484"/>
      <c r="F72" s="484"/>
      <c r="G72" s="484"/>
      <c r="H72" s="485"/>
      <c r="I72" s="485"/>
      <c r="J72" s="485"/>
      <c r="K72" s="485"/>
      <c r="L72" s="486"/>
      <c r="M72" s="487"/>
      <c r="N72" s="877"/>
      <c r="O72" s="877"/>
      <c r="P72" s="1772"/>
      <c r="Q72" s="491"/>
    </row>
    <row r="73" spans="1:17" s="407" customFormat="1" ht="15.75" thickBot="1">
      <c r="A73" s="483"/>
      <c r="B73" s="473"/>
      <c r="C73" s="490"/>
      <c r="D73" s="490"/>
      <c r="E73" s="490"/>
      <c r="F73" s="490"/>
      <c r="G73" s="490"/>
      <c r="H73" s="492"/>
      <c r="I73" s="492"/>
      <c r="J73" s="492"/>
      <c r="K73" s="492"/>
      <c r="L73" s="492"/>
      <c r="M73" s="493"/>
      <c r="N73" s="877"/>
      <c r="O73" s="877"/>
      <c r="P73" s="1771"/>
      <c r="Q73" s="489"/>
    </row>
    <row r="74" spans="1:17" s="407" customFormat="1" ht="15.75" thickTop="1">
      <c r="A74" s="483"/>
      <c r="B74" s="476">
        <f>B14</f>
        <v>111</v>
      </c>
      <c r="C74" s="484"/>
      <c r="D74" s="484"/>
      <c r="E74" s="484"/>
      <c r="F74" s="484"/>
      <c r="G74" s="31"/>
      <c r="H74" s="494"/>
      <c r="I74" s="494"/>
      <c r="J74" s="494"/>
      <c r="K74" s="494"/>
      <c r="L74" s="495"/>
      <c r="M74" s="496"/>
      <c r="N74" s="877"/>
      <c r="O74" s="877"/>
      <c r="P74" s="1773"/>
      <c r="Q74" s="489"/>
    </row>
    <row r="75" spans="1:17" s="407" customFormat="1" ht="15.75" thickBot="1">
      <c r="A75" s="498"/>
      <c r="B75" s="499"/>
      <c r="C75" s="500"/>
      <c r="D75" s="500"/>
      <c r="E75" s="500"/>
      <c r="F75" s="500"/>
      <c r="G75" s="500"/>
      <c r="H75" s="501"/>
      <c r="I75" s="501"/>
      <c r="J75" s="501"/>
      <c r="K75" s="501"/>
      <c r="L75" s="501"/>
      <c r="M75" s="502"/>
      <c r="N75" s="877"/>
      <c r="O75" s="877"/>
      <c r="P75" s="1771"/>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5"/>
      <c r="O76" s="875"/>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70"/>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5"/>
      <c r="O78" s="875"/>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70"/>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5"/>
      <c r="O80" s="875"/>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70"/>
      <c r="Q81" s="438"/>
    </row>
    <row r="82" spans="1:17" ht="15.75" thickTop="1">
      <c r="A82" s="366"/>
      <c r="B82" s="476" t="s">
        <v>1260</v>
      </c>
      <c r="C82" s="469" t="s">
        <v>1728</v>
      </c>
      <c r="D82" s="469" t="s">
        <v>1729</v>
      </c>
      <c r="E82" s="469" t="s">
        <v>1730</v>
      </c>
      <c r="F82" s="469" t="s">
        <v>1731</v>
      </c>
      <c r="G82" s="469" t="s">
        <v>1732</v>
      </c>
      <c r="H82" s="469"/>
      <c r="I82" s="469"/>
      <c r="J82" s="469"/>
      <c r="K82" s="469"/>
      <c r="L82" s="469"/>
      <c r="M82" s="1059"/>
      <c r="N82" s="876"/>
      <c r="O82" s="876"/>
      <c r="P82" s="1770"/>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6"/>
      <c r="O83" s="876"/>
      <c r="P83" s="1770"/>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5"/>
      <c r="O84" s="875"/>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70"/>
      <c r="Q85" s="438"/>
    </row>
    <row r="86" spans="1:17" s="101" customFormat="1" ht="15.75" thickTop="1">
      <c r="A86" s="369"/>
      <c r="B86" s="468" t="s">
        <v>1734</v>
      </c>
      <c r="C86" s="484"/>
      <c r="D86" s="484"/>
      <c r="E86" s="484"/>
      <c r="F86" s="484"/>
      <c r="G86" s="484"/>
      <c r="H86" s="484"/>
      <c r="I86" s="484"/>
      <c r="J86" s="484"/>
      <c r="K86" s="484"/>
      <c r="L86" s="509"/>
      <c r="M86" s="510"/>
      <c r="N86" s="874"/>
      <c r="O86" s="874"/>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70"/>
      <c r="Q87" s="438"/>
    </row>
    <row r="88" spans="1:17" s="101" customFormat="1" ht="15.75" thickTop="1">
      <c r="A88" s="369"/>
      <c r="B88" s="468" t="s">
        <v>1735</v>
      </c>
      <c r="C88" s="484"/>
      <c r="D88" s="484"/>
      <c r="E88" s="484"/>
      <c r="F88" s="1775"/>
      <c r="G88" s="484"/>
      <c r="H88" s="484"/>
      <c r="I88" s="484"/>
      <c r="J88" s="484"/>
      <c r="K88" s="484"/>
      <c r="L88" s="484"/>
      <c r="M88" s="510"/>
      <c r="N88" s="874"/>
      <c r="O88" s="874"/>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70"/>
      <c r="Q89" s="438"/>
    </row>
    <row r="90" spans="1:17" s="407" customFormat="1" ht="15.75" thickTop="1">
      <c r="A90" s="483"/>
      <c r="B90" s="468">
        <f>B27</f>
        <v>111</v>
      </c>
      <c r="C90" s="484"/>
      <c r="D90" s="484"/>
      <c r="E90" s="484"/>
      <c r="F90" s="484"/>
      <c r="G90" s="484"/>
      <c r="H90" s="485"/>
      <c r="I90" s="485"/>
      <c r="J90" s="485"/>
      <c r="K90" s="485"/>
      <c r="L90" s="486"/>
      <c r="M90" s="487"/>
      <c r="N90" s="877"/>
      <c r="O90" s="877"/>
      <c r="P90" s="1771"/>
      <c r="Q90" s="489"/>
    </row>
    <row r="91" spans="1:17" s="407" customFormat="1" ht="15.75" thickBot="1">
      <c r="A91" s="483"/>
      <c r="B91" s="473"/>
      <c r="C91" s="490"/>
      <c r="D91" s="490"/>
      <c r="E91" s="490"/>
      <c r="F91" s="490"/>
      <c r="G91" s="490"/>
      <c r="H91" s="492"/>
      <c r="I91" s="492"/>
      <c r="J91" s="492"/>
      <c r="K91" s="492"/>
      <c r="L91" s="492"/>
      <c r="M91" s="493"/>
      <c r="N91" s="877"/>
      <c r="O91" s="877"/>
      <c r="P91" s="1771"/>
      <c r="Q91" s="489"/>
    </row>
    <row r="92" spans="1:17" ht="15.75" thickTop="1">
      <c r="A92" s="366"/>
      <c r="B92" s="468">
        <f>B28</f>
        <v>111</v>
      </c>
      <c r="C92" s="484"/>
      <c r="D92" s="484"/>
      <c r="E92" s="484"/>
      <c r="F92" s="484"/>
      <c r="G92" s="512"/>
      <c r="H92" s="512"/>
      <c r="I92" s="512"/>
      <c r="J92" s="512"/>
      <c r="K92" s="513"/>
      <c r="L92" s="514"/>
      <c r="M92" s="515"/>
      <c r="N92" s="875"/>
      <c r="O92" s="875"/>
      <c r="P92" s="1770"/>
      <c r="Q92" s="438"/>
    </row>
    <row r="93" spans="1:17" ht="15.75" thickBot="1">
      <c r="A93" s="366"/>
      <c r="B93" s="473"/>
      <c r="C93" s="490"/>
      <c r="D93" s="466"/>
      <c r="E93" s="466"/>
      <c r="F93" s="466"/>
      <c r="G93" s="466"/>
      <c r="H93" s="466"/>
      <c r="I93" s="466"/>
      <c r="J93" s="466"/>
      <c r="K93" s="466"/>
      <c r="L93" s="466"/>
      <c r="M93" s="467"/>
      <c r="N93" s="876"/>
      <c r="O93" s="876"/>
      <c r="P93" s="1770"/>
      <c r="Q93" s="438"/>
    </row>
    <row r="94" spans="1:17" ht="15.75" thickTop="1">
      <c r="A94" s="366"/>
      <c r="B94" s="468">
        <f>B29</f>
        <v>111</v>
      </c>
      <c r="C94" s="484"/>
      <c r="D94" s="484"/>
      <c r="E94" s="484"/>
      <c r="F94" s="484"/>
      <c r="G94" s="512"/>
      <c r="H94" s="512"/>
      <c r="I94" s="512"/>
      <c r="J94" s="512"/>
      <c r="K94" s="513"/>
      <c r="L94" s="514"/>
      <c r="M94" s="515"/>
      <c r="N94" s="875"/>
      <c r="O94" s="875"/>
      <c r="P94" s="1770"/>
      <c r="Q94" s="438"/>
    </row>
    <row r="95" spans="1:17" ht="15.75" thickBot="1">
      <c r="A95" s="366"/>
      <c r="B95" s="473"/>
      <c r="C95" s="490"/>
      <c r="D95" s="490"/>
      <c r="E95" s="490"/>
      <c r="F95" s="490"/>
      <c r="G95" s="466"/>
      <c r="H95" s="466"/>
      <c r="I95" s="466"/>
      <c r="J95" s="466"/>
      <c r="K95" s="466"/>
      <c r="L95" s="466"/>
      <c r="M95" s="467"/>
      <c r="N95" s="876"/>
      <c r="O95" s="876"/>
      <c r="P95" s="1770"/>
      <c r="Q95" s="438"/>
    </row>
    <row r="96" spans="1:17" ht="15.75" thickTop="1">
      <c r="A96" s="366"/>
      <c r="B96" s="468">
        <f>B30</f>
        <v>111</v>
      </c>
      <c r="C96" s="484"/>
      <c r="D96" s="484"/>
      <c r="E96" s="484"/>
      <c r="F96" s="484"/>
      <c r="G96" s="512"/>
      <c r="H96" s="512"/>
      <c r="I96" s="512"/>
      <c r="J96" s="512"/>
      <c r="K96" s="513"/>
      <c r="L96" s="514"/>
      <c r="M96" s="515"/>
      <c r="N96" s="875"/>
      <c r="O96" s="875"/>
      <c r="P96" s="1770"/>
      <c r="Q96" s="438"/>
    </row>
    <row r="97" spans="1:17" ht="15.75" thickBot="1">
      <c r="A97" s="366"/>
      <c r="B97" s="473"/>
      <c r="C97" s="500"/>
      <c r="D97" s="500"/>
      <c r="E97" s="500"/>
      <c r="F97" s="500"/>
      <c r="G97" s="466"/>
      <c r="H97" s="466"/>
      <c r="I97" s="466"/>
      <c r="J97" s="466"/>
      <c r="K97" s="466"/>
      <c r="L97" s="466"/>
      <c r="M97" s="467"/>
      <c r="N97" s="876"/>
      <c r="O97" s="876"/>
      <c r="P97" s="1770"/>
      <c r="Q97" s="438"/>
    </row>
    <row r="98" spans="1:17" ht="15.75" thickTop="1">
      <c r="A98" s="366"/>
      <c r="B98" s="476">
        <f>B31</f>
        <v>111</v>
      </c>
      <c r="C98" s="516"/>
      <c r="D98" s="516"/>
      <c r="E98" s="516"/>
      <c r="F98" s="516"/>
      <c r="G98" s="516"/>
      <c r="H98" s="516"/>
      <c r="I98" s="516"/>
      <c r="J98" s="516"/>
      <c r="K98" s="517"/>
      <c r="L98" s="518"/>
      <c r="M98" s="519"/>
      <c r="N98" s="875"/>
      <c r="O98" s="875"/>
      <c r="P98" s="1770"/>
      <c r="Q98" s="438"/>
    </row>
    <row r="99" spans="1:17" ht="15.75" thickBot="1">
      <c r="A99" s="374"/>
      <c r="B99" s="499"/>
      <c r="C99" s="520"/>
      <c r="D99" s="520"/>
      <c r="E99" s="520"/>
      <c r="F99" s="520"/>
      <c r="G99" s="520"/>
      <c r="H99" s="520"/>
      <c r="I99" s="520"/>
      <c r="J99" s="520"/>
      <c r="K99" s="520"/>
      <c r="L99" s="520"/>
      <c r="M99" s="521"/>
      <c r="N99" s="876"/>
      <c r="O99" s="876"/>
      <c r="P99" s="1770"/>
      <c r="Q99" s="438"/>
    </row>
    <row r="100" spans="1:17">
      <c r="A100" s="378" t="s">
        <v>1694</v>
      </c>
      <c r="B100" s="459" t="s">
        <v>1736</v>
      </c>
      <c r="C100" s="461"/>
      <c r="D100" s="461"/>
      <c r="E100" s="461"/>
      <c r="F100" s="461"/>
      <c r="G100" s="461"/>
      <c r="H100" s="461"/>
      <c r="I100" s="461"/>
      <c r="J100" s="461"/>
      <c r="K100" s="462"/>
      <c r="L100" s="463"/>
      <c r="M100" s="464"/>
      <c r="N100" s="875"/>
      <c r="O100" s="875"/>
      <c r="P100" s="1770"/>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70"/>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4"/>
      <c r="O102" s="874"/>
      <c r="P102" s="1770"/>
      <c r="Q102" s="438"/>
    </row>
    <row r="103" spans="1:17" s="407" customFormat="1">
      <c r="A103" s="405"/>
      <c r="B103" s="522"/>
      <c r="C103" s="6"/>
      <c r="D103" s="6"/>
      <c r="E103" s="6"/>
      <c r="F103" s="6"/>
      <c r="G103" s="6"/>
      <c r="H103" s="6"/>
      <c r="I103" s="6"/>
      <c r="J103" s="523"/>
      <c r="K103" s="523"/>
      <c r="L103" s="524"/>
      <c r="M103" s="525"/>
      <c r="N103" s="877"/>
      <c r="O103" s="877"/>
      <c r="P103" s="1771"/>
      <c r="Q103" s="489"/>
    </row>
    <row r="104" spans="1:17" s="407" customFormat="1" ht="15.75" thickBot="1">
      <c r="A104" s="483"/>
      <c r="B104" s="473"/>
      <c r="C104" s="490"/>
      <c r="D104" s="466"/>
      <c r="E104" s="466"/>
      <c r="F104" s="466"/>
      <c r="G104" s="466"/>
      <c r="H104" s="466"/>
      <c r="I104" s="466"/>
      <c r="J104" s="466"/>
      <c r="K104" s="466"/>
      <c r="L104" s="466"/>
      <c r="M104" s="466"/>
      <c r="N104" s="876"/>
      <c r="O104" s="876"/>
      <c r="P104" s="1771"/>
      <c r="Q104" s="489"/>
    </row>
    <row r="105" spans="1:17" ht="15" thickTop="1">
      <c r="A105" s="408"/>
      <c r="B105" s="468" t="s">
        <v>1738</v>
      </c>
      <c r="C105" s="484"/>
      <c r="D105" s="484"/>
      <c r="E105" s="512"/>
      <c r="F105" s="512"/>
      <c r="G105" s="512"/>
      <c r="H105" s="512"/>
      <c r="I105" s="512"/>
      <c r="J105" s="512"/>
      <c r="K105" s="513"/>
      <c r="L105" s="514"/>
      <c r="M105" s="515"/>
      <c r="N105" s="875"/>
      <c r="O105" s="875"/>
      <c r="P105" s="1770"/>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70"/>
      <c r="Q106" s="438"/>
    </row>
    <row r="107" spans="1:17" ht="15" thickTop="1">
      <c r="A107" s="408"/>
      <c r="B107" s="468" t="s">
        <v>1739</v>
      </c>
      <c r="C107" s="512"/>
      <c r="D107" s="512"/>
      <c r="E107" s="512"/>
      <c r="F107" s="512"/>
      <c r="G107" s="512"/>
      <c r="H107" s="512"/>
      <c r="I107" s="512"/>
      <c r="J107" s="512"/>
      <c r="K107" s="513"/>
      <c r="L107" s="514"/>
      <c r="M107" s="515"/>
      <c r="N107" s="875"/>
      <c r="O107" s="875"/>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70"/>
      <c r="Q108" s="438"/>
    </row>
    <row r="109" spans="1:17" ht="15" thickTop="1">
      <c r="A109" s="408"/>
      <c r="B109" s="468" t="s">
        <v>1740</v>
      </c>
      <c r="C109" s="484"/>
      <c r="D109" s="484"/>
      <c r="E109" s="484"/>
      <c r="F109" s="512"/>
      <c r="G109" s="512"/>
      <c r="H109" s="512"/>
      <c r="I109" s="512"/>
      <c r="J109" s="512"/>
      <c r="K109" s="513"/>
      <c r="L109" s="514"/>
      <c r="M109" s="515"/>
      <c r="N109" s="875"/>
      <c r="O109" s="875"/>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71"/>
      <c r="Q113" s="489"/>
    </row>
    <row r="114" spans="1:17" ht="15" thickTop="1">
      <c r="A114" s="408"/>
      <c r="B114" s="468" t="s">
        <v>1741</v>
      </c>
      <c r="C114" s="484"/>
      <c r="D114" s="484"/>
      <c r="E114" s="512"/>
      <c r="F114" s="512"/>
      <c r="G114" s="512"/>
      <c r="H114" s="512"/>
      <c r="I114" s="512"/>
      <c r="J114" s="512"/>
      <c r="K114" s="513"/>
      <c r="L114" s="514"/>
      <c r="M114" s="515"/>
      <c r="N114" s="875"/>
      <c r="O114" s="875"/>
      <c r="P114" s="1770"/>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70"/>
      <c r="Q115" s="438"/>
    </row>
    <row r="116" spans="1:17" ht="15" thickTop="1">
      <c r="A116" s="408"/>
      <c r="B116" s="468" t="s">
        <v>1742</v>
      </c>
      <c r="C116" s="484"/>
      <c r="D116" s="484"/>
      <c r="E116" s="484"/>
      <c r="F116" s="484"/>
      <c r="G116" s="484"/>
      <c r="H116" s="512"/>
      <c r="I116" s="512"/>
      <c r="J116" s="512"/>
      <c r="K116" s="513"/>
      <c r="L116" s="514"/>
      <c r="M116" s="515"/>
      <c r="N116" s="875"/>
      <c r="O116" s="875"/>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70"/>
      <c r="Q117" s="438"/>
    </row>
    <row r="118" spans="1:17" ht="15" thickTop="1">
      <c r="A118" s="408"/>
      <c r="B118" s="468" t="s">
        <v>1743</v>
      </c>
      <c r="C118" s="512"/>
      <c r="D118" s="512"/>
      <c r="E118" s="512"/>
      <c r="F118" s="512"/>
      <c r="G118" s="512"/>
      <c r="H118" s="512"/>
      <c r="I118" s="512"/>
      <c r="J118" s="512"/>
      <c r="K118" s="513"/>
      <c r="L118" s="514"/>
      <c r="M118" s="515"/>
      <c r="N118" s="875"/>
      <c r="O118" s="875"/>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70"/>
      <c r="Q119" s="438"/>
    </row>
    <row r="120" spans="1:17" s="407" customFormat="1" ht="28.5" thickTop="1">
      <c r="A120" s="405"/>
      <c r="B120" s="468" t="s">
        <v>1705</v>
      </c>
      <c r="C120" s="484"/>
      <c r="D120" s="484"/>
      <c r="E120" s="484"/>
      <c r="F120" s="484"/>
      <c r="G120" s="484"/>
      <c r="H120" s="484"/>
      <c r="I120" s="484"/>
      <c r="J120" s="484"/>
      <c r="K120" s="484"/>
      <c r="L120" s="509"/>
      <c r="M120" s="510"/>
      <c r="N120" s="877"/>
      <c r="O120" s="877"/>
      <c r="P120" s="1771"/>
      <c r="Q120" s="489"/>
    </row>
    <row r="121" spans="1:17" s="407" customFormat="1" ht="15.75" thickBot="1">
      <c r="A121" s="483"/>
      <c r="B121" s="465"/>
      <c r="C121" s="490"/>
      <c r="D121" s="466"/>
      <c r="E121" s="466"/>
      <c r="F121" s="466"/>
      <c r="G121" s="466"/>
      <c r="H121" s="466"/>
      <c r="I121" s="466"/>
      <c r="J121" s="466"/>
      <c r="K121" s="466"/>
      <c r="L121" s="466"/>
      <c r="M121" s="466"/>
      <c r="N121" s="877"/>
      <c r="O121" s="877"/>
      <c r="P121" s="1771"/>
      <c r="Q121" s="489"/>
    </row>
    <row r="122" spans="1:17" ht="15" thickTop="1">
      <c r="A122" s="408"/>
      <c r="B122" s="468" t="s">
        <v>1744</v>
      </c>
      <c r="C122" s="484"/>
      <c r="D122" s="484"/>
      <c r="E122" s="484"/>
      <c r="F122" s="512"/>
      <c r="G122" s="512"/>
      <c r="H122" s="512"/>
      <c r="I122" s="512"/>
      <c r="J122" s="512"/>
      <c r="K122" s="513"/>
      <c r="L122" s="514"/>
      <c r="M122" s="515"/>
      <c r="N122" s="875"/>
      <c r="O122" s="875"/>
      <c r="P122" s="1770"/>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70"/>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5"/>
      <c r="O124" s="875"/>
      <c r="P124" s="1771"/>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70"/>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71"/>
      <c r="Q126" s="489"/>
    </row>
    <row r="127" spans="1:17" s="407" customFormat="1" ht="15.75" thickBot="1">
      <c r="A127" s="483"/>
      <c r="B127" s="473"/>
      <c r="C127" s="490"/>
      <c r="D127" s="466"/>
      <c r="E127" s="466"/>
      <c r="F127" s="466"/>
      <c r="G127" s="490"/>
      <c r="H127" s="492"/>
      <c r="I127" s="492"/>
      <c r="J127" s="492"/>
      <c r="K127" s="492"/>
      <c r="L127" s="492"/>
      <c r="M127" s="493"/>
      <c r="N127" s="877"/>
      <c r="O127" s="877"/>
      <c r="P127" s="1771"/>
      <c r="Q127" s="489"/>
    </row>
    <row r="128" spans="1:17" ht="15" thickTop="1">
      <c r="A128" s="408"/>
      <c r="B128" s="468">
        <f>B45</f>
        <v>111</v>
      </c>
      <c r="C128" s="484"/>
      <c r="D128" s="484"/>
      <c r="E128" s="484"/>
      <c r="F128" s="484"/>
      <c r="G128" s="512"/>
      <c r="H128" s="512"/>
      <c r="I128" s="512"/>
      <c r="J128" s="512"/>
      <c r="K128" s="513"/>
      <c r="L128" s="514"/>
      <c r="M128" s="515"/>
      <c r="N128" s="875"/>
      <c r="O128" s="875"/>
      <c r="P128" s="1770"/>
      <c r="Q128" s="438"/>
    </row>
    <row r="129" spans="1:17" ht="15.75" thickBot="1">
      <c r="A129" s="366"/>
      <c r="B129" s="473"/>
      <c r="C129" s="490"/>
      <c r="D129" s="490"/>
      <c r="E129" s="490"/>
      <c r="F129" s="490"/>
      <c r="G129" s="466"/>
      <c r="H129" s="466"/>
      <c r="I129" s="466"/>
      <c r="J129" s="466"/>
      <c r="K129" s="466"/>
      <c r="L129" s="466"/>
      <c r="M129" s="467"/>
      <c r="N129" s="876"/>
      <c r="O129" s="876"/>
      <c r="P129" s="1770"/>
      <c r="Q129" s="438"/>
    </row>
    <row r="130" spans="1:17" ht="15" thickTop="1">
      <c r="A130" s="408"/>
      <c r="B130" s="476">
        <f>B46</f>
        <v>111</v>
      </c>
      <c r="C130" s="484"/>
      <c r="D130" s="484"/>
      <c r="E130" s="484"/>
      <c r="F130" s="484"/>
      <c r="G130" s="516"/>
      <c r="H130" s="516"/>
      <c r="I130" s="516"/>
      <c r="J130" s="516"/>
      <c r="K130" s="31"/>
      <c r="L130" s="456"/>
      <c r="M130" s="519"/>
      <c r="N130" s="875"/>
      <c r="O130" s="875"/>
      <c r="P130" s="1770"/>
      <c r="Q130" s="438"/>
    </row>
    <row r="131" spans="1:17" ht="15.75" thickBot="1">
      <c r="A131" s="374"/>
      <c r="B131" s="499"/>
      <c r="C131" s="500"/>
      <c r="D131" s="500"/>
      <c r="E131" s="500"/>
      <c r="F131" s="500"/>
      <c r="G131" s="520"/>
      <c r="H131" s="520"/>
      <c r="I131" s="520"/>
      <c r="J131" s="520"/>
      <c r="K131" s="520"/>
      <c r="L131" s="520"/>
      <c r="M131" s="521"/>
      <c r="N131" s="876"/>
      <c r="O131" s="876"/>
      <c r="P131" s="1770"/>
      <c r="Q131" s="438"/>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8" t="s">
        <v>1749</v>
      </c>
      <c r="D138" s="128" t="s">
        <v>1750</v>
      </c>
      <c r="E138" s="1784" t="s">
        <v>1751</v>
      </c>
      <c r="F138" s="1785" t="s">
        <v>1752</v>
      </c>
      <c r="G138" s="128" t="s">
        <v>1750</v>
      </c>
      <c r="H138" s="129" t="s">
        <v>1751</v>
      </c>
      <c r="I138" s="1786"/>
      <c r="J138" s="128" t="s">
        <v>1753</v>
      </c>
      <c r="K138" s="129" t="s">
        <v>1754</v>
      </c>
    </row>
    <row r="139" spans="1:17" ht="15">
      <c r="B139" s="810">
        <v>6</v>
      </c>
      <c r="C139" s="811">
        <v>96</v>
      </c>
      <c r="D139" s="1787" t="s">
        <v>1755</v>
      </c>
      <c r="E139" s="812">
        <v>100</v>
      </c>
      <c r="F139" s="813">
        <v>102.5</v>
      </c>
      <c r="G139" s="1787" t="s">
        <v>1755</v>
      </c>
      <c r="H139" s="814">
        <v>105</v>
      </c>
      <c r="I139" s="1788" t="s">
        <v>1756</v>
      </c>
      <c r="J139" s="811">
        <v>20</v>
      </c>
      <c r="K139" s="815">
        <f>C145/(J139-2)</f>
        <v>4.0555555555555553E-3</v>
      </c>
    </row>
    <row r="140" spans="1:17" ht="15">
      <c r="B140" s="816">
        <v>5</v>
      </c>
      <c r="C140" s="817">
        <v>100</v>
      </c>
      <c r="D140" s="817"/>
      <c r="E140" s="818"/>
      <c r="F140" s="819">
        <v>102</v>
      </c>
      <c r="G140" s="817"/>
      <c r="H140" s="820"/>
      <c r="I140" s="1789" t="s">
        <v>1757</v>
      </c>
      <c r="J140" s="262">
        <f>ROUNDUP((J139-1)/2,0)</f>
        <v>10</v>
      </c>
      <c r="K140" s="821">
        <v>100</v>
      </c>
    </row>
    <row r="141" spans="1:17" ht="15">
      <c r="B141" s="816">
        <v>4</v>
      </c>
      <c r="C141" s="817">
        <v>102</v>
      </c>
      <c r="D141" s="817"/>
      <c r="E141" s="818"/>
      <c r="F141" s="819">
        <v>101.5</v>
      </c>
      <c r="G141" s="817"/>
      <c r="H141" s="820"/>
      <c r="I141" s="1789" t="s">
        <v>1758</v>
      </c>
      <c r="J141" s="262">
        <v>1</v>
      </c>
      <c r="K141" s="822">
        <f>ROUND(100+(J141-J140)*K139*100,1)</f>
        <v>96.4</v>
      </c>
    </row>
    <row r="142" spans="1:17" ht="15">
      <c r="B142" s="816">
        <v>3</v>
      </c>
      <c r="C142" s="817">
        <v>103</v>
      </c>
      <c r="D142" s="817"/>
      <c r="E142" s="818"/>
      <c r="F142" s="819">
        <v>101</v>
      </c>
      <c r="G142" s="817"/>
      <c r="H142" s="820"/>
      <c r="I142" s="1789" t="s">
        <v>1759</v>
      </c>
      <c r="J142" s="262">
        <f>J139</f>
        <v>20</v>
      </c>
      <c r="K142" s="823">
        <v>95</v>
      </c>
    </row>
    <row r="143" spans="1:17" ht="15">
      <c r="B143" s="816">
        <v>2</v>
      </c>
      <c r="C143" s="817">
        <v>100</v>
      </c>
      <c r="D143" s="817"/>
      <c r="E143" s="818"/>
      <c r="F143" s="819">
        <v>100.5</v>
      </c>
      <c r="G143" s="817"/>
      <c r="H143" s="820"/>
      <c r="I143" s="1789" t="s">
        <v>1760</v>
      </c>
      <c r="J143" s="817">
        <v>15</v>
      </c>
      <c r="K143" s="822">
        <f>ROUND(100+(J143-J140)*K139*100,1)</f>
        <v>102</v>
      </c>
    </row>
    <row r="144" spans="1:17" ht="15">
      <c r="B144" s="816">
        <v>1</v>
      </c>
      <c r="C144" s="817">
        <v>98</v>
      </c>
      <c r="D144" s="1790" t="s">
        <v>1761</v>
      </c>
      <c r="E144" s="818">
        <v>102</v>
      </c>
      <c r="F144" s="824">
        <v>100</v>
      </c>
      <c r="G144" s="1790" t="s">
        <v>1761</v>
      </c>
      <c r="H144" s="820">
        <v>105</v>
      </c>
      <c r="I144" s="1789" t="s">
        <v>1760</v>
      </c>
      <c r="J144" s="817">
        <v>18</v>
      </c>
      <c r="K144" s="822">
        <f>ROUND(100+(J144-J140)*K139*100,1)</f>
        <v>103.2</v>
      </c>
    </row>
    <row r="145" spans="2:11" ht="15.75" thickBot="1">
      <c r="B145" s="1791" t="s">
        <v>1762</v>
      </c>
      <c r="C145" s="825">
        <f>ROUND(MAX(C139:C144)/MIN(C139:C144)-1,3)</f>
        <v>7.2999999999999995E-2</v>
      </c>
      <c r="D145" s="826"/>
      <c r="E145" s="826"/>
      <c r="F145" s="1792" t="s">
        <v>1763</v>
      </c>
      <c r="G145" s="1793"/>
      <c r="H145" s="1794"/>
      <c r="I145" s="1795" t="s">
        <v>1760</v>
      </c>
      <c r="J145" s="827">
        <v>8</v>
      </c>
      <c r="K145" s="828">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1" zoomScale="90" zoomScaleNormal="70" zoomScaleSheetLayoutView="90" workbookViewId="0">
      <selection activeCell="K18" sqref="K1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1766</v>
      </c>
      <c r="C1" s="1151" t="s">
        <v>1662</v>
      </c>
      <c r="D1" s="1138" t="s">
        <v>3567</v>
      </c>
      <c r="E1" s="3119"/>
      <c r="F1" s="1730" t="s">
        <v>3604</v>
      </c>
      <c r="G1" s="1148" t="s">
        <v>1767</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1462</v>
      </c>
      <c r="B2" s="1081" t="b">
        <f>IF(E1="项目模式",IF(C2="——",ROUND(C49*D3/10000,0),ROUND(C49*D3/10000,0)-D2),IF(E1="单套模式",IF(C2="——",ROUND(C49*D3/10000,4),ROUND(C49*D3/10000,4)-D2)))</f>
        <v>0</v>
      </c>
      <c r="C2" s="1732" t="s">
        <v>43</v>
      </c>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1799"/>
      <c r="Q2" s="855"/>
      <c r="R2" s="855"/>
      <c r="S2" s="855"/>
      <c r="T2" s="855"/>
      <c r="U2" s="855"/>
      <c r="V2" s="855"/>
      <c r="W2" s="855"/>
      <c r="X2" s="855"/>
      <c r="Y2" s="855"/>
      <c r="Z2" s="855"/>
      <c r="AA2" s="855"/>
      <c r="AB2" s="855"/>
      <c r="AC2" s="1800"/>
    </row>
    <row r="3" spans="1:29" s="341" customFormat="1" ht="28.5" customHeight="1" thickBot="1">
      <c r="A3" s="194" t="s">
        <v>1464</v>
      </c>
      <c r="B3" s="535">
        <f>IF(C2="——",C49,ROUND(B2*10000/D3,0))</f>
        <v>32939</v>
      </c>
      <c r="C3" s="343" t="s">
        <v>1768</v>
      </c>
      <c r="D3" s="342">
        <f>IF(D1="",'数据-汇总表'!E3,SUMIF('数据-汇总表'!$C19:$C33,D1,'数据-汇总表'!$E19:$E33))</f>
        <v>94.89</v>
      </c>
      <c r="E3" s="1800"/>
      <c r="F3" s="852"/>
      <c r="G3" s="851"/>
      <c r="H3" s="851"/>
      <c r="I3" s="851"/>
      <c r="J3" s="851"/>
      <c r="K3" s="853"/>
      <c r="L3" s="2498"/>
      <c r="M3" s="2499"/>
      <c r="N3" s="2499"/>
      <c r="O3" s="2499"/>
      <c r="P3" s="1799"/>
      <c r="Q3" s="855"/>
      <c r="R3" s="855"/>
      <c r="S3" s="855"/>
      <c r="T3" s="855"/>
      <c r="U3" s="855"/>
      <c r="V3" s="855"/>
      <c r="W3" s="855"/>
      <c r="X3" s="855"/>
      <c r="Y3" s="855"/>
      <c r="Z3" s="855"/>
      <c r="AA3" s="855"/>
      <c r="AB3" s="855"/>
      <c r="AC3" s="1800"/>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35" t="s">
        <v>1775</v>
      </c>
      <c r="Q4" s="3536"/>
      <c r="R4" s="3518" t="s">
        <v>1771</v>
      </c>
      <c r="S4" s="3519"/>
      <c r="T4" s="3518" t="s">
        <v>1772</v>
      </c>
      <c r="U4" s="3519"/>
      <c r="V4" s="3543" t="s">
        <v>1773</v>
      </c>
      <c r="W4" s="3543"/>
      <c r="X4" s="1261"/>
      <c r="Y4" s="3518" t="s">
        <v>1775</v>
      </c>
      <c r="Z4" s="3519"/>
      <c r="AA4" s="3513" t="s">
        <v>1771</v>
      </c>
      <c r="AB4" s="3543" t="s">
        <v>1772</v>
      </c>
      <c r="AC4" s="3513" t="s">
        <v>1773</v>
      </c>
    </row>
    <row r="5" spans="1:29" ht="15">
      <c r="A5" s="347"/>
      <c r="B5" s="348"/>
      <c r="C5" s="3524" t="s">
        <v>1673</v>
      </c>
      <c r="D5" s="3525"/>
      <c r="E5" s="3558" t="s">
        <v>3593</v>
      </c>
      <c r="F5" s="3523"/>
      <c r="G5" s="3558" t="s">
        <v>3593</v>
      </c>
      <c r="H5" s="3523"/>
      <c r="I5" s="3558" t="s">
        <v>3593</v>
      </c>
      <c r="J5" s="3523"/>
      <c r="K5" s="536"/>
      <c r="L5" s="2481"/>
      <c r="M5" s="2482"/>
      <c r="N5" s="2482"/>
      <c r="O5" s="2482"/>
      <c r="P5" s="3537"/>
      <c r="Q5" s="3538"/>
      <c r="R5" s="3520"/>
      <c r="S5" s="3521"/>
      <c r="T5" s="3520"/>
      <c r="U5" s="3521"/>
      <c r="V5" s="3543"/>
      <c r="W5" s="3543"/>
      <c r="X5" s="1261"/>
      <c r="Y5" s="3520"/>
      <c r="Z5" s="3521"/>
      <c r="AA5" s="3514"/>
      <c r="AB5" s="3543"/>
      <c r="AC5" s="351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39"/>
      <c r="Q6" s="3540"/>
      <c r="R6" s="3520"/>
      <c r="S6" s="3521"/>
      <c r="T6" s="3541"/>
      <c r="U6" s="3542"/>
      <c r="V6" s="3543"/>
      <c r="W6" s="3543"/>
      <c r="X6" s="1261"/>
      <c r="Y6" s="3541"/>
      <c r="Z6" s="3542"/>
      <c r="AA6" s="3515"/>
      <c r="AB6" s="3543"/>
      <c r="AC6" s="3515"/>
    </row>
    <row r="7" spans="1:29" s="101" customFormat="1" ht="15.75" thickBot="1">
      <c r="A7" s="351" t="s">
        <v>1679</v>
      </c>
      <c r="B7" s="352"/>
      <c r="C7" s="353">
        <f>'数据-取费表'!B2</f>
        <v>45467</v>
      </c>
      <c r="D7" s="354">
        <v>100</v>
      </c>
      <c r="E7" s="355">
        <v>45444</v>
      </c>
      <c r="F7" s="356">
        <f>SUMIF(58:58,YEAR(E7)&amp;"-"&amp;MONTH(E7),59:59)</f>
        <v>100</v>
      </c>
      <c r="G7" s="355">
        <v>45444</v>
      </c>
      <c r="H7" s="354">
        <f>SUMIF(58:58,YEAR(G7)&amp;"-"&amp;MONTH(G7),59:59)</f>
        <v>100</v>
      </c>
      <c r="I7" s="355">
        <v>45444</v>
      </c>
      <c r="J7" s="354">
        <f>SUMIF(58:58,YEAR(I7)&amp;"-"&amp;MONTH(I7),59:59)</f>
        <v>100</v>
      </c>
      <c r="K7" s="38"/>
      <c r="L7" s="2483"/>
      <c r="M7" s="2434"/>
      <c r="N7" s="2434"/>
      <c r="O7" s="2434"/>
      <c r="P7" s="3516" t="s">
        <v>1680</v>
      </c>
      <c r="Q7" s="3544"/>
      <c r="R7" s="660" t="s">
        <v>14</v>
      </c>
      <c r="S7" s="661">
        <f t="shared" ref="S7:S15" si="0">F7</f>
        <v>100</v>
      </c>
      <c r="T7" s="660" t="s">
        <v>14</v>
      </c>
      <c r="U7" s="661">
        <f t="shared" ref="U7:U15" si="1">H7</f>
        <v>100</v>
      </c>
      <c r="V7" s="660" t="s">
        <v>14</v>
      </c>
      <c r="W7" s="661">
        <f t="shared" ref="W7:W15" si="2">J7</f>
        <v>100</v>
      </c>
      <c r="X7" s="662"/>
      <c r="Y7" s="3516" t="s">
        <v>1680</v>
      </c>
      <c r="Z7" s="3517"/>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516" t="s">
        <v>1683</v>
      </c>
      <c r="Q8" s="3517"/>
      <c r="R8" s="660" t="s">
        <v>14</v>
      </c>
      <c r="S8" s="661">
        <f t="shared" si="0"/>
        <v>100</v>
      </c>
      <c r="T8" s="660" t="s">
        <v>14</v>
      </c>
      <c r="U8" s="661">
        <f t="shared" si="1"/>
        <v>100</v>
      </c>
      <c r="V8" s="660" t="s">
        <v>14</v>
      </c>
      <c r="W8" s="661">
        <f t="shared" si="2"/>
        <v>100</v>
      </c>
      <c r="X8" s="662"/>
      <c r="Y8" s="3516" t="s">
        <v>1683</v>
      </c>
      <c r="Z8" s="3517"/>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3"/>
      <c r="M9" s="2434"/>
      <c r="N9" s="2434"/>
      <c r="O9" s="2434"/>
      <c r="P9" s="3530"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530"/>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6"/>
      <c r="M11" s="2482"/>
      <c r="N11" s="2482"/>
      <c r="O11" s="2482"/>
      <c r="P11" s="3530"/>
      <c r="Q11" s="529" t="str">
        <f t="shared" si="6"/>
        <v>容积率</v>
      </c>
      <c r="R11" s="660" t="s">
        <v>14</v>
      </c>
      <c r="S11" s="661">
        <f t="shared" si="0"/>
        <v>100</v>
      </c>
      <c r="T11" s="660" t="s">
        <v>14</v>
      </c>
      <c r="U11" s="661">
        <f t="shared" si="1"/>
        <v>100</v>
      </c>
      <c r="V11" s="660" t="s">
        <v>14</v>
      </c>
      <c r="W11" s="661">
        <f t="shared" si="2"/>
        <v>100</v>
      </c>
      <c r="X11" s="662"/>
      <c r="Y11" s="346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530"/>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530"/>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530"/>
      <c r="Q14" s="529">
        <f t="shared" si="6"/>
        <v>111</v>
      </c>
      <c r="R14" s="660" t="s">
        <v>14</v>
      </c>
      <c r="S14" s="661">
        <f t="shared" si="0"/>
        <v>100</v>
      </c>
      <c r="T14" s="660" t="s">
        <v>14</v>
      </c>
      <c r="U14" s="661">
        <f t="shared" si="1"/>
        <v>100</v>
      </c>
      <c r="V14" s="660" t="s">
        <v>14</v>
      </c>
      <c r="W14" s="661">
        <f t="shared" si="2"/>
        <v>100</v>
      </c>
      <c r="X14" s="662"/>
      <c r="Y14" s="3460"/>
      <c r="Z14" s="50">
        <f t="shared" si="7"/>
        <v>111</v>
      </c>
      <c r="AA14" s="50">
        <f t="shared" si="3"/>
        <v>1</v>
      </c>
      <c r="AB14" s="50">
        <f t="shared" si="4"/>
        <v>1</v>
      </c>
      <c r="AC14" s="50">
        <f t="shared" si="5"/>
        <v>1</v>
      </c>
    </row>
    <row r="15" spans="1:29" ht="60.75" customHeight="1">
      <c r="A15" s="378" t="s">
        <v>1690</v>
      </c>
      <c r="B15" s="57" t="s">
        <v>1777</v>
      </c>
      <c r="C15" s="1745"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7"/>
      <c r="M15" s="2482"/>
      <c r="N15" s="2482"/>
      <c r="O15" s="2482"/>
      <c r="P15" s="3556" t="s">
        <v>1691</v>
      </c>
      <c r="Q15" s="1259" t="str">
        <f t="shared" si="6"/>
        <v>商业繁华度</v>
      </c>
      <c r="R15" s="663" t="s">
        <v>14</v>
      </c>
      <c r="S15" s="664">
        <f t="shared" si="0"/>
        <v>105</v>
      </c>
      <c r="T15" s="663" t="s">
        <v>14</v>
      </c>
      <c r="U15" s="664">
        <f t="shared" si="1"/>
        <v>105</v>
      </c>
      <c r="V15" s="663" t="s">
        <v>14</v>
      </c>
      <c r="W15" s="664">
        <f t="shared" si="2"/>
        <v>105</v>
      </c>
      <c r="X15" s="1261"/>
      <c r="Y15" s="3549" t="s">
        <v>1691</v>
      </c>
      <c r="Z15" s="1260" t="str">
        <f t="shared" si="7"/>
        <v>商业繁华度</v>
      </c>
      <c r="AA15" s="1260">
        <f t="shared" si="3"/>
        <v>0.95238095238095233</v>
      </c>
      <c r="AB15" s="1260">
        <f t="shared" si="4"/>
        <v>0.95238095238095233</v>
      </c>
      <c r="AC15" s="1260">
        <f t="shared" si="5"/>
        <v>0.95238095238095233</v>
      </c>
    </row>
    <row r="16" spans="1:29" ht="15">
      <c r="A16" s="366"/>
      <c r="B16" s="384"/>
      <c r="C16" s="385" t="s">
        <v>3578</v>
      </c>
      <c r="D16" s="386"/>
      <c r="E16" s="385" t="s">
        <v>3585</v>
      </c>
      <c r="F16" s="387"/>
      <c r="G16" s="385" t="s">
        <v>3585</v>
      </c>
      <c r="H16" s="388"/>
      <c r="I16" s="385" t="s">
        <v>3585</v>
      </c>
      <c r="J16" s="386"/>
      <c r="K16" s="540"/>
      <c r="L16" s="2487"/>
      <c r="M16" s="2482"/>
      <c r="N16" s="2482"/>
      <c r="O16" s="2482"/>
      <c r="P16" s="3557"/>
      <c r="Q16" s="1259"/>
      <c r="R16" s="663"/>
      <c r="S16" s="664"/>
      <c r="T16" s="663"/>
      <c r="U16" s="664"/>
      <c r="V16" s="663"/>
      <c r="W16" s="664"/>
      <c r="X16" s="1261"/>
      <c r="Y16" s="3550"/>
      <c r="Z16" s="1260"/>
      <c r="AA16" s="1260">
        <v>1</v>
      </c>
      <c r="AB16" s="1260">
        <v>1</v>
      </c>
      <c r="AC16" s="1260">
        <v>1</v>
      </c>
    </row>
    <row r="17" spans="1:29" ht="36" customHeight="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0"/>
      <c r="F17" s="391">
        <f>SUMIF(78:78,E18,79:79)-SUMIF(78:78,C18,79:79)+100</f>
        <v>105</v>
      </c>
      <c r="G17" s="392"/>
      <c r="H17" s="393">
        <f>SUMIF(78:78,G18,79:79)-SUMIF(78:78,C18,79:79)+100</f>
        <v>105</v>
      </c>
      <c r="I17" s="390"/>
      <c r="J17" s="393">
        <f>SUMIF(78:78,I18,79:79)-SUMIF(78:78,C18,79:79)+100</f>
        <v>105</v>
      </c>
      <c r="K17" s="539">
        <v>5</v>
      </c>
      <c r="L17" s="2487"/>
      <c r="M17" s="2482"/>
      <c r="N17" s="2482"/>
      <c r="O17" s="2482"/>
      <c r="P17" s="3557"/>
      <c r="Q17" s="1259" t="str">
        <f>B17</f>
        <v>交通便捷度</v>
      </c>
      <c r="R17" s="663" t="s">
        <v>14</v>
      </c>
      <c r="S17" s="664">
        <f>F17</f>
        <v>105</v>
      </c>
      <c r="T17" s="663" t="s">
        <v>14</v>
      </c>
      <c r="U17" s="664">
        <f>H17</f>
        <v>105</v>
      </c>
      <c r="V17" s="663" t="s">
        <v>14</v>
      </c>
      <c r="W17" s="664">
        <f>J17</f>
        <v>105</v>
      </c>
      <c r="X17" s="1261"/>
      <c r="Y17" s="3550"/>
      <c r="Z17" s="1260" t="str">
        <f>Q17</f>
        <v>交通便捷度</v>
      </c>
      <c r="AA17" s="1260">
        <f t="shared" si="3"/>
        <v>0.95238095238095233</v>
      </c>
      <c r="AB17" s="1260">
        <f t="shared" si="4"/>
        <v>0.95238095238095233</v>
      </c>
      <c r="AC17" s="1260">
        <f t="shared" si="5"/>
        <v>0.95238095238095233</v>
      </c>
    </row>
    <row r="18" spans="1:29" ht="15">
      <c r="A18" s="366"/>
      <c r="B18" s="394"/>
      <c r="C18" s="1750" t="s">
        <v>3578</v>
      </c>
      <c r="D18" s="388"/>
      <c r="E18" s="1750" t="s">
        <v>3585</v>
      </c>
      <c r="F18" s="391"/>
      <c r="G18" s="1750" t="s">
        <v>3585</v>
      </c>
      <c r="H18" s="386"/>
      <c r="I18" s="1750" t="s">
        <v>3585</v>
      </c>
      <c r="J18" s="386"/>
      <c r="K18" s="540"/>
      <c r="L18" s="2487"/>
      <c r="M18" s="2482"/>
      <c r="N18" s="2482"/>
      <c r="O18" s="2482"/>
      <c r="P18" s="3557"/>
      <c r="Q18" s="1259"/>
      <c r="R18" s="663"/>
      <c r="S18" s="664"/>
      <c r="T18" s="663"/>
      <c r="U18" s="664"/>
      <c r="V18" s="663"/>
      <c r="W18" s="664"/>
      <c r="X18" s="1261"/>
      <c r="Y18" s="3550"/>
      <c r="Z18" s="1260"/>
      <c r="AA18" s="1260">
        <v>1</v>
      </c>
      <c r="AB18" s="1260">
        <v>1</v>
      </c>
      <c r="AC18" s="1260">
        <v>1</v>
      </c>
    </row>
    <row r="19" spans="1:29" ht="62.25" customHeight="1">
      <c r="A19" s="366"/>
      <c r="B19" s="389" t="s">
        <v>1778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557"/>
      <c r="Q19" s="1259" t="str">
        <f>B19</f>
        <v>公共配套设施</v>
      </c>
      <c r="R19" s="663" t="s">
        <v>14</v>
      </c>
      <c r="S19" s="664">
        <f>F19</f>
        <v>100</v>
      </c>
      <c r="T19" s="663" t="s">
        <v>14</v>
      </c>
      <c r="U19" s="664">
        <f>H19</f>
        <v>100</v>
      </c>
      <c r="V19" s="663" t="s">
        <v>14</v>
      </c>
      <c r="W19" s="664">
        <f>J19</f>
        <v>100</v>
      </c>
      <c r="X19" s="1261"/>
      <c r="Y19" s="3550"/>
      <c r="Z19" s="1260" t="str">
        <f>Q19</f>
        <v>公共配套设施</v>
      </c>
      <c r="AA19" s="1260">
        <f t="shared" si="3"/>
        <v>1</v>
      </c>
      <c r="AB19" s="1260">
        <f t="shared" si="4"/>
        <v>1</v>
      </c>
      <c r="AC19" s="1260">
        <f t="shared" si="5"/>
        <v>1</v>
      </c>
    </row>
    <row r="20" spans="1:29" ht="15">
      <c r="A20" s="366"/>
      <c r="B20" s="394"/>
      <c r="C20" s="385" t="s">
        <v>3585</v>
      </c>
      <c r="D20" s="386"/>
      <c r="E20" s="385" t="s">
        <v>3585</v>
      </c>
      <c r="F20" s="387"/>
      <c r="G20" s="385" t="s">
        <v>3585</v>
      </c>
      <c r="H20" s="386"/>
      <c r="I20" s="385" t="s">
        <v>3585</v>
      </c>
      <c r="J20" s="386"/>
      <c r="K20" s="540"/>
      <c r="L20" s="2487"/>
      <c r="M20" s="2482"/>
      <c r="N20" s="2482"/>
      <c r="O20" s="2482"/>
      <c r="P20" s="3557"/>
      <c r="Q20" s="1259"/>
      <c r="R20" s="663"/>
      <c r="S20" s="664"/>
      <c r="T20" s="663"/>
      <c r="U20" s="664"/>
      <c r="V20" s="663"/>
      <c r="W20" s="664"/>
      <c r="X20" s="1261"/>
      <c r="Y20" s="3550"/>
      <c r="Z20" s="1260"/>
      <c r="AA20" s="1260">
        <v>1</v>
      </c>
      <c r="AB20" s="1260">
        <v>1</v>
      </c>
      <c r="AC20" s="1260">
        <v>1</v>
      </c>
    </row>
    <row r="21" spans="1:29" ht="42.75">
      <c r="A21" s="366"/>
      <c r="B21" s="584" t="s">
        <v>1779</v>
      </c>
      <c r="C21" s="1749"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557"/>
      <c r="Q21" s="1259" t="str">
        <f>B21</f>
        <v>基础设施水平</v>
      </c>
      <c r="R21" s="663" t="s">
        <v>14</v>
      </c>
      <c r="S21" s="664">
        <f>F21</f>
        <v>100</v>
      </c>
      <c r="T21" s="663" t="s">
        <v>14</v>
      </c>
      <c r="U21" s="664">
        <f>H21</f>
        <v>100</v>
      </c>
      <c r="V21" s="663" t="s">
        <v>14</v>
      </c>
      <c r="W21" s="664">
        <f>J21</f>
        <v>100</v>
      </c>
      <c r="X21" s="1261"/>
      <c r="Y21" s="3550"/>
      <c r="Z21" s="1260" t="str">
        <f>Q21</f>
        <v>基础设施水平</v>
      </c>
      <c r="AA21" s="1260">
        <f t="shared" ref="AA21" si="8">D21/F21</f>
        <v>1</v>
      </c>
      <c r="AB21" s="1260">
        <f t="shared" ref="AB21" si="9">D21/H21</f>
        <v>1</v>
      </c>
      <c r="AC21" s="1260">
        <f t="shared" ref="AC21" si="10">D21/J21</f>
        <v>1</v>
      </c>
    </row>
    <row r="22" spans="1:29" ht="15">
      <c r="A22" s="366"/>
      <c r="B22" s="584"/>
      <c r="C22" s="1750" t="s">
        <v>3594</v>
      </c>
      <c r="D22" s="386"/>
      <c r="E22" s="1750" t="s">
        <v>3594</v>
      </c>
      <c r="F22" s="387"/>
      <c r="G22" s="1750" t="s">
        <v>3594</v>
      </c>
      <c r="H22" s="386"/>
      <c r="I22" s="1750" t="s">
        <v>3594</v>
      </c>
      <c r="J22" s="386"/>
      <c r="K22" s="1060"/>
      <c r="L22" s="2487"/>
      <c r="M22" s="2482"/>
      <c r="N22" s="2482"/>
      <c r="O22" s="2482"/>
      <c r="P22" s="3557"/>
      <c r="Q22" s="1259"/>
      <c r="R22" s="663"/>
      <c r="S22" s="664"/>
      <c r="T22" s="663"/>
      <c r="U22" s="664"/>
      <c r="V22" s="663"/>
      <c r="W22" s="664"/>
      <c r="X22" s="1261"/>
      <c r="Y22" s="3550"/>
      <c r="Z22" s="1260"/>
      <c r="AA22" s="1260">
        <v>1</v>
      </c>
      <c r="AB22" s="1260">
        <v>1</v>
      </c>
      <c r="AC22" s="1260">
        <v>1</v>
      </c>
    </row>
    <row r="23" spans="1:29" ht="32.25" customHeight="1">
      <c r="A23" s="366"/>
      <c r="B23" s="389" t="s">
        <v>1261</v>
      </c>
      <c r="C23" s="1801" t="str">
        <f>估价对象房地状况!C9</f>
        <v>估价对象周边有帽子公园、新中街城市森林公园等绿化景观，北京工人体育场、农业展览馆等人文场所，综合评价环境状况较好。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557"/>
      <c r="Q23" s="1259" t="str">
        <f>B23</f>
        <v>自然及人文环境</v>
      </c>
      <c r="R23" s="663" t="s">
        <v>14</v>
      </c>
      <c r="S23" s="664">
        <f>F23</f>
        <v>100</v>
      </c>
      <c r="T23" s="663" t="s">
        <v>14</v>
      </c>
      <c r="U23" s="664">
        <f>H23</f>
        <v>100</v>
      </c>
      <c r="V23" s="663" t="s">
        <v>14</v>
      </c>
      <c r="W23" s="664">
        <f>J23</f>
        <v>100</v>
      </c>
      <c r="X23" s="1261"/>
      <c r="Y23" s="3550"/>
      <c r="Z23" s="1260" t="str">
        <f>Q23</f>
        <v>自然及人文环境</v>
      </c>
      <c r="AA23" s="1260">
        <f t="shared" si="3"/>
        <v>1</v>
      </c>
      <c r="AB23" s="1260">
        <f t="shared" si="4"/>
        <v>1</v>
      </c>
      <c r="AC23" s="1260">
        <f t="shared" si="5"/>
        <v>1</v>
      </c>
    </row>
    <row r="24" spans="1:29" ht="15">
      <c r="A24" s="366"/>
      <c r="B24" s="394"/>
      <c r="C24" s="385" t="s">
        <v>3578</v>
      </c>
      <c r="D24" s="386"/>
      <c r="E24" s="385" t="s">
        <v>3578</v>
      </c>
      <c r="F24" s="387"/>
      <c r="G24" s="385" t="s">
        <v>3578</v>
      </c>
      <c r="H24" s="386"/>
      <c r="I24" s="385" t="s">
        <v>3578</v>
      </c>
      <c r="J24" s="386"/>
      <c r="K24" s="540"/>
      <c r="L24" s="2487"/>
      <c r="M24" s="2482"/>
      <c r="N24" s="2482"/>
      <c r="O24" s="2482"/>
      <c r="P24" s="3557"/>
      <c r="Q24" s="1259"/>
      <c r="R24" s="663"/>
      <c r="S24" s="664"/>
      <c r="T24" s="663"/>
      <c r="U24" s="664"/>
      <c r="V24" s="663"/>
      <c r="W24" s="664"/>
      <c r="X24" s="1261"/>
      <c r="Y24" s="3550"/>
      <c r="Z24" s="1260"/>
      <c r="AA24" s="1260">
        <v>1</v>
      </c>
      <c r="AB24" s="1260">
        <v>1</v>
      </c>
      <c r="AC24" s="1260">
        <v>1</v>
      </c>
    </row>
    <row r="25" spans="1:29" ht="15">
      <c r="A25" s="366"/>
      <c r="B25" s="363" t="s">
        <v>1780</v>
      </c>
      <c r="C25" s="541" t="s">
        <v>3666</v>
      </c>
      <c r="D25" s="373">
        <v>100</v>
      </c>
      <c r="E25" s="541" t="s">
        <v>3666</v>
      </c>
      <c r="F25" s="399">
        <f>SUMIF(86:86,E25,87:87)-SUMIF(86:86,C25,87:87)+100</f>
        <v>100</v>
      </c>
      <c r="G25" s="541" t="s">
        <v>3666</v>
      </c>
      <c r="H25" s="373">
        <f>SUMIF(86:86,G25,87:87)-SUMIF(86:86,C25,87:87)+100</f>
        <v>100</v>
      </c>
      <c r="I25" s="541" t="s">
        <v>3666</v>
      </c>
      <c r="J25" s="373">
        <f>SUMIF(86:86,I25,87:87)-SUMIF(86:86,C25,87:87)+100</f>
        <v>100</v>
      </c>
      <c r="K25" s="537">
        <v>5</v>
      </c>
      <c r="L25" s="2487"/>
      <c r="M25" s="2482"/>
      <c r="N25" s="2482"/>
      <c r="O25" s="2482"/>
      <c r="P25" s="3557"/>
      <c r="Q25" s="1259" t="str">
        <f t="shared" ref="Q25:Q46" si="11">B25</f>
        <v>临街状况</v>
      </c>
      <c r="R25" s="663" t="s">
        <v>14</v>
      </c>
      <c r="S25" s="664">
        <f>F25</f>
        <v>100</v>
      </c>
      <c r="T25" s="663" t="s">
        <v>14</v>
      </c>
      <c r="U25" s="664">
        <f>H25</f>
        <v>100</v>
      </c>
      <c r="V25" s="663" t="s">
        <v>14</v>
      </c>
      <c r="W25" s="664">
        <f>J25</f>
        <v>100</v>
      </c>
      <c r="X25" s="1261"/>
      <c r="Y25" s="3550"/>
      <c r="Z25" s="1260" t="str">
        <f>Q25</f>
        <v>临街状况</v>
      </c>
      <c r="AA25" s="1260">
        <f t="shared" si="3"/>
        <v>1</v>
      </c>
      <c r="AB25" s="1260">
        <f t="shared" si="4"/>
        <v>1</v>
      </c>
      <c r="AC25" s="1260">
        <f t="shared" si="5"/>
        <v>1</v>
      </c>
    </row>
    <row r="26" spans="1:29" ht="15">
      <c r="A26" s="366"/>
      <c r="B26" s="3239" t="s">
        <v>1781</v>
      </c>
      <c r="C26" s="3237" t="s">
        <v>3599</v>
      </c>
      <c r="D26" s="373">
        <v>100</v>
      </c>
      <c r="E26" s="3237" t="s">
        <v>3651</v>
      </c>
      <c r="F26" s="399">
        <f>SUMIF(88:88,E26,89:89)-SUMIF(88:88,C26,89:89)+100</f>
        <v>105</v>
      </c>
      <c r="G26" s="3237" t="s">
        <v>3651</v>
      </c>
      <c r="H26" s="373">
        <f>SUMIF(88:88,G26,89:89)-SUMIF(88:88,C26,89:89)+100</f>
        <v>105</v>
      </c>
      <c r="I26" s="3237" t="s">
        <v>3651</v>
      </c>
      <c r="J26" s="373">
        <f>SUMIF(88:88,I26,89:89)-SUMIF(88:88,C26,89:89)+100</f>
        <v>105</v>
      </c>
      <c r="K26" s="538"/>
      <c r="L26" s="2487"/>
      <c r="M26" s="2482"/>
      <c r="N26" s="2482"/>
      <c r="O26" s="2482"/>
      <c r="P26" s="3557"/>
      <c r="Q26" s="1259" t="str">
        <f t="shared" si="11"/>
        <v>平面位置/可视性</v>
      </c>
      <c r="R26" s="663" t="s">
        <v>14</v>
      </c>
      <c r="S26" s="664">
        <f>F26</f>
        <v>105</v>
      </c>
      <c r="T26" s="663" t="s">
        <v>14</v>
      </c>
      <c r="U26" s="664">
        <f>H26</f>
        <v>105</v>
      </c>
      <c r="V26" s="663" t="s">
        <v>14</v>
      </c>
      <c r="W26" s="664">
        <f>J26</f>
        <v>105</v>
      </c>
      <c r="X26" s="1261"/>
      <c r="Y26" s="3550"/>
      <c r="Z26" s="1260" t="str">
        <f>Q26</f>
        <v>平面位置/可视性</v>
      </c>
      <c r="AA26" s="1260">
        <f t="shared" si="3"/>
        <v>0.95238095238095233</v>
      </c>
      <c r="AB26" s="1260">
        <f t="shared" si="4"/>
        <v>0.95238095238095233</v>
      </c>
      <c r="AC26" s="1260">
        <f t="shared" si="5"/>
        <v>0.95238095238095233</v>
      </c>
    </row>
    <row r="27" spans="1:29" s="101" customFormat="1" ht="15">
      <c r="A27" s="369"/>
      <c r="B27" s="389" t="s">
        <v>1782</v>
      </c>
      <c r="C27" s="1802" t="s">
        <v>3577</v>
      </c>
      <c r="D27" s="400">
        <v>100</v>
      </c>
      <c r="E27" s="1802" t="s">
        <v>3597</v>
      </c>
      <c r="F27" s="394">
        <f>SUMIF(90:90,E27,91:91)-SUMIF(90:90,C27,91:91)+100</f>
        <v>105</v>
      </c>
      <c r="G27" s="1802" t="s">
        <v>3597</v>
      </c>
      <c r="H27" s="400">
        <f>SUMIF(90:90,G27,91:91)-SUMIF(90:90,C27,91:91)+100</f>
        <v>105</v>
      </c>
      <c r="I27" s="1802" t="s">
        <v>3597</v>
      </c>
      <c r="J27" s="400">
        <f>SUMIF(90:90,I27,91:91)-SUMIF(90:90,C27,91:91)+100</f>
        <v>105</v>
      </c>
      <c r="K27" s="537">
        <v>5</v>
      </c>
      <c r="L27" s="2483"/>
      <c r="M27" s="2434"/>
      <c r="N27" s="2434"/>
      <c r="O27" s="2434"/>
      <c r="P27" s="3557"/>
      <c r="Q27" s="529" t="str">
        <f t="shared" si="11"/>
        <v>人流量</v>
      </c>
      <c r="R27" s="660" t="s">
        <v>14</v>
      </c>
      <c r="S27" s="661">
        <f>F27</f>
        <v>105</v>
      </c>
      <c r="T27" s="660" t="s">
        <v>14</v>
      </c>
      <c r="U27" s="661">
        <f>H27</f>
        <v>105</v>
      </c>
      <c r="V27" s="660" t="s">
        <v>14</v>
      </c>
      <c r="W27" s="661">
        <f>J27</f>
        <v>105</v>
      </c>
      <c r="X27" s="662"/>
      <c r="Y27" s="3550"/>
      <c r="Z27" s="50" t="str">
        <f>Q27</f>
        <v>人流量</v>
      </c>
      <c r="AA27" s="1260">
        <f>D27/F27</f>
        <v>0.95238095238095233</v>
      </c>
      <c r="AB27" s="1260">
        <f>D27/H27</f>
        <v>0.95238095238095233</v>
      </c>
      <c r="AC27" s="1260">
        <f>D27/J27</f>
        <v>0.95238095238095233</v>
      </c>
    </row>
    <row r="28" spans="1:29" ht="15">
      <c r="A28" s="366"/>
      <c r="B28" s="363" t="s">
        <v>1783</v>
      </c>
      <c r="C28" s="541" t="s">
        <v>3435</v>
      </c>
      <c r="D28" s="373">
        <v>100</v>
      </c>
      <c r="E28" s="541" t="s">
        <v>3435</v>
      </c>
      <c r="F28" s="399">
        <f>SUMIF(92:92,E28,93:93)-SUMIF(92:92,C28,93:93)+100</f>
        <v>100</v>
      </c>
      <c r="G28" s="541" t="s">
        <v>3435</v>
      </c>
      <c r="H28" s="373">
        <f>SUMIF(92:92,G28,93:93)-SUMIF(92:92,C28,93:93)+100</f>
        <v>100</v>
      </c>
      <c r="I28" s="541" t="s">
        <v>3435</v>
      </c>
      <c r="J28" s="373">
        <f>SUMIF(92:92,I28,93:93)-SUMIF(92:92,C28,93:93)+100</f>
        <v>100</v>
      </c>
      <c r="K28" s="538"/>
      <c r="L28" s="2487"/>
      <c r="M28" s="2482"/>
      <c r="N28" s="2482"/>
      <c r="O28" s="2482"/>
      <c r="P28" s="3557"/>
      <c r="Q28" s="1259" t="str">
        <f t="shared" si="11"/>
        <v>楼层</v>
      </c>
      <c r="R28" s="663" t="s">
        <v>14</v>
      </c>
      <c r="S28" s="664">
        <f t="shared" ref="S28:S46" si="12">F28</f>
        <v>100</v>
      </c>
      <c r="T28" s="663" t="s">
        <v>14</v>
      </c>
      <c r="U28" s="664">
        <f t="shared" ref="U28:U46" si="13">H28</f>
        <v>100</v>
      </c>
      <c r="V28" s="663" t="s">
        <v>14</v>
      </c>
      <c r="W28" s="664">
        <f t="shared" ref="W28:W46" si="14">J28</f>
        <v>100</v>
      </c>
      <c r="X28" s="1261"/>
      <c r="Y28" s="3550"/>
      <c r="Z28" s="1260" t="str">
        <f t="shared" ref="Z28:Z46" si="15">Q28</f>
        <v>楼层</v>
      </c>
      <c r="AA28" s="1260">
        <f t="shared" si="3"/>
        <v>1</v>
      </c>
      <c r="AB28" s="1260">
        <f t="shared" si="4"/>
        <v>1</v>
      </c>
      <c r="AC28" s="1260">
        <f t="shared" si="5"/>
        <v>1</v>
      </c>
    </row>
    <row r="29" spans="1:29" ht="15">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557"/>
      <c r="Q29" s="1259">
        <f t="shared" si="11"/>
        <v>111</v>
      </c>
      <c r="R29" s="663" t="s">
        <v>14</v>
      </c>
      <c r="S29" s="664">
        <f t="shared" si="12"/>
        <v>100</v>
      </c>
      <c r="T29" s="663" t="s">
        <v>14</v>
      </c>
      <c r="U29" s="664">
        <f t="shared" si="13"/>
        <v>100</v>
      </c>
      <c r="V29" s="663" t="s">
        <v>14</v>
      </c>
      <c r="W29" s="664">
        <f t="shared" si="14"/>
        <v>100</v>
      </c>
      <c r="X29" s="1261"/>
      <c r="Y29" s="3550"/>
      <c r="Z29" s="1260">
        <f t="shared" si="15"/>
        <v>111</v>
      </c>
      <c r="AA29" s="1260">
        <f t="shared" si="3"/>
        <v>1</v>
      </c>
      <c r="AB29" s="1260">
        <f t="shared" si="4"/>
        <v>1</v>
      </c>
      <c r="AC29" s="1260">
        <f t="shared" si="5"/>
        <v>1</v>
      </c>
    </row>
    <row r="30" spans="1:29" ht="15">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557"/>
      <c r="Q30" s="1259">
        <f t="shared" si="11"/>
        <v>111</v>
      </c>
      <c r="R30" s="663" t="s">
        <v>14</v>
      </c>
      <c r="S30" s="664">
        <f t="shared" si="12"/>
        <v>100</v>
      </c>
      <c r="T30" s="663" t="s">
        <v>14</v>
      </c>
      <c r="U30" s="664">
        <f t="shared" si="13"/>
        <v>100</v>
      </c>
      <c r="V30" s="663" t="s">
        <v>14</v>
      </c>
      <c r="W30" s="664">
        <f t="shared" si="14"/>
        <v>100</v>
      </c>
      <c r="X30" s="1261"/>
      <c r="Y30" s="3550"/>
      <c r="Z30" s="1260">
        <f t="shared" si="15"/>
        <v>111</v>
      </c>
      <c r="AA30" s="1260">
        <f t="shared" si="3"/>
        <v>1</v>
      </c>
      <c r="AB30" s="1260">
        <f t="shared" si="4"/>
        <v>1</v>
      </c>
      <c r="AC30" s="1260">
        <f t="shared" si="5"/>
        <v>1</v>
      </c>
    </row>
    <row r="31" spans="1:29" ht="15.75"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557"/>
      <c r="Q31" s="1259">
        <f t="shared" si="11"/>
        <v>111</v>
      </c>
      <c r="R31" s="663" t="s">
        <v>14</v>
      </c>
      <c r="S31" s="664">
        <f t="shared" si="12"/>
        <v>100</v>
      </c>
      <c r="T31" s="663" t="s">
        <v>14</v>
      </c>
      <c r="U31" s="664">
        <f t="shared" si="13"/>
        <v>100</v>
      </c>
      <c r="V31" s="663" t="s">
        <v>14</v>
      </c>
      <c r="W31" s="664">
        <f t="shared" si="14"/>
        <v>100</v>
      </c>
      <c r="X31" s="1261"/>
      <c r="Y31" s="3550"/>
      <c r="Z31" s="1260">
        <f t="shared" si="15"/>
        <v>111</v>
      </c>
      <c r="AA31" s="1260">
        <f t="shared" si="3"/>
        <v>1</v>
      </c>
      <c r="AB31" s="1260">
        <f t="shared" si="4"/>
        <v>1</v>
      </c>
      <c r="AC31" s="1260">
        <f t="shared" si="5"/>
        <v>1</v>
      </c>
    </row>
    <row r="32" spans="1:29" ht="15">
      <c r="A32" s="378" t="s">
        <v>1694</v>
      </c>
      <c r="B32" s="59" t="s">
        <v>1784</v>
      </c>
      <c r="C32" s="1759" t="s">
        <v>3566</v>
      </c>
      <c r="D32" s="404">
        <v>100</v>
      </c>
      <c r="E32" s="1759" t="s">
        <v>3602</v>
      </c>
      <c r="F32" s="399">
        <f>SUMIF(100:100,E32,101:101)-SUMIF(100:100,C32,101:101)+100</f>
        <v>105</v>
      </c>
      <c r="G32" s="1759" t="s">
        <v>3602</v>
      </c>
      <c r="H32" s="373">
        <f>SUMIF(100:100,G32,101:101)-SUMIF(100:100,C32,101:101)+100</f>
        <v>105</v>
      </c>
      <c r="I32" s="1759" t="s">
        <v>3602</v>
      </c>
      <c r="J32" s="404">
        <f>SUMIF(100:100,I32,101:101)-SUMIF(100:100,C32,101:101)+100</f>
        <v>105</v>
      </c>
      <c r="K32" s="537">
        <v>5</v>
      </c>
      <c r="L32" s="2487"/>
      <c r="M32" s="2482"/>
      <c r="N32" s="2482"/>
      <c r="O32" s="2482"/>
      <c r="P32" s="3551" t="s">
        <v>1696</v>
      </c>
      <c r="Q32" s="1259" t="str">
        <f t="shared" si="11"/>
        <v>商业类型</v>
      </c>
      <c r="R32" s="663" t="s">
        <v>14</v>
      </c>
      <c r="S32" s="664">
        <f t="shared" si="12"/>
        <v>105</v>
      </c>
      <c r="T32" s="663" t="s">
        <v>14</v>
      </c>
      <c r="U32" s="664">
        <f t="shared" si="13"/>
        <v>105</v>
      </c>
      <c r="V32" s="663" t="s">
        <v>14</v>
      </c>
      <c r="W32" s="664">
        <f t="shared" si="14"/>
        <v>105</v>
      </c>
      <c r="X32" s="1261"/>
      <c r="Y32" s="3554" t="s">
        <v>1696</v>
      </c>
      <c r="Z32" s="1260" t="str">
        <f t="shared" si="15"/>
        <v>商业类型</v>
      </c>
      <c r="AA32" s="1260">
        <f t="shared" si="3"/>
        <v>0.95238095238095233</v>
      </c>
      <c r="AB32" s="1260">
        <f t="shared" si="4"/>
        <v>0.95238095238095233</v>
      </c>
      <c r="AC32" s="1260">
        <f t="shared" si="5"/>
        <v>0.95238095238095233</v>
      </c>
    </row>
    <row r="33" spans="1:29" s="407" customFormat="1" ht="15">
      <c r="A33" s="405"/>
      <c r="B33" s="363" t="s">
        <v>1697</v>
      </c>
      <c r="C33" s="406">
        <f>铂郡面积表!E4</f>
        <v>94.89</v>
      </c>
      <c r="D33" s="118">
        <v>100</v>
      </c>
      <c r="E33" s="368">
        <f>Sheet1!N15</f>
        <v>188.56</v>
      </c>
      <c r="F33" s="363">
        <f>LOOKUP(E33,103:103,104:104)-LOOKUP(C33,103:103,104:104)+100</f>
        <v>99</v>
      </c>
      <c r="G33" s="367">
        <f>Sheet1!N16</f>
        <v>240</v>
      </c>
      <c r="H33" s="118">
        <f>LOOKUP(G33,103:103,104:104)-LOOKUP(C33,103:103,104:104)+100</f>
        <v>98</v>
      </c>
      <c r="I33" s="367">
        <f>Sheet1!N17</f>
        <v>388</v>
      </c>
      <c r="J33" s="118">
        <f>LOOKUP(I33,103:103,104:104)-LOOKUP(C33,103:103,104:104)+100</f>
        <v>97</v>
      </c>
      <c r="K33" s="538"/>
      <c r="L33" s="2486"/>
      <c r="M33" s="2488"/>
      <c r="N33" s="2488"/>
      <c r="O33" s="2488"/>
      <c r="P33" s="3552"/>
      <c r="Q33" s="530" t="str">
        <f t="shared" si="11"/>
        <v>项目建筑规模</v>
      </c>
      <c r="R33" s="665" t="s">
        <v>14</v>
      </c>
      <c r="S33" s="666">
        <f t="shared" si="12"/>
        <v>99</v>
      </c>
      <c r="T33" s="665" t="s">
        <v>14</v>
      </c>
      <c r="U33" s="666">
        <f t="shared" si="13"/>
        <v>98</v>
      </c>
      <c r="V33" s="665" t="s">
        <v>14</v>
      </c>
      <c r="W33" s="666">
        <f t="shared" si="14"/>
        <v>97</v>
      </c>
      <c r="X33" s="667"/>
      <c r="Y33" s="3554"/>
      <c r="Z33" s="668" t="str">
        <f t="shared" si="15"/>
        <v>项目建筑规模</v>
      </c>
      <c r="AA33" s="1260">
        <f t="shared" si="3"/>
        <v>1.0101010101010102</v>
      </c>
      <c r="AB33" s="1260">
        <f t="shared" si="4"/>
        <v>1.0204081632653061</v>
      </c>
      <c r="AC33" s="1260">
        <f t="shared" si="5"/>
        <v>1.0309278350515463</v>
      </c>
    </row>
    <row r="34" spans="1:29" ht="15">
      <c r="A34" s="408"/>
      <c r="B34" s="363" t="s">
        <v>1698</v>
      </c>
      <c r="C34" s="398" t="s">
        <v>3607</v>
      </c>
      <c r="D34" s="373">
        <v>100</v>
      </c>
      <c r="E34" s="398" t="s">
        <v>3607</v>
      </c>
      <c r="F34" s="399">
        <f>SUMIF(105:105,E34,106:106)-SUMIF(105:105,C34,106:106)+100</f>
        <v>100</v>
      </c>
      <c r="G34" s="398" t="s">
        <v>3607</v>
      </c>
      <c r="H34" s="373">
        <f>SUMIF(105:105,G34,106:106)-SUMIF(105:105,C34,106:106)+100</f>
        <v>100</v>
      </c>
      <c r="I34" s="398" t="s">
        <v>3607</v>
      </c>
      <c r="J34" s="373">
        <f>SUMIF(105:105,I34,106:106)-SUMIF(105:105,C34,106:106)+100</f>
        <v>100</v>
      </c>
      <c r="K34" s="537"/>
      <c r="L34" s="2487"/>
      <c r="M34" s="2482"/>
      <c r="N34" s="2482"/>
      <c r="O34" s="2482"/>
      <c r="P34" s="3552"/>
      <c r="Q34" s="1259" t="str">
        <f t="shared" si="11"/>
        <v>建筑结构</v>
      </c>
      <c r="R34" s="663" t="s">
        <v>14</v>
      </c>
      <c r="S34" s="664">
        <f t="shared" si="12"/>
        <v>100</v>
      </c>
      <c r="T34" s="663" t="s">
        <v>14</v>
      </c>
      <c r="U34" s="664">
        <f t="shared" si="13"/>
        <v>100</v>
      </c>
      <c r="V34" s="663" t="s">
        <v>14</v>
      </c>
      <c r="W34" s="664">
        <f t="shared" si="14"/>
        <v>100</v>
      </c>
      <c r="X34" s="1261"/>
      <c r="Y34" s="3554"/>
      <c r="Z34" s="1260" t="str">
        <f t="shared" si="15"/>
        <v>建筑结构</v>
      </c>
      <c r="AA34" s="1260">
        <f t="shared" si="3"/>
        <v>1</v>
      </c>
      <c r="AB34" s="1260">
        <f t="shared" si="4"/>
        <v>1</v>
      </c>
      <c r="AC34" s="1260">
        <f t="shared" si="5"/>
        <v>1</v>
      </c>
    </row>
    <row r="35" spans="1:29" ht="15">
      <c r="A35" s="408"/>
      <c r="B35" s="363" t="s">
        <v>1785</v>
      </c>
      <c r="C35" s="1755" t="s">
        <v>3640</v>
      </c>
      <c r="D35" s="373">
        <v>100</v>
      </c>
      <c r="E35" s="1755" t="s">
        <v>3640</v>
      </c>
      <c r="F35" s="399">
        <f>SUMIF(107:107,E35,108:108)-SUMIF(107:107,C35,108:108)+100</f>
        <v>100</v>
      </c>
      <c r="G35" s="1755" t="s">
        <v>3640</v>
      </c>
      <c r="H35" s="373">
        <f>SUMIF(107:107,G35,108:108)-SUMIF(107:107,C35,108:108)+100</f>
        <v>100</v>
      </c>
      <c r="I35" s="1755" t="s">
        <v>3640</v>
      </c>
      <c r="J35" s="373">
        <f>SUMIF(107:107,I35,108:108)-SUMIF(107:107,C35,108:108)+100</f>
        <v>100</v>
      </c>
      <c r="K35" s="537"/>
      <c r="L35" s="2487"/>
      <c r="M35" s="2482"/>
      <c r="N35" s="2482"/>
      <c r="O35" s="2482"/>
      <c r="P35" s="3552"/>
      <c r="Q35" s="1259" t="str">
        <f t="shared" si="11"/>
        <v>公共部分装修</v>
      </c>
      <c r="R35" s="663" t="s">
        <v>14</v>
      </c>
      <c r="S35" s="664">
        <f t="shared" si="12"/>
        <v>100</v>
      </c>
      <c r="T35" s="663" t="s">
        <v>14</v>
      </c>
      <c r="U35" s="664">
        <f t="shared" si="13"/>
        <v>100</v>
      </c>
      <c r="V35" s="663" t="s">
        <v>14</v>
      </c>
      <c r="W35" s="664">
        <f t="shared" si="14"/>
        <v>100</v>
      </c>
      <c r="X35" s="1261"/>
      <c r="Y35" s="3554"/>
      <c r="Z35" s="1260" t="str">
        <f t="shared" si="15"/>
        <v>公共部分装修</v>
      </c>
      <c r="AA35" s="1260">
        <f t="shared" si="3"/>
        <v>1</v>
      </c>
      <c r="AB35" s="1260">
        <f t="shared" si="4"/>
        <v>1</v>
      </c>
      <c r="AC35" s="1260">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7"/>
      <c r="M36" s="2482"/>
      <c r="N36" s="2482"/>
      <c r="O36" s="2482"/>
      <c r="P36" s="3552"/>
      <c r="Q36" s="1259" t="str">
        <f t="shared" si="11"/>
        <v>成新度</v>
      </c>
      <c r="R36" s="663" t="s">
        <v>14</v>
      </c>
      <c r="S36" s="664">
        <f t="shared" si="12"/>
        <v>100</v>
      </c>
      <c r="T36" s="663" t="s">
        <v>14</v>
      </c>
      <c r="U36" s="664">
        <f t="shared" si="13"/>
        <v>100</v>
      </c>
      <c r="V36" s="663" t="s">
        <v>14</v>
      </c>
      <c r="W36" s="664">
        <f t="shared" si="14"/>
        <v>100</v>
      </c>
      <c r="X36" s="1261"/>
      <c r="Y36" s="3554"/>
      <c r="Z36" s="1260" t="str">
        <f t="shared" si="15"/>
        <v>成新度</v>
      </c>
      <c r="AA36" s="1260">
        <f t="shared" si="3"/>
        <v>1</v>
      </c>
      <c r="AB36" s="1260">
        <f t="shared" si="4"/>
        <v>1</v>
      </c>
      <c r="AC36" s="1260">
        <f t="shared" si="5"/>
        <v>1</v>
      </c>
    </row>
    <row r="37" spans="1:29" s="101" customFormat="1" ht="15">
      <c r="A37" s="409"/>
      <c r="B37" s="363" t="s">
        <v>1787</v>
      </c>
      <c r="C37" s="1755" t="s">
        <v>3638</v>
      </c>
      <c r="D37" s="118">
        <v>100</v>
      </c>
      <c r="E37" s="1755" t="s">
        <v>3638</v>
      </c>
      <c r="F37" s="399">
        <f>SUMIF(112:112,E37,113:113)-SUMIF(112:112,C37,113:113)+100</f>
        <v>100</v>
      </c>
      <c r="G37" s="1755" t="s">
        <v>3638</v>
      </c>
      <c r="H37" s="373">
        <f>SUMIF(112:112,G37,113:113)-SUMIF(112:112,C37,113:113)+100</f>
        <v>100</v>
      </c>
      <c r="I37" s="1755" t="s">
        <v>3638</v>
      </c>
      <c r="J37" s="373">
        <f>SUMIF(112:112,I37,113:113)-SUMIF(112:112,C37,113:113)+100</f>
        <v>100</v>
      </c>
      <c r="K37" s="537"/>
      <c r="L37" s="2483"/>
      <c r="M37" s="2434"/>
      <c r="N37" s="2434"/>
      <c r="O37" s="2434"/>
      <c r="P37" s="3552"/>
      <c r="Q37" s="529" t="str">
        <f t="shared" si="11"/>
        <v>市政基础设施</v>
      </c>
      <c r="R37" s="660" t="s">
        <v>14</v>
      </c>
      <c r="S37" s="661">
        <f t="shared" si="12"/>
        <v>100</v>
      </c>
      <c r="T37" s="660" t="s">
        <v>14</v>
      </c>
      <c r="U37" s="661">
        <f t="shared" si="13"/>
        <v>100</v>
      </c>
      <c r="V37" s="660" t="s">
        <v>14</v>
      </c>
      <c r="W37" s="661">
        <f t="shared" si="14"/>
        <v>100</v>
      </c>
      <c r="X37" s="662"/>
      <c r="Y37" s="3554"/>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7"/>
      <c r="M38" s="2482"/>
      <c r="N38" s="2482"/>
      <c r="O38" s="2482"/>
      <c r="P38" s="3552" t="s">
        <v>1696</v>
      </c>
      <c r="Q38" s="1259" t="str">
        <f t="shared" si="11"/>
        <v>业态</v>
      </c>
      <c r="R38" s="663" t="s">
        <v>14</v>
      </c>
      <c r="S38" s="664">
        <f t="shared" si="12"/>
        <v>100</v>
      </c>
      <c r="T38" s="663" t="s">
        <v>14</v>
      </c>
      <c r="U38" s="664">
        <f t="shared" si="13"/>
        <v>100</v>
      </c>
      <c r="V38" s="663" t="s">
        <v>14</v>
      </c>
      <c r="W38" s="664">
        <f t="shared" si="14"/>
        <v>100</v>
      </c>
      <c r="X38" s="1261"/>
      <c r="Y38" s="3554" t="s">
        <v>1696</v>
      </c>
      <c r="Z38" s="1260" t="str">
        <f t="shared" si="15"/>
        <v>业态</v>
      </c>
      <c r="AA38" s="1260">
        <f t="shared" si="3"/>
        <v>1</v>
      </c>
      <c r="AB38" s="1260">
        <f t="shared" si="4"/>
        <v>1</v>
      </c>
      <c r="AC38" s="1260">
        <f t="shared" si="5"/>
        <v>1</v>
      </c>
    </row>
    <row r="39" spans="1:29" ht="15">
      <c r="A39" s="408"/>
      <c r="B39" s="363" t="s">
        <v>1789</v>
      </c>
      <c r="C39" s="1755" t="s">
        <v>3642</v>
      </c>
      <c r="D39" s="373">
        <v>100</v>
      </c>
      <c r="E39" s="1755" t="s">
        <v>3642</v>
      </c>
      <c r="F39" s="399">
        <f>SUMIF(116:116,E39,117:117)-SUMIF(116:116,C39,117:117)+100</f>
        <v>100</v>
      </c>
      <c r="G39" s="1755" t="s">
        <v>3642</v>
      </c>
      <c r="H39" s="373">
        <f>SUMIF(116:116,G39,117:117)-SUMIF(116:116,C39,117:117)+100</f>
        <v>100</v>
      </c>
      <c r="I39" s="1755" t="s">
        <v>3642</v>
      </c>
      <c r="J39" s="373">
        <f>SUMIF(116:116,I39,117:117)-SUMIF(116:116,C39,117:117)+100</f>
        <v>100</v>
      </c>
      <c r="K39" s="537"/>
      <c r="L39" s="2487"/>
      <c r="M39" s="2482"/>
      <c r="N39" s="2482"/>
      <c r="O39" s="2482"/>
      <c r="P39" s="3552"/>
      <c r="Q39" s="1259" t="str">
        <f t="shared" si="11"/>
        <v>层高</v>
      </c>
      <c r="R39" s="663" t="s">
        <v>14</v>
      </c>
      <c r="S39" s="664">
        <f t="shared" si="12"/>
        <v>100</v>
      </c>
      <c r="T39" s="663" t="s">
        <v>14</v>
      </c>
      <c r="U39" s="664">
        <f t="shared" si="13"/>
        <v>100</v>
      </c>
      <c r="V39" s="663" t="s">
        <v>14</v>
      </c>
      <c r="W39" s="664">
        <f t="shared" si="14"/>
        <v>100</v>
      </c>
      <c r="X39" s="1261"/>
      <c r="Y39" s="3554"/>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7"/>
      <c r="M40" s="2482"/>
      <c r="N40" s="2482"/>
      <c r="O40" s="2482"/>
      <c r="P40" s="3552"/>
      <c r="Q40" s="1259" t="str">
        <f t="shared" si="11"/>
        <v>单套建筑面积</v>
      </c>
      <c r="R40" s="663" t="s">
        <v>14</v>
      </c>
      <c r="S40" s="664">
        <f t="shared" si="12"/>
        <v>100</v>
      </c>
      <c r="T40" s="663" t="s">
        <v>14</v>
      </c>
      <c r="U40" s="664">
        <f t="shared" si="13"/>
        <v>100</v>
      </c>
      <c r="V40" s="663" t="s">
        <v>14</v>
      </c>
      <c r="W40" s="664">
        <f t="shared" si="14"/>
        <v>100</v>
      </c>
      <c r="X40" s="1261"/>
      <c r="Y40" s="3554"/>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552"/>
      <c r="Q41" s="530" t="str">
        <f t="shared" si="11"/>
        <v>进深比</v>
      </c>
      <c r="R41" s="665" t="s">
        <v>14</v>
      </c>
      <c r="S41" s="666">
        <f t="shared" si="12"/>
        <v>100</v>
      </c>
      <c r="T41" s="665" t="s">
        <v>14</v>
      </c>
      <c r="U41" s="666">
        <f t="shared" si="13"/>
        <v>100</v>
      </c>
      <c r="V41" s="665" t="s">
        <v>14</v>
      </c>
      <c r="W41" s="666">
        <f t="shared" si="14"/>
        <v>100</v>
      </c>
      <c r="X41" s="667"/>
      <c r="Y41" s="3554"/>
      <c r="Z41" s="668" t="str">
        <f t="shared" si="15"/>
        <v>进深比</v>
      </c>
      <c r="AA41" s="1260">
        <f t="shared" si="3"/>
        <v>1</v>
      </c>
      <c r="AB41" s="1260">
        <f t="shared" si="4"/>
        <v>1</v>
      </c>
      <c r="AC41" s="1260">
        <f t="shared" si="5"/>
        <v>1</v>
      </c>
    </row>
    <row r="42" spans="1:29" ht="15">
      <c r="A42" s="408"/>
      <c r="B42" s="363" t="s">
        <v>1792</v>
      </c>
      <c r="C42" s="1755" t="s">
        <v>3644</v>
      </c>
      <c r="D42" s="373">
        <v>100</v>
      </c>
      <c r="E42" s="1755" t="s">
        <v>3644</v>
      </c>
      <c r="F42" s="399">
        <f>SUMIF(122:122,E42,123:123)-SUMIF(122:122,C42,123:123)+100</f>
        <v>100</v>
      </c>
      <c r="G42" s="1755" t="s">
        <v>3644</v>
      </c>
      <c r="H42" s="373">
        <f>SUMIF(122:122,G42,123:123)-SUMIF(122:122,C42,123:123)+100</f>
        <v>100</v>
      </c>
      <c r="I42" s="1755" t="s">
        <v>3644</v>
      </c>
      <c r="J42" s="373">
        <f>SUMIF(122:122,I42,123:123)-SUMIF(122:122,C42,123:123)+100</f>
        <v>100</v>
      </c>
      <c r="K42" s="537"/>
      <c r="L42" s="2487"/>
      <c r="M42" s="2482"/>
      <c r="N42" s="2482"/>
      <c r="O42" s="2482"/>
      <c r="P42" s="3552"/>
      <c r="Q42" s="1259" t="str">
        <f t="shared" si="11"/>
        <v>内部装修</v>
      </c>
      <c r="R42" s="663" t="s">
        <v>14</v>
      </c>
      <c r="S42" s="664">
        <f t="shared" si="12"/>
        <v>100</v>
      </c>
      <c r="T42" s="663" t="s">
        <v>14</v>
      </c>
      <c r="U42" s="664">
        <f t="shared" si="13"/>
        <v>100</v>
      </c>
      <c r="V42" s="663" t="s">
        <v>14</v>
      </c>
      <c r="W42" s="664">
        <f t="shared" si="14"/>
        <v>100</v>
      </c>
      <c r="X42" s="1261"/>
      <c r="Y42" s="3554"/>
      <c r="Z42" s="1260" t="str">
        <f t="shared" si="15"/>
        <v>内部装修</v>
      </c>
      <c r="AA42" s="1260">
        <f t="shared" si="3"/>
        <v>1</v>
      </c>
      <c r="AB42" s="1260">
        <f t="shared" si="4"/>
        <v>1</v>
      </c>
      <c r="AC42" s="1260">
        <f t="shared" si="5"/>
        <v>1</v>
      </c>
    </row>
    <row r="43" spans="1:29" ht="15">
      <c r="A43" s="408"/>
      <c r="B43" s="363" t="s">
        <v>1707</v>
      </c>
      <c r="C43" s="1755"/>
      <c r="D43" s="373">
        <v>100</v>
      </c>
      <c r="E43" s="1755"/>
      <c r="F43" s="399">
        <f>SUMIF(124:124,E43,125:125)-SUMIF(124:124,C43,125:125)+100</f>
        <v>100</v>
      </c>
      <c r="G43" s="1755"/>
      <c r="H43" s="373">
        <f>SUMIF(124:124,G43,125:125)-SUMIF(124:124,C43,125:125)+100</f>
        <v>100</v>
      </c>
      <c r="I43" s="1755"/>
      <c r="J43" s="373">
        <f>SUMIF(124:124,I43,125:125)-SUMIF(124:124,C43,125:125)+100</f>
        <v>100</v>
      </c>
      <c r="K43" s="537"/>
      <c r="L43" s="2487"/>
      <c r="M43" s="2482"/>
      <c r="N43" s="2482"/>
      <c r="O43" s="2482"/>
      <c r="P43" s="3552"/>
      <c r="Q43" s="1259" t="str">
        <f t="shared" si="11"/>
        <v>内部装修维护情况</v>
      </c>
      <c r="R43" s="663" t="s">
        <v>14</v>
      </c>
      <c r="S43" s="664">
        <f t="shared" si="12"/>
        <v>100</v>
      </c>
      <c r="T43" s="663" t="s">
        <v>14</v>
      </c>
      <c r="U43" s="664">
        <f t="shared" si="13"/>
        <v>100</v>
      </c>
      <c r="V43" s="663" t="s">
        <v>14</v>
      </c>
      <c r="W43" s="664">
        <f t="shared" si="14"/>
        <v>100</v>
      </c>
      <c r="X43" s="1261"/>
      <c r="Y43" s="3554"/>
      <c r="Z43" s="1260" t="str">
        <f t="shared" si="15"/>
        <v>内部装修维护情况</v>
      </c>
      <c r="AA43" s="1260">
        <f t="shared" si="3"/>
        <v>1</v>
      </c>
      <c r="AB43" s="1260">
        <f t="shared" si="4"/>
        <v>1</v>
      </c>
      <c r="AC43" s="1260">
        <f t="shared" si="5"/>
        <v>1</v>
      </c>
    </row>
    <row r="44" spans="1:29" s="101" customFormat="1" ht="15">
      <c r="A44" s="409"/>
      <c r="B44" s="1062">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552"/>
      <c r="Q44" s="529">
        <f t="shared" si="11"/>
        <v>111</v>
      </c>
      <c r="R44" s="660" t="s">
        <v>14</v>
      </c>
      <c r="S44" s="661">
        <f t="shared" si="12"/>
        <v>100</v>
      </c>
      <c r="T44" s="660" t="s">
        <v>14</v>
      </c>
      <c r="U44" s="661">
        <f t="shared" si="13"/>
        <v>100</v>
      </c>
      <c r="V44" s="660" t="s">
        <v>14</v>
      </c>
      <c r="W44" s="661">
        <f t="shared" si="14"/>
        <v>100</v>
      </c>
      <c r="X44" s="662"/>
      <c r="Y44" s="3554"/>
      <c r="Z44" s="50">
        <f t="shared" si="15"/>
        <v>111</v>
      </c>
      <c r="AA44" s="50">
        <f t="shared" si="3"/>
        <v>1</v>
      </c>
      <c r="AB44" s="50">
        <f t="shared" si="4"/>
        <v>1</v>
      </c>
      <c r="AC44" s="50">
        <f t="shared" si="5"/>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552"/>
      <c r="Q45" s="1259">
        <f t="shared" si="11"/>
        <v>111</v>
      </c>
      <c r="R45" s="663" t="s">
        <v>14</v>
      </c>
      <c r="S45" s="664">
        <f t="shared" si="12"/>
        <v>100</v>
      </c>
      <c r="T45" s="663" t="s">
        <v>14</v>
      </c>
      <c r="U45" s="664">
        <f t="shared" si="13"/>
        <v>100</v>
      </c>
      <c r="V45" s="663" t="s">
        <v>14</v>
      </c>
      <c r="W45" s="664">
        <f t="shared" si="14"/>
        <v>100</v>
      </c>
      <c r="X45" s="1261"/>
      <c r="Y45" s="3554"/>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553"/>
      <c r="Q46" s="1259">
        <f t="shared" si="11"/>
        <v>111</v>
      </c>
      <c r="R46" s="663" t="s">
        <v>14</v>
      </c>
      <c r="S46" s="664">
        <f t="shared" si="12"/>
        <v>100</v>
      </c>
      <c r="T46" s="663" t="s">
        <v>14</v>
      </c>
      <c r="U46" s="664">
        <f t="shared" si="13"/>
        <v>100</v>
      </c>
      <c r="V46" s="663" t="s">
        <v>14</v>
      </c>
      <c r="W46" s="664">
        <f t="shared" si="14"/>
        <v>100</v>
      </c>
      <c r="X46" s="1261"/>
      <c r="Y46" s="3555"/>
      <c r="Z46" s="1260">
        <f t="shared" si="15"/>
        <v>111</v>
      </c>
      <c r="AA46" s="1260">
        <f t="shared" si="3"/>
        <v>1</v>
      </c>
      <c r="AB46" s="1260">
        <f t="shared" si="4"/>
        <v>1</v>
      </c>
      <c r="AC46" s="1260">
        <f t="shared" si="5"/>
        <v>1</v>
      </c>
    </row>
    <row r="47" spans="1:29" ht="15">
      <c r="A47" s="415" t="s">
        <v>1708</v>
      </c>
      <c r="B47" s="416"/>
      <c r="C47" s="1077" t="s">
        <v>0</v>
      </c>
      <c r="D47" s="417"/>
      <c r="E47" s="418">
        <f>Sheet1!O15</f>
        <v>42400</v>
      </c>
      <c r="F47" s="419"/>
      <c r="G47" s="420">
        <f>Sheet1!O16</f>
        <v>40000</v>
      </c>
      <c r="H47" s="421"/>
      <c r="I47" s="418">
        <f>Sheet1!O17</f>
        <v>41200</v>
      </c>
      <c r="J47" s="421"/>
      <c r="K47" s="670"/>
      <c r="L47" s="2489"/>
      <c r="M47" s="2482"/>
      <c r="N47" s="2482"/>
      <c r="O47" s="2482"/>
      <c r="P47" s="3548" t="str">
        <f>A47</f>
        <v>成交单价（元/平方米）</v>
      </c>
      <c r="Q47" s="3548"/>
      <c r="R47" s="3543">
        <f>E47</f>
        <v>42400</v>
      </c>
      <c r="S47" s="3543"/>
      <c r="T47" s="3543">
        <f>G47</f>
        <v>40000</v>
      </c>
      <c r="U47" s="3543"/>
      <c r="V47" s="3543">
        <f>I47</f>
        <v>41200</v>
      </c>
      <c r="W47" s="3543"/>
      <c r="X47" s="384"/>
      <c r="Y47" s="669"/>
      <c r="Z47" s="384"/>
      <c r="AA47" s="384"/>
      <c r="AB47" s="384"/>
      <c r="AC47" s="384"/>
    </row>
    <row r="48" spans="1:29" ht="15.75" thickBot="1">
      <c r="A48" s="422" t="s">
        <v>1793</v>
      </c>
      <c r="B48" s="423"/>
      <c r="C48" s="1078">
        <f>R49</f>
        <v>32939</v>
      </c>
      <c r="D48" s="2136" t="s">
        <v>2135</v>
      </c>
      <c r="E48" s="1079">
        <f>R48</f>
        <v>33557</v>
      </c>
      <c r="F48" s="2137"/>
      <c r="G48" s="1078">
        <f>T48</f>
        <v>31981</v>
      </c>
      <c r="H48" s="2137"/>
      <c r="I48" s="1079">
        <f>V48</f>
        <v>33280</v>
      </c>
      <c r="J48" s="2137"/>
      <c r="K48" s="2139">
        <f>F48+H48+J48</f>
        <v>0</v>
      </c>
      <c r="L48" s="2489"/>
      <c r="M48" s="2482"/>
      <c r="N48" s="2482"/>
      <c r="O48" s="2482"/>
      <c r="P48" s="3548" t="str">
        <f>A48</f>
        <v>比较价值（元/平方米）</v>
      </c>
      <c r="Q48" s="3548"/>
      <c r="R48" s="3543">
        <f>IF(F1="售价",ROUND(PRODUCT(R47,AA7:AA46),0),ROUND(PRODUCT(R47,AA7:AA46),1))</f>
        <v>33557</v>
      </c>
      <c r="S48" s="3543"/>
      <c r="T48" s="3543">
        <f>IF(F1="售价",ROUND(PRODUCT(T47,AB7:AB46),0),ROUND(PRODUCT(T47,AB7:AB46),1))</f>
        <v>31981</v>
      </c>
      <c r="U48" s="3543"/>
      <c r="V48" s="3543">
        <f>IF(F1="售价",ROUND(PRODUCT(V47,AC7:AC46),0),ROUND(PRODUCT(V47,AC7:AC46),1))</f>
        <v>33280</v>
      </c>
      <c r="W48" s="3543"/>
      <c r="X48" s="384"/>
      <c r="Y48" s="384"/>
      <c r="Z48" s="384"/>
      <c r="AA48" s="384"/>
      <c r="AB48" s="384"/>
      <c r="AC48" s="384"/>
    </row>
    <row r="49" spans="1:29" ht="15.75" thickBot="1">
      <c r="A49" s="426" t="s">
        <v>1794</v>
      </c>
      <c r="B49" s="427"/>
      <c r="C49" s="350">
        <f>R49</f>
        <v>32939</v>
      </c>
      <c r="D49" s="350"/>
      <c r="E49" s="350"/>
      <c r="F49" s="350"/>
      <c r="G49" s="350"/>
      <c r="H49" s="350"/>
      <c r="I49" s="350"/>
      <c r="J49" s="350"/>
      <c r="K49" s="671"/>
      <c r="L49" s="2489"/>
      <c r="M49" s="2482"/>
      <c r="N49" s="2482"/>
      <c r="O49" s="2482"/>
      <c r="P49" s="3545" t="str">
        <f>A49</f>
        <v>估价对象XX用房的比较价值（楼面单价，元/平方米）</v>
      </c>
      <c r="Q49" s="3546"/>
      <c r="R49" s="3547">
        <f>IF(F1="售价",ROUND(IF(D48="简单平均",AVERAGE(R48:V48),R48*F48+T48*H48+V48*J48),0),ROUND(IF(D48="简单平均",AVERAGE(R48:V48),R48*F48+T48*H48+V48*J48),1))</f>
        <v>32939</v>
      </c>
      <c r="S49" s="3547"/>
      <c r="T49" s="3547"/>
      <c r="U49" s="3547"/>
      <c r="V49" s="3547"/>
      <c r="W49" s="354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f>IF(E47&lt;E48,E48/E47-1,E47/E48-1)</f>
        <v>0.26352176893047652</v>
      </c>
      <c r="F52" s="434" t="str">
        <f>IF(OR(E52&gt;=0.3,E52&lt;=-0.3),"超过30%","")</f>
        <v/>
      </c>
      <c r="G52" s="433">
        <f>IF(G47&lt;G48,G48/G47-1,G47/G48-1)</f>
        <v>0.25074262843563355</v>
      </c>
      <c r="H52" s="434" t="str">
        <f>IF(OR(G52&gt;=0.3,G52&lt;=-0.3),"超过30%","")</f>
        <v/>
      </c>
      <c r="I52" s="433">
        <f>IF(I47&lt;I48,I48/I47-1,I47/I48-1)</f>
        <v>0.23798076923076916</v>
      </c>
      <c r="J52" s="434"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f>IF(E48&lt;G48,G48/E48-1,E48/G48-1)</f>
        <v>4.9279259560363942E-2</v>
      </c>
      <c r="F53" s="434" t="str">
        <f>IF(OR(E53&gt;=0.2,E53&lt;=-0.2),"超过20%","")</f>
        <v/>
      </c>
      <c r="G53" s="433">
        <f>IF(G48&lt;I48,I48/G48-1,G48/I48-1)</f>
        <v>4.0617866858447149E-2</v>
      </c>
      <c r="H53" s="434" t="str">
        <f>IF(OR(G53&gt;=0.2,G53&lt;=-0.2),"超过20%","")</f>
        <v/>
      </c>
      <c r="I53" s="433">
        <f>IF(I48&lt;E48,E48/I48-1,I48/E48-1)</f>
        <v>8.3233173076922018E-3</v>
      </c>
      <c r="J53" s="434"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f>IF(E47&lt;G47,G47/E47-1,E47/G47-1)</f>
        <v>6.0000000000000053E-2</v>
      </c>
      <c r="F54" s="434" t="str">
        <f>IF(OR(E54&gt;=0.3,E54&lt;=-0.3),"超过30%","")</f>
        <v/>
      </c>
      <c r="G54" s="433">
        <f>IF(G47&lt;I47,I47/G47-1,G47/I47-1)</f>
        <v>3.0000000000000027E-2</v>
      </c>
      <c r="H54" s="434" t="str">
        <f>IF(OR(G54&gt;=0.3,G54&lt;=-0.3),"超过30%","")</f>
        <v/>
      </c>
      <c r="I54" s="433">
        <f>IF(I47&lt;E47,E47/I47-1,I47/E47-1)</f>
        <v>2.9126213592232997E-2</v>
      </c>
      <c r="J54" s="434"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4" t="s">
        <v>1798</v>
      </c>
      <c r="B57" s="384"/>
      <c r="C57" s="655"/>
      <c r="D57" s="655"/>
      <c r="E57" s="655"/>
      <c r="F57" s="656"/>
      <c r="G57" s="656"/>
      <c r="H57" s="655"/>
      <c r="I57" s="655"/>
      <c r="J57" s="655"/>
      <c r="K57" s="657"/>
      <c r="L57" s="884"/>
      <c r="M57" s="882"/>
      <c r="N57" s="882"/>
      <c r="O57" s="882"/>
      <c r="P57" s="2502"/>
      <c r="Q57" s="2503"/>
      <c r="R57" s="2482"/>
      <c r="S57" s="2482"/>
      <c r="T57" s="2482"/>
      <c r="U57" s="2482"/>
      <c r="V57" s="2482"/>
      <c r="W57" s="2482"/>
      <c r="X57" s="2482"/>
      <c r="Y57" s="2482"/>
      <c r="Z57" s="2482"/>
      <c r="AA57" s="2482"/>
      <c r="AB57" s="2482"/>
      <c r="AC57" s="2482"/>
    </row>
    <row r="58" spans="1:29" s="441" customFormat="1" ht="15">
      <c r="A58" s="439" t="s">
        <v>1679</v>
      </c>
      <c r="B58" s="440"/>
      <c r="C58" s="1099" t="str">
        <f>YEAR(C7)&amp;"-"&amp;MONTH(C7)</f>
        <v>2024-6</v>
      </c>
      <c r="D58" s="1100">
        <f>EDATE(C58,-1)</f>
        <v>45413</v>
      </c>
      <c r="E58" s="1100">
        <f t="shared" ref="E58:N58" si="16">EDATE(D58,-1)</f>
        <v>45383</v>
      </c>
      <c r="F58" s="1100">
        <f t="shared" si="16"/>
        <v>45352</v>
      </c>
      <c r="G58" s="1100">
        <f t="shared" si="16"/>
        <v>45323</v>
      </c>
      <c r="H58" s="1100">
        <f t="shared" si="16"/>
        <v>45292</v>
      </c>
      <c r="I58" s="1100">
        <f t="shared" si="16"/>
        <v>45261</v>
      </c>
      <c r="J58" s="1100">
        <f t="shared" si="16"/>
        <v>45231</v>
      </c>
      <c r="K58" s="1100">
        <f t="shared" si="16"/>
        <v>45200</v>
      </c>
      <c r="L58" s="1100">
        <f t="shared" si="16"/>
        <v>45170</v>
      </c>
      <c r="M58" s="1100">
        <f t="shared" si="16"/>
        <v>45139</v>
      </c>
      <c r="N58" s="1100">
        <f t="shared" si="16"/>
        <v>45108</v>
      </c>
      <c r="O58" s="1100">
        <f>EDATE(N58,-1)</f>
        <v>45078</v>
      </c>
      <c r="P58" s="2504"/>
      <c r="Q58" s="2505"/>
      <c r="R58" s="2505"/>
      <c r="S58" s="2505"/>
      <c r="T58" s="2505"/>
      <c r="U58" s="2505"/>
      <c r="V58" s="2505"/>
      <c r="W58" s="2505"/>
      <c r="X58" s="2505"/>
      <c r="Y58" s="2505"/>
      <c r="Z58" s="2505"/>
      <c r="AA58" s="2505"/>
      <c r="AB58" s="2505"/>
      <c r="AC58" s="2505"/>
    </row>
    <row r="59" spans="1:29" s="101" customFormat="1" ht="15">
      <c r="A59" s="442"/>
      <c r="B59" s="443"/>
      <c r="C59" s="1098">
        <v>100</v>
      </c>
      <c r="D59" s="445">
        <v>100</v>
      </c>
      <c r="E59" s="445">
        <v>100</v>
      </c>
      <c r="F59" s="445">
        <v>100</v>
      </c>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1776</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0（含）-1</v>
      </c>
      <c r="D67" s="477" t="str">
        <f t="shared" ref="D67:L67" si="17">D68&amp;"（含）"&amp;"-"&amp;E68</f>
        <v>1（含）-2</v>
      </c>
      <c r="E67" s="477" t="str">
        <f t="shared" si="17"/>
        <v>2（含）-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v>0</v>
      </c>
      <c r="D68" s="479">
        <v>1</v>
      </c>
      <c r="E68" s="479">
        <v>2</v>
      </c>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95</v>
      </c>
      <c r="E77" s="474">
        <f>D77-$K15</f>
        <v>90</v>
      </c>
      <c r="F77" s="474">
        <f>E77-$K15</f>
        <v>85</v>
      </c>
      <c r="G77" s="474">
        <f>F77-$K15</f>
        <v>80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95</v>
      </c>
      <c r="E79" s="474">
        <f>D79-$K17</f>
        <v>90</v>
      </c>
      <c r="F79" s="474">
        <f>E79-$K17</f>
        <v>85</v>
      </c>
      <c r="G79" s="474">
        <f>F79-$K17</f>
        <v>80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79" t="s">
        <v>1799</v>
      </c>
      <c r="D82" s="579" t="s">
        <v>1800</v>
      </c>
      <c r="E82" s="579" t="s">
        <v>1801</v>
      </c>
      <c r="F82" s="579" t="s">
        <v>1802</v>
      </c>
      <c r="G82" s="579" t="s">
        <v>1803</v>
      </c>
      <c r="H82" s="469"/>
      <c r="I82" s="469"/>
      <c r="J82" s="469"/>
      <c r="K82" s="469"/>
      <c r="L82" s="469"/>
      <c r="M82" s="1059"/>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3232" t="s">
        <v>3596</v>
      </c>
      <c r="D86" s="3232" t="s">
        <v>3670</v>
      </c>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3232" t="s">
        <v>3651</v>
      </c>
      <c r="D88" s="3232" t="s">
        <v>3650</v>
      </c>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v>105</v>
      </c>
      <c r="D89" s="466">
        <v>100</v>
      </c>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3232" t="s">
        <v>3598</v>
      </c>
      <c r="D90" s="3232" t="s">
        <v>3599</v>
      </c>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t="s">
        <v>3600</v>
      </c>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v>100</v>
      </c>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3233" t="s">
        <v>3603</v>
      </c>
      <c r="D100" s="3233" t="s">
        <v>3601</v>
      </c>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v>
      </c>
      <c r="H102" s="508" t="str">
        <f t="shared" si="23"/>
        <v>(含)-</v>
      </c>
      <c r="I102" s="508" t="str">
        <f t="shared" si="23"/>
        <v>(含)-</v>
      </c>
      <c r="J102" s="508" t="str">
        <f t="shared" si="23"/>
        <v>(含)-</v>
      </c>
      <c r="K102" s="508" t="str">
        <f t="shared" si="23"/>
        <v>(含)-</v>
      </c>
      <c r="L102" s="508"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3246">
        <v>0</v>
      </c>
      <c r="D103" s="3246">
        <v>100</v>
      </c>
      <c r="E103" s="3246">
        <v>200</v>
      </c>
      <c r="F103" s="3246">
        <v>300</v>
      </c>
      <c r="G103" s="3246">
        <v>400</v>
      </c>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3635">
        <v>100</v>
      </c>
      <c r="D104" s="3635">
        <v>99</v>
      </c>
      <c r="E104" s="3635">
        <v>98</v>
      </c>
      <c r="F104" s="3635">
        <v>97</v>
      </c>
      <c r="G104" s="3635">
        <v>96</v>
      </c>
      <c r="H104" s="3635">
        <v>95</v>
      </c>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3232" t="s">
        <v>3608</v>
      </c>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3232" t="s">
        <v>3646</v>
      </c>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3232" t="s">
        <v>3647</v>
      </c>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3232" t="s">
        <v>3605</v>
      </c>
      <c r="D114" s="3232" t="s">
        <v>3606</v>
      </c>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3232" t="s">
        <v>3648</v>
      </c>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0"/>
      <c r="D118" s="550"/>
      <c r="E118" s="550"/>
      <c r="F118" s="550"/>
      <c r="G118" s="550"/>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3232" t="s">
        <v>3649</v>
      </c>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899</v>
      </c>
    </row>
    <row r="6" spans="1:1" ht="18.75">
      <c r="A6" s="1380" t="s">
        <v>900</v>
      </c>
    </row>
    <row r="7" spans="1:1" ht="54">
      <c r="A7" s="13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381" t="s">
        <v>901</v>
      </c>
    </row>
    <row r="9" spans="1:1" ht="18.75">
      <c r="A9" s="1380" t="s">
        <v>902</v>
      </c>
    </row>
    <row r="10" spans="1:1" ht="54">
      <c r="A10" s="13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381" t="s">
        <v>903</v>
      </c>
    </row>
    <row r="12" spans="1:1" ht="18.75">
      <c r="A12" s="1379" t="s">
        <v>904</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905</v>
      </c>
    </row>
    <row r="15" spans="1:1" ht="18">
      <c r="A15" s="1382" t="str">
        <f>TEXT(项目基本情况!D3,"yyyy年m月d日;;")&amp;IF(项目基本情况!D3=项目基本情况!B3,"（评估专业人员实地查勘之日）","")</f>
        <v>2024年6月24日（评估专业人员实地查勘之日）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本次评估采用的主估价方法为基准地价系数修正法和基准地价系数修正法。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A22" zoomScale="80" zoomScaleNormal="70" zoomScaleSheetLayoutView="80" workbookViewId="0">
      <selection activeCell="K27" sqref="K27"/>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1766</v>
      </c>
      <c r="C1" s="1151" t="s">
        <v>1662</v>
      </c>
      <c r="D1" s="1138"/>
      <c r="E1" s="3119"/>
      <c r="F1" s="1730"/>
      <c r="G1" s="1148" t="s">
        <v>1663</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685</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1799"/>
      <c r="Q2" s="855"/>
      <c r="R2" s="855"/>
      <c r="S2" s="855"/>
      <c r="T2" s="855"/>
      <c r="U2" s="855"/>
      <c r="V2" s="855"/>
      <c r="W2" s="855"/>
      <c r="X2" s="855"/>
      <c r="Y2" s="855"/>
      <c r="Z2" s="855"/>
      <c r="AA2" s="855"/>
      <c r="AB2" s="855"/>
      <c r="AC2" s="1800"/>
    </row>
    <row r="3" spans="1:29" s="341" customFormat="1" ht="28.5" customHeight="1" thickBot="1">
      <c r="A3" s="194" t="s">
        <v>686</v>
      </c>
      <c r="B3" s="535">
        <f>IF(C2="——",C49,ROUND(B2*10000/D3,0))</f>
        <v>0</v>
      </c>
      <c r="C3" s="343" t="s">
        <v>1665</v>
      </c>
      <c r="D3" s="342">
        <f>IF(D1="",'数据-汇总表'!E3,SUMIF('数据-汇总表'!$C19:$C33,D1,'数据-汇总表'!$E19:$E33))</f>
        <v>1279.97</v>
      </c>
      <c r="E3" s="1800"/>
      <c r="F3" s="852"/>
      <c r="G3" s="851"/>
      <c r="H3" s="851"/>
      <c r="I3" s="851"/>
      <c r="J3" s="851"/>
      <c r="K3" s="853"/>
      <c r="L3" s="2498"/>
      <c r="M3" s="2499"/>
      <c r="N3" s="2499"/>
      <c r="O3" s="2499"/>
      <c r="P3" s="1799"/>
      <c r="Q3" s="855"/>
      <c r="R3" s="855"/>
      <c r="S3" s="855"/>
      <c r="T3" s="855"/>
      <c r="U3" s="855"/>
      <c r="V3" s="855"/>
      <c r="W3" s="855"/>
      <c r="X3" s="855"/>
      <c r="Y3" s="855"/>
      <c r="Z3" s="855"/>
      <c r="AA3" s="855"/>
      <c r="AB3" s="855"/>
      <c r="AC3" s="1800"/>
    </row>
    <row r="4" spans="1:29" ht="15">
      <c r="A4" s="344" t="s">
        <v>1666</v>
      </c>
      <c r="B4" s="345"/>
      <c r="C4" s="3531" t="s">
        <v>1667</v>
      </c>
      <c r="D4" s="3532"/>
      <c r="E4" s="3533" t="s">
        <v>1668</v>
      </c>
      <c r="F4" s="3534"/>
      <c r="G4" s="3531" t="s">
        <v>1669</v>
      </c>
      <c r="H4" s="3532"/>
      <c r="I4" s="3531" t="s">
        <v>1670</v>
      </c>
      <c r="J4" s="3532"/>
      <c r="K4" s="536" t="s">
        <v>1671</v>
      </c>
      <c r="L4" s="2481"/>
      <c r="M4" s="2482"/>
      <c r="N4" s="2482"/>
      <c r="O4" s="2482"/>
      <c r="P4" s="3535" t="s">
        <v>1672</v>
      </c>
      <c r="Q4" s="3536"/>
      <c r="R4" s="3518" t="s">
        <v>1668</v>
      </c>
      <c r="S4" s="3519"/>
      <c r="T4" s="3518" t="s">
        <v>1669</v>
      </c>
      <c r="U4" s="3519"/>
      <c r="V4" s="3543" t="s">
        <v>1670</v>
      </c>
      <c r="W4" s="3543"/>
      <c r="X4" s="1261"/>
      <c r="Y4" s="3518" t="s">
        <v>1672</v>
      </c>
      <c r="Z4" s="3519"/>
      <c r="AA4" s="3513" t="s">
        <v>1668</v>
      </c>
      <c r="AB4" s="3543" t="s">
        <v>1669</v>
      </c>
      <c r="AC4" s="3513" t="s">
        <v>1670</v>
      </c>
    </row>
    <row r="5" spans="1:29" ht="15">
      <c r="A5" s="347"/>
      <c r="B5" s="348"/>
      <c r="C5" s="3524" t="s">
        <v>1673</v>
      </c>
      <c r="D5" s="3525"/>
      <c r="E5" s="3558" t="str">
        <f>Sheet1!M7</f>
        <v>三里屯</v>
      </c>
      <c r="F5" s="3523"/>
      <c r="G5" s="3559" t="str">
        <f>Sheet1!M9</f>
        <v>三里屯SOHO</v>
      </c>
      <c r="H5" s="3525"/>
      <c r="I5" s="3559" t="str">
        <f>Sheet1!M10</f>
        <v>三里屯SOHO</v>
      </c>
      <c r="J5" s="3525"/>
      <c r="K5" s="536"/>
      <c r="L5" s="2481"/>
      <c r="M5" s="2482"/>
      <c r="N5" s="2482"/>
      <c r="O5" s="2482"/>
      <c r="P5" s="3537"/>
      <c r="Q5" s="3538"/>
      <c r="R5" s="3520"/>
      <c r="S5" s="3521"/>
      <c r="T5" s="3520"/>
      <c r="U5" s="3521"/>
      <c r="V5" s="3543"/>
      <c r="W5" s="3543"/>
      <c r="X5" s="1261"/>
      <c r="Y5" s="3520"/>
      <c r="Z5" s="3521"/>
      <c r="AA5" s="3514"/>
      <c r="AB5" s="3543"/>
      <c r="AC5" s="351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39"/>
      <c r="Q6" s="3540"/>
      <c r="R6" s="3520"/>
      <c r="S6" s="3521"/>
      <c r="T6" s="3541"/>
      <c r="U6" s="3542"/>
      <c r="V6" s="3543"/>
      <c r="W6" s="3543"/>
      <c r="X6" s="1261"/>
      <c r="Y6" s="3541"/>
      <c r="Z6" s="3542"/>
      <c r="AA6" s="3515"/>
      <c r="AB6" s="3543"/>
      <c r="AC6" s="3515"/>
    </row>
    <row r="7" spans="1:29" s="101" customFormat="1" ht="15.75" thickBot="1">
      <c r="A7" s="351" t="s">
        <v>1679</v>
      </c>
      <c r="B7" s="352"/>
      <c r="C7" s="353">
        <f>'数据-取费表'!B2</f>
        <v>45467</v>
      </c>
      <c r="D7" s="354">
        <v>100</v>
      </c>
      <c r="E7" s="355">
        <v>45444</v>
      </c>
      <c r="F7" s="356">
        <f>SUMIF(58:58,YEAR(E7)&amp;"-"&amp;MONTH(E7),59:59)</f>
        <v>100</v>
      </c>
      <c r="G7" s="355">
        <v>45444</v>
      </c>
      <c r="H7" s="354">
        <f>SUMIF(58:58,YEAR(G7)&amp;"-"&amp;MONTH(G7),59:59)</f>
        <v>100</v>
      </c>
      <c r="I7" s="355">
        <v>45444</v>
      </c>
      <c r="J7" s="354">
        <f>SUMIF(58:58,YEAR(I7)&amp;"-"&amp;MONTH(I7),59:59)</f>
        <v>100</v>
      </c>
      <c r="K7" s="38"/>
      <c r="L7" s="2483"/>
      <c r="M7" s="2434"/>
      <c r="N7" s="2434"/>
      <c r="O7" s="2434"/>
      <c r="P7" s="3516" t="s">
        <v>1680</v>
      </c>
      <c r="Q7" s="3544"/>
      <c r="R7" s="660" t="s">
        <v>14</v>
      </c>
      <c r="S7" s="661">
        <f t="shared" ref="S7:S15" si="0">F7</f>
        <v>100</v>
      </c>
      <c r="T7" s="660" t="s">
        <v>14</v>
      </c>
      <c r="U7" s="661">
        <f t="shared" ref="U7:U15" si="1">H7</f>
        <v>100</v>
      </c>
      <c r="V7" s="660" t="s">
        <v>14</v>
      </c>
      <c r="W7" s="661">
        <f t="shared" ref="W7:W15" si="2">J7</f>
        <v>100</v>
      </c>
      <c r="X7" s="662"/>
      <c r="Y7" s="3516" t="s">
        <v>1680</v>
      </c>
      <c r="Z7" s="3517"/>
      <c r="AA7" s="50">
        <f>D7/F7</f>
        <v>1</v>
      </c>
      <c r="AB7" s="50">
        <f>D7/H7</f>
        <v>1</v>
      </c>
      <c r="AC7" s="50">
        <f>D7/J7</f>
        <v>1</v>
      </c>
    </row>
    <row r="8" spans="1:29" s="101" customFormat="1" ht="15.75" thickBot="1">
      <c r="A8" s="351" t="s">
        <v>1681</v>
      </c>
      <c r="B8" s="352"/>
      <c r="C8" s="357" t="s">
        <v>3609</v>
      </c>
      <c r="D8" s="354">
        <v>100</v>
      </c>
      <c r="E8" s="357" t="s">
        <v>3609</v>
      </c>
      <c r="F8" s="356">
        <f>SUMIF(61:61,E8,62:62)-SUMIF(61:61,C8,62:62)+100</f>
        <v>100</v>
      </c>
      <c r="G8" s="357" t="s">
        <v>3609</v>
      </c>
      <c r="H8" s="354">
        <f>SUMIF(61:61,G8,62:62)-SUMIF(61:61,C8,62:62)+100</f>
        <v>100</v>
      </c>
      <c r="I8" s="357" t="s">
        <v>3609</v>
      </c>
      <c r="J8" s="354">
        <f>SUMIF(61:61,I8,62:62)-SUMIF(61:61,C8,62:62)+100</f>
        <v>100</v>
      </c>
      <c r="K8" s="38"/>
      <c r="L8" s="2483"/>
      <c r="M8" s="2434"/>
      <c r="N8" s="2434"/>
      <c r="O8" s="2434"/>
      <c r="P8" s="3516" t="s">
        <v>1683</v>
      </c>
      <c r="Q8" s="3517"/>
      <c r="R8" s="660" t="s">
        <v>14</v>
      </c>
      <c r="S8" s="661">
        <f t="shared" si="0"/>
        <v>100</v>
      </c>
      <c r="T8" s="660" t="s">
        <v>14</v>
      </c>
      <c r="U8" s="661">
        <f t="shared" si="1"/>
        <v>100</v>
      </c>
      <c r="V8" s="660" t="s">
        <v>14</v>
      </c>
      <c r="W8" s="661">
        <f t="shared" si="2"/>
        <v>100</v>
      </c>
      <c r="X8" s="662"/>
      <c r="Y8" s="3516" t="s">
        <v>1683</v>
      </c>
      <c r="Z8" s="3517"/>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3"/>
      <c r="M9" s="2434"/>
      <c r="N9" s="2434"/>
      <c r="O9" s="2434"/>
      <c r="P9" s="3530"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530"/>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6"/>
      <c r="M11" s="2482"/>
      <c r="N11" s="2482"/>
      <c r="O11" s="2482"/>
      <c r="P11" s="3530"/>
      <c r="Q11" s="529" t="str">
        <f t="shared" si="6"/>
        <v>容积率</v>
      </c>
      <c r="R11" s="660" t="s">
        <v>14</v>
      </c>
      <c r="S11" s="661">
        <f t="shared" si="0"/>
        <v>100</v>
      </c>
      <c r="T11" s="660" t="s">
        <v>14</v>
      </c>
      <c r="U11" s="661">
        <f t="shared" si="1"/>
        <v>100</v>
      </c>
      <c r="V11" s="660" t="s">
        <v>14</v>
      </c>
      <c r="W11" s="661">
        <f t="shared" si="2"/>
        <v>100</v>
      </c>
      <c r="X11" s="662"/>
      <c r="Y11" s="346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530"/>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530"/>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530"/>
      <c r="Q14" s="529">
        <f t="shared" si="6"/>
        <v>111</v>
      </c>
      <c r="R14" s="660" t="s">
        <v>14</v>
      </c>
      <c r="S14" s="661">
        <f t="shared" si="0"/>
        <v>100</v>
      </c>
      <c r="T14" s="660" t="s">
        <v>14</v>
      </c>
      <c r="U14" s="661">
        <f t="shared" si="1"/>
        <v>100</v>
      </c>
      <c r="V14" s="660" t="s">
        <v>14</v>
      </c>
      <c r="W14" s="661">
        <f t="shared" si="2"/>
        <v>100</v>
      </c>
      <c r="X14" s="662"/>
      <c r="Y14" s="3460"/>
      <c r="Z14" s="50">
        <f t="shared" si="7"/>
        <v>111</v>
      </c>
      <c r="AA14" s="50">
        <f t="shared" si="3"/>
        <v>1</v>
      </c>
      <c r="AB14" s="50">
        <f t="shared" si="4"/>
        <v>1</v>
      </c>
      <c r="AC14" s="50">
        <f t="shared" si="5"/>
        <v>1</v>
      </c>
    </row>
    <row r="15" spans="1:29" ht="99.75">
      <c r="A15" s="378" t="s">
        <v>1690</v>
      </c>
      <c r="B15" s="57" t="s">
        <v>1777</v>
      </c>
      <c r="C15" s="1745"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7"/>
      <c r="M15" s="2482"/>
      <c r="N15" s="2482"/>
      <c r="O15" s="2482"/>
      <c r="P15" s="3556" t="s">
        <v>1691</v>
      </c>
      <c r="Q15" s="1259" t="str">
        <f t="shared" si="6"/>
        <v>商业繁华度</v>
      </c>
      <c r="R15" s="663" t="s">
        <v>14</v>
      </c>
      <c r="S15" s="664">
        <f t="shared" si="0"/>
        <v>105</v>
      </c>
      <c r="T15" s="663" t="s">
        <v>14</v>
      </c>
      <c r="U15" s="664">
        <f t="shared" si="1"/>
        <v>105</v>
      </c>
      <c r="V15" s="663" t="s">
        <v>14</v>
      </c>
      <c r="W15" s="664">
        <f t="shared" si="2"/>
        <v>105</v>
      </c>
      <c r="X15" s="1261"/>
      <c r="Y15" s="3549" t="s">
        <v>1691</v>
      </c>
      <c r="Z15" s="1260" t="str">
        <f t="shared" si="7"/>
        <v>商业繁华度</v>
      </c>
      <c r="AA15" s="1260">
        <f t="shared" si="3"/>
        <v>0.95238095238095233</v>
      </c>
      <c r="AB15" s="1260">
        <f t="shared" si="4"/>
        <v>0.95238095238095233</v>
      </c>
      <c r="AC15" s="1260">
        <f t="shared" si="5"/>
        <v>0.95238095238095233</v>
      </c>
    </row>
    <row r="16" spans="1:29" ht="15">
      <c r="A16" s="366"/>
      <c r="B16" s="384"/>
      <c r="C16" s="385" t="s">
        <v>3578</v>
      </c>
      <c r="D16" s="386"/>
      <c r="E16" s="385" t="s">
        <v>3585</v>
      </c>
      <c r="F16" s="387"/>
      <c r="G16" s="385" t="s">
        <v>3585</v>
      </c>
      <c r="H16" s="388"/>
      <c r="I16" s="385" t="s">
        <v>3585</v>
      </c>
      <c r="J16" s="386"/>
      <c r="K16" s="540"/>
      <c r="L16" s="2487"/>
      <c r="M16" s="2482"/>
      <c r="N16" s="2482"/>
      <c r="O16" s="2482"/>
      <c r="P16" s="3557"/>
      <c r="Q16" s="1259"/>
      <c r="R16" s="663"/>
      <c r="S16" s="664"/>
      <c r="T16" s="663"/>
      <c r="U16" s="664"/>
      <c r="V16" s="663"/>
      <c r="W16" s="664"/>
      <c r="X16" s="1261"/>
      <c r="Y16" s="3550"/>
      <c r="Z16" s="1260"/>
      <c r="AA16" s="1260">
        <v>1</v>
      </c>
      <c r="AB16" s="1260">
        <v>1</v>
      </c>
      <c r="AC16" s="1260">
        <v>1</v>
      </c>
    </row>
    <row r="17" spans="1:29" ht="48" customHeight="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7"/>
      <c r="M17" s="2482"/>
      <c r="N17" s="2482"/>
      <c r="O17" s="2482"/>
      <c r="P17" s="3557"/>
      <c r="Q17" s="1259" t="str">
        <f>B17</f>
        <v>交通便捷度</v>
      </c>
      <c r="R17" s="663" t="s">
        <v>14</v>
      </c>
      <c r="S17" s="664">
        <f>F17</f>
        <v>102</v>
      </c>
      <c r="T17" s="663" t="s">
        <v>14</v>
      </c>
      <c r="U17" s="664">
        <f>H17</f>
        <v>102</v>
      </c>
      <c r="V17" s="663" t="s">
        <v>14</v>
      </c>
      <c r="W17" s="664">
        <f>J17</f>
        <v>102</v>
      </c>
      <c r="X17" s="1261"/>
      <c r="Y17" s="3550"/>
      <c r="Z17" s="1260" t="str">
        <f>Q17</f>
        <v>交通便捷度</v>
      </c>
      <c r="AA17" s="1260">
        <f t="shared" si="3"/>
        <v>0.98039215686274506</v>
      </c>
      <c r="AB17" s="1260">
        <f t="shared" si="4"/>
        <v>0.98039215686274506</v>
      </c>
      <c r="AC17" s="1260">
        <f t="shared" si="5"/>
        <v>0.98039215686274506</v>
      </c>
    </row>
    <row r="18" spans="1:29" ht="15">
      <c r="A18" s="366"/>
      <c r="B18" s="394"/>
      <c r="C18" s="1750" t="s">
        <v>3578</v>
      </c>
      <c r="D18" s="388"/>
      <c r="E18" s="1752" t="s">
        <v>3585</v>
      </c>
      <c r="F18" s="391"/>
      <c r="G18" s="1752" t="s">
        <v>3585</v>
      </c>
      <c r="H18" s="386"/>
      <c r="I18" s="1752" t="s">
        <v>3585</v>
      </c>
      <c r="J18" s="386"/>
      <c r="K18" s="540"/>
      <c r="L18" s="2487"/>
      <c r="M18" s="2482"/>
      <c r="N18" s="2482"/>
      <c r="O18" s="2482"/>
      <c r="P18" s="3557"/>
      <c r="Q18" s="1259"/>
      <c r="R18" s="663"/>
      <c r="S18" s="664"/>
      <c r="T18" s="663"/>
      <c r="U18" s="664"/>
      <c r="V18" s="663"/>
      <c r="W18" s="664"/>
      <c r="X18" s="1261"/>
      <c r="Y18" s="3550"/>
      <c r="Z18" s="1260"/>
      <c r="AA18" s="1260">
        <v>1</v>
      </c>
      <c r="AB18" s="1260">
        <v>1</v>
      </c>
      <c r="AC18" s="1260">
        <v>1</v>
      </c>
    </row>
    <row r="19" spans="1:29" ht="46.5" customHeight="1">
      <c r="A19" s="366"/>
      <c r="B19" s="389" t="s">
        <v>1778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557"/>
      <c r="Q19" s="1259" t="str">
        <f>B19</f>
        <v>公共配套设施</v>
      </c>
      <c r="R19" s="663" t="s">
        <v>14</v>
      </c>
      <c r="S19" s="664">
        <f>F19</f>
        <v>100</v>
      </c>
      <c r="T19" s="663" t="s">
        <v>14</v>
      </c>
      <c r="U19" s="664">
        <f>H19</f>
        <v>100</v>
      </c>
      <c r="V19" s="663" t="s">
        <v>14</v>
      </c>
      <c r="W19" s="664">
        <f>J19</f>
        <v>100</v>
      </c>
      <c r="X19" s="1261"/>
      <c r="Y19" s="3550"/>
      <c r="Z19" s="1260" t="str">
        <f>Q19</f>
        <v>公共配套设施</v>
      </c>
      <c r="AA19" s="1260">
        <f t="shared" si="3"/>
        <v>1</v>
      </c>
      <c r="AB19" s="1260">
        <f t="shared" si="4"/>
        <v>1</v>
      </c>
      <c r="AC19" s="1260">
        <f t="shared" si="5"/>
        <v>1</v>
      </c>
    </row>
    <row r="20" spans="1:29" ht="15">
      <c r="A20" s="366"/>
      <c r="B20" s="394"/>
      <c r="C20" s="385" t="s">
        <v>3585</v>
      </c>
      <c r="D20" s="386"/>
      <c r="E20" s="385" t="s">
        <v>3585</v>
      </c>
      <c r="F20" s="387"/>
      <c r="G20" s="385" t="s">
        <v>3585</v>
      </c>
      <c r="H20" s="386"/>
      <c r="I20" s="385" t="s">
        <v>3585</v>
      </c>
      <c r="J20" s="386"/>
      <c r="K20" s="540"/>
      <c r="L20" s="2487"/>
      <c r="M20" s="2482"/>
      <c r="N20" s="2482"/>
      <c r="O20" s="2482"/>
      <c r="P20" s="3557"/>
      <c r="Q20" s="1259"/>
      <c r="R20" s="663"/>
      <c r="S20" s="664"/>
      <c r="T20" s="663"/>
      <c r="U20" s="664"/>
      <c r="V20" s="663"/>
      <c r="W20" s="664"/>
      <c r="X20" s="1261"/>
      <c r="Y20" s="3550"/>
      <c r="Z20" s="1260"/>
      <c r="AA20" s="1260">
        <v>1</v>
      </c>
      <c r="AB20" s="1260">
        <v>1</v>
      </c>
      <c r="AC20" s="1260">
        <v>1</v>
      </c>
    </row>
    <row r="21" spans="1:29" ht="27" customHeight="1">
      <c r="A21" s="366"/>
      <c r="B21" s="584" t="s">
        <v>1779</v>
      </c>
      <c r="C21" s="1749"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557"/>
      <c r="Q21" s="1259" t="str">
        <f>B21</f>
        <v>基础设施水平</v>
      </c>
      <c r="R21" s="663" t="s">
        <v>14</v>
      </c>
      <c r="S21" s="664">
        <f>F21</f>
        <v>100</v>
      </c>
      <c r="T21" s="663" t="s">
        <v>14</v>
      </c>
      <c r="U21" s="664">
        <f>H21</f>
        <v>100</v>
      </c>
      <c r="V21" s="663" t="s">
        <v>14</v>
      </c>
      <c r="W21" s="664">
        <f>J21</f>
        <v>100</v>
      </c>
      <c r="X21" s="1261"/>
      <c r="Y21" s="3550"/>
      <c r="Z21" s="1260" t="str">
        <f>Q21</f>
        <v>基础设施水平</v>
      </c>
      <c r="AA21" s="1260">
        <f t="shared" ref="AA21" si="8">D21/F21</f>
        <v>1</v>
      </c>
      <c r="AB21" s="1260">
        <f t="shared" ref="AB21" si="9">D21/H21</f>
        <v>1</v>
      </c>
      <c r="AC21" s="1260">
        <f t="shared" ref="AC21" si="10">D21/J21</f>
        <v>1</v>
      </c>
    </row>
    <row r="22" spans="1:29" ht="15">
      <c r="A22" s="366"/>
      <c r="B22" s="584"/>
      <c r="C22" s="1750" t="s">
        <v>3594</v>
      </c>
      <c r="D22" s="386"/>
      <c r="E22" s="1750" t="s">
        <v>3594</v>
      </c>
      <c r="F22" s="387"/>
      <c r="G22" s="1750" t="s">
        <v>3594</v>
      </c>
      <c r="H22" s="386"/>
      <c r="I22" s="1750" t="s">
        <v>3594</v>
      </c>
      <c r="J22" s="386"/>
      <c r="K22" s="1060"/>
      <c r="L22" s="2487"/>
      <c r="M22" s="2482"/>
      <c r="N22" s="2482"/>
      <c r="O22" s="2482"/>
      <c r="P22" s="3557"/>
      <c r="Q22" s="1259"/>
      <c r="R22" s="663"/>
      <c r="S22" s="664"/>
      <c r="T22" s="663"/>
      <c r="U22" s="664"/>
      <c r="V22" s="663"/>
      <c r="W22" s="664"/>
      <c r="X22" s="1261"/>
      <c r="Y22" s="3550"/>
      <c r="Z22" s="1260"/>
      <c r="AA22" s="1260">
        <v>1</v>
      </c>
      <c r="AB22" s="1260">
        <v>1</v>
      </c>
      <c r="AC22" s="1260">
        <v>1</v>
      </c>
    </row>
    <row r="23" spans="1:29" ht="31.5" customHeight="1">
      <c r="A23" s="366"/>
      <c r="B23" s="389" t="s">
        <v>1261</v>
      </c>
      <c r="C23" s="1801" t="str">
        <f>估价对象房地状况!C9</f>
        <v>估价对象周边有帽子公园、新中街城市森林公园等绿化景观，北京工人体育场、农业展览馆等人文场所，综合评价环境状况较好。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557"/>
      <c r="Q23" s="1259" t="str">
        <f>B23</f>
        <v>自然及人文环境</v>
      </c>
      <c r="R23" s="663" t="s">
        <v>14</v>
      </c>
      <c r="S23" s="664">
        <f>F23</f>
        <v>100</v>
      </c>
      <c r="T23" s="663" t="s">
        <v>14</v>
      </c>
      <c r="U23" s="664">
        <f>H23</f>
        <v>100</v>
      </c>
      <c r="V23" s="663" t="s">
        <v>14</v>
      </c>
      <c r="W23" s="664">
        <f>J23</f>
        <v>100</v>
      </c>
      <c r="X23" s="1261"/>
      <c r="Y23" s="3550"/>
      <c r="Z23" s="1260" t="str">
        <f>Q23</f>
        <v>自然及人文环境</v>
      </c>
      <c r="AA23" s="1260">
        <f t="shared" si="3"/>
        <v>1</v>
      </c>
      <c r="AB23" s="1260">
        <f t="shared" si="4"/>
        <v>1</v>
      </c>
      <c r="AC23" s="1260">
        <f t="shared" si="5"/>
        <v>1</v>
      </c>
    </row>
    <row r="24" spans="1:29" ht="15">
      <c r="A24" s="366"/>
      <c r="B24" s="394"/>
      <c r="C24" s="385" t="s">
        <v>3578</v>
      </c>
      <c r="D24" s="386"/>
      <c r="E24" s="385" t="s">
        <v>3578</v>
      </c>
      <c r="F24" s="387"/>
      <c r="G24" s="385" t="s">
        <v>3578</v>
      </c>
      <c r="H24" s="386"/>
      <c r="I24" s="385" t="s">
        <v>3578</v>
      </c>
      <c r="J24" s="386"/>
      <c r="K24" s="540"/>
      <c r="L24" s="2487"/>
      <c r="M24" s="2482"/>
      <c r="N24" s="2482"/>
      <c r="O24" s="2482"/>
      <c r="P24" s="3557"/>
      <c r="Q24" s="1259"/>
      <c r="R24" s="663"/>
      <c r="S24" s="664"/>
      <c r="T24" s="663"/>
      <c r="U24" s="664"/>
      <c r="V24" s="663"/>
      <c r="W24" s="664"/>
      <c r="X24" s="1261"/>
      <c r="Y24" s="3550"/>
      <c r="Z24" s="1260"/>
      <c r="AA24" s="1260">
        <v>1</v>
      </c>
      <c r="AB24" s="1260">
        <v>1</v>
      </c>
      <c r="AC24" s="1260">
        <v>1</v>
      </c>
    </row>
    <row r="25" spans="1:29" ht="15">
      <c r="A25" s="366"/>
      <c r="B25" s="363" t="s">
        <v>1780</v>
      </c>
      <c r="C25" s="541" t="s">
        <v>3666</v>
      </c>
      <c r="D25" s="373">
        <v>100</v>
      </c>
      <c r="E25" s="541" t="s">
        <v>3595</v>
      </c>
      <c r="F25" s="399">
        <f>SUMIF(86:86,E25,87:87)-SUMIF(86:86,C25,87:87)+100</f>
        <v>105</v>
      </c>
      <c r="G25" s="541" t="s">
        <v>3595</v>
      </c>
      <c r="H25" s="373">
        <f>SUMIF(86:86,G25,87:87)-SUMIF(86:86,C25,87:87)+100</f>
        <v>105</v>
      </c>
      <c r="I25" s="541" t="s">
        <v>3595</v>
      </c>
      <c r="J25" s="373">
        <f>SUMIF(86:86,I25,87:87)-SUMIF(86:86,C25,87:87)+100</f>
        <v>105</v>
      </c>
      <c r="K25" s="537">
        <v>5</v>
      </c>
      <c r="L25" s="2487"/>
      <c r="M25" s="2482"/>
      <c r="N25" s="2482"/>
      <c r="O25" s="2482"/>
      <c r="P25" s="3557"/>
      <c r="Q25" s="1259" t="str">
        <f t="shared" ref="Q25:Q46" si="11">B25</f>
        <v>临街状况</v>
      </c>
      <c r="R25" s="663" t="s">
        <v>14</v>
      </c>
      <c r="S25" s="664">
        <f>F25</f>
        <v>105</v>
      </c>
      <c r="T25" s="663" t="s">
        <v>14</v>
      </c>
      <c r="U25" s="664">
        <f>H25</f>
        <v>105</v>
      </c>
      <c r="V25" s="663" t="s">
        <v>14</v>
      </c>
      <c r="W25" s="664">
        <f>J25</f>
        <v>105</v>
      </c>
      <c r="X25" s="1261"/>
      <c r="Y25" s="3550"/>
      <c r="Z25" s="1260" t="str">
        <f>Q25</f>
        <v>临街状况</v>
      </c>
      <c r="AA25" s="1260">
        <f t="shared" si="3"/>
        <v>0.95238095238095233</v>
      </c>
      <c r="AB25" s="1260">
        <f t="shared" si="4"/>
        <v>0.95238095238095233</v>
      </c>
      <c r="AC25" s="1260">
        <f t="shared" si="5"/>
        <v>0.95238095238095233</v>
      </c>
    </row>
    <row r="26" spans="1:29" ht="15">
      <c r="A26" s="366"/>
      <c r="B26" s="1062" t="s">
        <v>1781</v>
      </c>
      <c r="C26" s="3237" t="s">
        <v>3616</v>
      </c>
      <c r="D26" s="373">
        <v>100</v>
      </c>
      <c r="E26" s="3237" t="s">
        <v>3621</v>
      </c>
      <c r="F26" s="399">
        <f>SUMIF(88:88,E26,89:89)-SUMIF(88:88,C26,89:89)+100</f>
        <v>105</v>
      </c>
      <c r="G26" s="3237" t="s">
        <v>3621</v>
      </c>
      <c r="H26" s="373">
        <f>SUMIF(88:88,G26,89:89)-SUMIF(88:88,C26,89:89)+100</f>
        <v>105</v>
      </c>
      <c r="I26" s="3237" t="s">
        <v>3621</v>
      </c>
      <c r="J26" s="373">
        <f>SUMIF(88:88,I26,89:89)-SUMIF(88:88,C26,89:89)+100</f>
        <v>105</v>
      </c>
      <c r="K26" s="538"/>
      <c r="L26" s="2487"/>
      <c r="M26" s="2482"/>
      <c r="N26" s="2482"/>
      <c r="O26" s="2482"/>
      <c r="P26" s="3557"/>
      <c r="Q26" s="1259" t="str">
        <f t="shared" si="11"/>
        <v>平面位置/可视性</v>
      </c>
      <c r="R26" s="663" t="s">
        <v>14</v>
      </c>
      <c r="S26" s="664">
        <f>F26</f>
        <v>105</v>
      </c>
      <c r="T26" s="663" t="s">
        <v>14</v>
      </c>
      <c r="U26" s="664">
        <f>H26</f>
        <v>105</v>
      </c>
      <c r="V26" s="663" t="s">
        <v>14</v>
      </c>
      <c r="W26" s="664">
        <f>J26</f>
        <v>105</v>
      </c>
      <c r="X26" s="1261"/>
      <c r="Y26" s="3550"/>
      <c r="Z26" s="1260" t="str">
        <f>Q26</f>
        <v>平面位置/可视性</v>
      </c>
      <c r="AA26" s="1260">
        <f t="shared" si="3"/>
        <v>0.95238095238095233</v>
      </c>
      <c r="AB26" s="1260">
        <f t="shared" si="4"/>
        <v>0.95238095238095233</v>
      </c>
      <c r="AC26" s="1260">
        <f t="shared" si="5"/>
        <v>0.95238095238095233</v>
      </c>
    </row>
    <row r="27" spans="1:29" s="101" customFormat="1" ht="15">
      <c r="A27" s="369"/>
      <c r="B27" s="389" t="s">
        <v>1782</v>
      </c>
      <c r="C27" s="1802" t="s">
        <v>3577</v>
      </c>
      <c r="D27" s="400">
        <v>100</v>
      </c>
      <c r="E27" s="1802" t="s">
        <v>3597</v>
      </c>
      <c r="F27" s="394">
        <f>SUMIF(90:90,E27,91:91)-SUMIF(90:90,C27,91:91)+100</f>
        <v>105</v>
      </c>
      <c r="G27" s="1802" t="s">
        <v>3597</v>
      </c>
      <c r="H27" s="400">
        <f>SUMIF(90:90,G27,91:91)-SUMIF(90:90,C27,91:91)+100</f>
        <v>105</v>
      </c>
      <c r="I27" s="1802" t="s">
        <v>3597</v>
      </c>
      <c r="J27" s="400">
        <f>SUMIF(90:90,I27,91:91)-SUMIF(90:90,C27,91:91)+100</f>
        <v>105</v>
      </c>
      <c r="K27" s="537">
        <v>5</v>
      </c>
      <c r="L27" s="2483"/>
      <c r="M27" s="2434"/>
      <c r="N27" s="2434"/>
      <c r="O27" s="2434"/>
      <c r="P27" s="3557"/>
      <c r="Q27" s="529" t="str">
        <f t="shared" si="11"/>
        <v>人流量</v>
      </c>
      <c r="R27" s="660" t="s">
        <v>14</v>
      </c>
      <c r="S27" s="661">
        <f>F27</f>
        <v>105</v>
      </c>
      <c r="T27" s="660" t="s">
        <v>14</v>
      </c>
      <c r="U27" s="661">
        <f>H27</f>
        <v>105</v>
      </c>
      <c r="V27" s="660" t="s">
        <v>14</v>
      </c>
      <c r="W27" s="661">
        <f>J27</f>
        <v>105</v>
      </c>
      <c r="X27" s="662"/>
      <c r="Y27" s="3550"/>
      <c r="Z27" s="50" t="str">
        <f>Q27</f>
        <v>人流量</v>
      </c>
      <c r="AA27" s="1260">
        <f>D27/F27</f>
        <v>0.95238095238095233</v>
      </c>
      <c r="AB27" s="1260">
        <f>D27/H27</f>
        <v>0.95238095238095233</v>
      </c>
      <c r="AC27" s="1260">
        <f>D27/J27</f>
        <v>0.95238095238095233</v>
      </c>
    </row>
    <row r="28" spans="1:29" ht="15.75" thickBot="1">
      <c r="A28" s="366"/>
      <c r="B28" s="363" t="s">
        <v>1783</v>
      </c>
      <c r="C28" s="541" t="s">
        <v>3435</v>
      </c>
      <c r="D28" s="373">
        <v>100</v>
      </c>
      <c r="E28" s="541" t="s">
        <v>3435</v>
      </c>
      <c r="F28" s="399">
        <f>SUMIF(92:92,E28,93:93)-SUMIF(92:92,C28,93:93)+100</f>
        <v>100</v>
      </c>
      <c r="G28" s="541" t="s">
        <v>3435</v>
      </c>
      <c r="H28" s="373">
        <f>SUMIF(92:92,G28,93:93)-SUMIF(92:92,C28,93:93)+100</f>
        <v>100</v>
      </c>
      <c r="I28" s="541" t="s">
        <v>3435</v>
      </c>
      <c r="J28" s="373">
        <f>SUMIF(92:92,I28,93:93)-SUMIF(92:92,C28,93:93)+100</f>
        <v>100</v>
      </c>
      <c r="K28" s="538"/>
      <c r="L28" s="2487"/>
      <c r="M28" s="2482"/>
      <c r="N28" s="2482"/>
      <c r="O28" s="2482"/>
      <c r="P28" s="3557"/>
      <c r="Q28" s="1259" t="str">
        <f t="shared" si="11"/>
        <v>楼层</v>
      </c>
      <c r="R28" s="663" t="s">
        <v>14</v>
      </c>
      <c r="S28" s="664">
        <f t="shared" ref="S28:S46" si="12">F28</f>
        <v>100</v>
      </c>
      <c r="T28" s="663" t="s">
        <v>14</v>
      </c>
      <c r="U28" s="664">
        <f t="shared" ref="U28:U46" si="13">H28</f>
        <v>100</v>
      </c>
      <c r="V28" s="663" t="s">
        <v>14</v>
      </c>
      <c r="W28" s="664">
        <f t="shared" ref="W28:W46" si="14">J28</f>
        <v>100</v>
      </c>
      <c r="X28" s="1261"/>
      <c r="Y28" s="3550"/>
      <c r="Z28" s="1260" t="str">
        <f t="shared" ref="Z28:Z46" si="15">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557"/>
      <c r="Q29" s="1259">
        <f t="shared" si="11"/>
        <v>111</v>
      </c>
      <c r="R29" s="663" t="s">
        <v>14</v>
      </c>
      <c r="S29" s="664">
        <f t="shared" si="12"/>
        <v>100</v>
      </c>
      <c r="T29" s="663" t="s">
        <v>14</v>
      </c>
      <c r="U29" s="664">
        <f t="shared" si="13"/>
        <v>100</v>
      </c>
      <c r="V29" s="663" t="s">
        <v>14</v>
      </c>
      <c r="W29" s="664">
        <f t="shared" si="14"/>
        <v>100</v>
      </c>
      <c r="X29" s="1261"/>
      <c r="Y29" s="3550"/>
      <c r="Z29" s="1260">
        <f t="shared" si="15"/>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557"/>
      <c r="Q30" s="1259">
        <f t="shared" si="11"/>
        <v>111</v>
      </c>
      <c r="R30" s="663" t="s">
        <v>14</v>
      </c>
      <c r="S30" s="664">
        <f t="shared" si="12"/>
        <v>100</v>
      </c>
      <c r="T30" s="663" t="s">
        <v>14</v>
      </c>
      <c r="U30" s="664">
        <f t="shared" si="13"/>
        <v>100</v>
      </c>
      <c r="V30" s="663" t="s">
        <v>14</v>
      </c>
      <c r="W30" s="664">
        <f t="shared" si="14"/>
        <v>100</v>
      </c>
      <c r="X30" s="1261"/>
      <c r="Y30" s="3550"/>
      <c r="Z30" s="1260">
        <f t="shared" si="15"/>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557"/>
      <c r="Q31" s="1259">
        <f t="shared" si="11"/>
        <v>111</v>
      </c>
      <c r="R31" s="663" t="s">
        <v>14</v>
      </c>
      <c r="S31" s="664">
        <f t="shared" si="12"/>
        <v>100</v>
      </c>
      <c r="T31" s="663" t="s">
        <v>14</v>
      </c>
      <c r="U31" s="664">
        <f t="shared" si="13"/>
        <v>100</v>
      </c>
      <c r="V31" s="663" t="s">
        <v>14</v>
      </c>
      <c r="W31" s="664">
        <f t="shared" si="14"/>
        <v>100</v>
      </c>
      <c r="X31" s="1261"/>
      <c r="Y31" s="3550"/>
      <c r="Z31" s="1260">
        <f t="shared" si="15"/>
        <v>111</v>
      </c>
      <c r="AA31" s="1260">
        <f t="shared" si="3"/>
        <v>1</v>
      </c>
      <c r="AB31" s="1260">
        <f t="shared" si="4"/>
        <v>1</v>
      </c>
      <c r="AC31" s="1260">
        <f t="shared" si="5"/>
        <v>1</v>
      </c>
    </row>
    <row r="32" spans="1:29" ht="15">
      <c r="A32" s="378" t="s">
        <v>1694</v>
      </c>
      <c r="B32" s="59" t="s">
        <v>1784</v>
      </c>
      <c r="C32" s="1759" t="s">
        <v>3566</v>
      </c>
      <c r="D32" s="404">
        <v>100</v>
      </c>
      <c r="E32" s="1759" t="s">
        <v>3602</v>
      </c>
      <c r="F32" s="399">
        <f>SUMIF(100:100,E32,101:101)-SUMIF(100:100,C32,101:101)+100</f>
        <v>105</v>
      </c>
      <c r="G32" s="1759" t="s">
        <v>3602</v>
      </c>
      <c r="H32" s="373">
        <f>SUMIF(100:100,G32,101:101)-SUMIF(100:100,C32,101:101)+100</f>
        <v>105</v>
      </c>
      <c r="I32" s="1759" t="s">
        <v>3602</v>
      </c>
      <c r="J32" s="404">
        <f>SUMIF(100:100,I32,101:101)-SUMIF(100:100,C32,101:101)+100</f>
        <v>105</v>
      </c>
      <c r="K32" s="537">
        <v>5</v>
      </c>
      <c r="L32" s="2487"/>
      <c r="M32" s="2482"/>
      <c r="N32" s="2482"/>
      <c r="O32" s="2482"/>
      <c r="P32" s="3551" t="s">
        <v>1696</v>
      </c>
      <c r="Q32" s="1259" t="str">
        <f t="shared" si="11"/>
        <v>商业类型</v>
      </c>
      <c r="R32" s="663" t="s">
        <v>14</v>
      </c>
      <c r="S32" s="664">
        <f t="shared" si="12"/>
        <v>105</v>
      </c>
      <c r="T32" s="663" t="s">
        <v>14</v>
      </c>
      <c r="U32" s="664">
        <f t="shared" si="13"/>
        <v>105</v>
      </c>
      <c r="V32" s="663" t="s">
        <v>14</v>
      </c>
      <c r="W32" s="664">
        <f t="shared" si="14"/>
        <v>105</v>
      </c>
      <c r="X32" s="1261"/>
      <c r="Y32" s="3554" t="s">
        <v>1696</v>
      </c>
      <c r="Z32" s="1260" t="str">
        <f t="shared" si="15"/>
        <v>商业类型</v>
      </c>
      <c r="AA32" s="1260">
        <f t="shared" si="3"/>
        <v>0.95238095238095233</v>
      </c>
      <c r="AB32" s="1260">
        <f t="shared" si="4"/>
        <v>0.95238095238095233</v>
      </c>
      <c r="AC32" s="1260">
        <f t="shared" si="5"/>
        <v>0.95238095238095233</v>
      </c>
    </row>
    <row r="33" spans="1:29" s="407" customFormat="1" ht="15">
      <c r="A33" s="405"/>
      <c r="B33" s="363" t="s">
        <v>1697</v>
      </c>
      <c r="C33" s="406">
        <f>铂郡面积表!E4</f>
        <v>94.89</v>
      </c>
      <c r="D33" s="118">
        <v>100</v>
      </c>
      <c r="E33" s="368">
        <f>Sheet1!O7</f>
        <v>60</v>
      </c>
      <c r="F33" s="363">
        <f>LOOKUP(E33,103:103,104:104)-LOOKUP(C33,103:103,104:104)+100</f>
        <v>100</v>
      </c>
      <c r="G33" s="367">
        <f>Sheet1!O9</f>
        <v>183</v>
      </c>
      <c r="H33" s="118">
        <f>LOOKUP(G33,103:103,104:104)-LOOKUP(C33,103:103,104:104)+100</f>
        <v>99</v>
      </c>
      <c r="I33" s="367">
        <f>Sheet1!O10</f>
        <v>291</v>
      </c>
      <c r="J33" s="118">
        <f>LOOKUP(I33,103:103,104:104)-LOOKUP(C33,103:103,104:104)+100</f>
        <v>98</v>
      </c>
      <c r="K33" s="538"/>
      <c r="L33" s="2486"/>
      <c r="M33" s="2488"/>
      <c r="N33" s="2488"/>
      <c r="O33" s="2488"/>
      <c r="P33" s="3552"/>
      <c r="Q33" s="530" t="str">
        <f t="shared" si="11"/>
        <v>项目建筑规模</v>
      </c>
      <c r="R33" s="665" t="s">
        <v>14</v>
      </c>
      <c r="S33" s="666">
        <f t="shared" si="12"/>
        <v>100</v>
      </c>
      <c r="T33" s="665" t="s">
        <v>14</v>
      </c>
      <c r="U33" s="666">
        <f t="shared" si="13"/>
        <v>99</v>
      </c>
      <c r="V33" s="665" t="s">
        <v>14</v>
      </c>
      <c r="W33" s="666">
        <f t="shared" si="14"/>
        <v>98</v>
      </c>
      <c r="X33" s="667"/>
      <c r="Y33" s="3554"/>
      <c r="Z33" s="668" t="str">
        <f t="shared" si="15"/>
        <v>项目建筑规模</v>
      </c>
      <c r="AA33" s="1260">
        <f t="shared" si="3"/>
        <v>1</v>
      </c>
      <c r="AB33" s="1260">
        <f t="shared" si="4"/>
        <v>1.0101010101010102</v>
      </c>
      <c r="AC33" s="1260">
        <f t="shared" si="5"/>
        <v>1.0204081632653061</v>
      </c>
    </row>
    <row r="34" spans="1:29" ht="15">
      <c r="A34" s="408"/>
      <c r="B34" s="363" t="s">
        <v>1698</v>
      </c>
      <c r="C34" s="398" t="s">
        <v>3607</v>
      </c>
      <c r="D34" s="373">
        <v>100</v>
      </c>
      <c r="E34" s="398" t="s">
        <v>3607</v>
      </c>
      <c r="F34" s="399">
        <f>SUMIF(105:105,E34,106:106)-SUMIF(105:105,C34,106:106)+100</f>
        <v>100</v>
      </c>
      <c r="G34" s="398" t="s">
        <v>3607</v>
      </c>
      <c r="H34" s="373">
        <f>SUMIF(105:105,G34,106:106)-SUMIF(105:105,C34,106:106)+100</f>
        <v>100</v>
      </c>
      <c r="I34" s="398" t="s">
        <v>3607</v>
      </c>
      <c r="J34" s="373">
        <f>SUMIF(105:105,I34,106:106)-SUMIF(105:105,C34,106:106)+100</f>
        <v>100</v>
      </c>
      <c r="K34" s="537"/>
      <c r="L34" s="2487"/>
      <c r="M34" s="2482"/>
      <c r="N34" s="2482"/>
      <c r="O34" s="2482"/>
      <c r="P34" s="3552"/>
      <c r="Q34" s="1259" t="str">
        <f t="shared" si="11"/>
        <v>建筑结构</v>
      </c>
      <c r="R34" s="663" t="s">
        <v>14</v>
      </c>
      <c r="S34" s="664">
        <f t="shared" si="12"/>
        <v>100</v>
      </c>
      <c r="T34" s="663" t="s">
        <v>14</v>
      </c>
      <c r="U34" s="664">
        <f t="shared" si="13"/>
        <v>100</v>
      </c>
      <c r="V34" s="663" t="s">
        <v>14</v>
      </c>
      <c r="W34" s="664">
        <f t="shared" si="14"/>
        <v>100</v>
      </c>
      <c r="X34" s="1261"/>
      <c r="Y34" s="3554"/>
      <c r="Z34" s="1260" t="str">
        <f t="shared" si="15"/>
        <v>建筑结构</v>
      </c>
      <c r="AA34" s="1260">
        <f t="shared" si="3"/>
        <v>1</v>
      </c>
      <c r="AB34" s="1260">
        <f t="shared" si="4"/>
        <v>1</v>
      </c>
      <c r="AC34" s="1260">
        <f t="shared" si="5"/>
        <v>1</v>
      </c>
    </row>
    <row r="35" spans="1:29" ht="15">
      <c r="A35" s="408"/>
      <c r="B35" s="363" t="s">
        <v>1785</v>
      </c>
      <c r="C35" s="1755" t="s">
        <v>3640</v>
      </c>
      <c r="D35" s="373">
        <v>100</v>
      </c>
      <c r="E35" s="1755" t="s">
        <v>3640</v>
      </c>
      <c r="F35" s="399">
        <f>SUMIF(107:107,E35,108:108)-SUMIF(107:107,C35,108:108)+100</f>
        <v>100</v>
      </c>
      <c r="G35" s="1755" t="s">
        <v>3640</v>
      </c>
      <c r="H35" s="373">
        <f>SUMIF(107:107,G35,108:108)-SUMIF(107:107,C35,108:108)+100</f>
        <v>100</v>
      </c>
      <c r="I35" s="1755" t="s">
        <v>3640</v>
      </c>
      <c r="J35" s="373">
        <f>SUMIF(107:107,I35,108:108)-SUMIF(107:107,C35,108:108)+100</f>
        <v>100</v>
      </c>
      <c r="K35" s="537"/>
      <c r="L35" s="2487"/>
      <c r="M35" s="2482"/>
      <c r="N35" s="2482"/>
      <c r="O35" s="2482"/>
      <c r="P35" s="3552"/>
      <c r="Q35" s="1259" t="str">
        <f t="shared" si="11"/>
        <v>公共部分装修</v>
      </c>
      <c r="R35" s="663" t="s">
        <v>14</v>
      </c>
      <c r="S35" s="664">
        <f t="shared" si="12"/>
        <v>100</v>
      </c>
      <c r="T35" s="663" t="s">
        <v>14</v>
      </c>
      <c r="U35" s="664">
        <f t="shared" si="13"/>
        <v>100</v>
      </c>
      <c r="V35" s="663" t="s">
        <v>14</v>
      </c>
      <c r="W35" s="664">
        <f t="shared" si="14"/>
        <v>100</v>
      </c>
      <c r="X35" s="1261"/>
      <c r="Y35" s="3554"/>
      <c r="Z35" s="1260" t="str">
        <f t="shared" si="15"/>
        <v>公共部分装修</v>
      </c>
      <c r="AA35" s="1260">
        <f t="shared" si="3"/>
        <v>1</v>
      </c>
      <c r="AB35" s="1260">
        <f t="shared" si="4"/>
        <v>1</v>
      </c>
      <c r="AC35" s="1260">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7"/>
      <c r="M36" s="2482"/>
      <c r="N36" s="2482"/>
      <c r="O36" s="2482"/>
      <c r="P36" s="3552"/>
      <c r="Q36" s="1259" t="str">
        <f t="shared" si="11"/>
        <v>成新度</v>
      </c>
      <c r="R36" s="663" t="s">
        <v>14</v>
      </c>
      <c r="S36" s="664">
        <f t="shared" si="12"/>
        <v>100</v>
      </c>
      <c r="T36" s="663" t="s">
        <v>14</v>
      </c>
      <c r="U36" s="664">
        <f t="shared" si="13"/>
        <v>100</v>
      </c>
      <c r="V36" s="663" t="s">
        <v>14</v>
      </c>
      <c r="W36" s="664">
        <f t="shared" si="14"/>
        <v>100</v>
      </c>
      <c r="X36" s="1261"/>
      <c r="Y36" s="3554"/>
      <c r="Z36" s="1260" t="str">
        <f t="shared" si="15"/>
        <v>成新度</v>
      </c>
      <c r="AA36" s="1260">
        <f t="shared" si="3"/>
        <v>1</v>
      </c>
      <c r="AB36" s="1260">
        <f t="shared" si="4"/>
        <v>1</v>
      </c>
      <c r="AC36" s="1260">
        <f t="shared" si="5"/>
        <v>1</v>
      </c>
    </row>
    <row r="37" spans="1:29" s="101" customFormat="1" ht="15">
      <c r="A37" s="409"/>
      <c r="B37" s="363" t="s">
        <v>1787</v>
      </c>
      <c r="C37" s="1755" t="s">
        <v>3638</v>
      </c>
      <c r="D37" s="118">
        <v>100</v>
      </c>
      <c r="E37" s="1755" t="s">
        <v>3638</v>
      </c>
      <c r="F37" s="399">
        <f>SUMIF(112:112,E37,113:113)-SUMIF(112:112,C37,113:113)+100</f>
        <v>100</v>
      </c>
      <c r="G37" s="1755" t="s">
        <v>3638</v>
      </c>
      <c r="H37" s="373">
        <f>SUMIF(112:112,G37,113:113)-SUMIF(112:112,C37,113:113)+100</f>
        <v>100</v>
      </c>
      <c r="I37" s="1755" t="s">
        <v>3638</v>
      </c>
      <c r="J37" s="373">
        <f>SUMIF(112:112,I37,113:113)-SUMIF(112:112,C37,113:113)+100</f>
        <v>100</v>
      </c>
      <c r="K37" s="537"/>
      <c r="L37" s="2483"/>
      <c r="M37" s="2434"/>
      <c r="N37" s="2434"/>
      <c r="O37" s="2434"/>
      <c r="P37" s="3552"/>
      <c r="Q37" s="529" t="str">
        <f t="shared" si="11"/>
        <v>市政基础设施</v>
      </c>
      <c r="R37" s="660" t="s">
        <v>14</v>
      </c>
      <c r="S37" s="661">
        <f t="shared" si="12"/>
        <v>100</v>
      </c>
      <c r="T37" s="660" t="s">
        <v>14</v>
      </c>
      <c r="U37" s="661">
        <f t="shared" si="13"/>
        <v>100</v>
      </c>
      <c r="V37" s="660" t="s">
        <v>14</v>
      </c>
      <c r="W37" s="661">
        <f t="shared" si="14"/>
        <v>100</v>
      </c>
      <c r="X37" s="662"/>
      <c r="Y37" s="3554"/>
      <c r="Z37" s="50" t="str">
        <f t="shared" si="15"/>
        <v>市政基础设施</v>
      </c>
      <c r="AA37" s="50">
        <f t="shared" si="3"/>
        <v>1</v>
      </c>
      <c r="AB37" s="50">
        <f t="shared" si="4"/>
        <v>1</v>
      </c>
      <c r="AC37" s="50">
        <f t="shared" si="5"/>
        <v>1</v>
      </c>
    </row>
    <row r="38" spans="1:29" ht="15" hidden="1">
      <c r="A38" s="408"/>
      <c r="B38" s="363" t="s">
        <v>1788</v>
      </c>
      <c r="C38" s="1755" t="s">
        <v>3622</v>
      </c>
      <c r="D38" s="373">
        <v>100</v>
      </c>
      <c r="E38" s="1755" t="s">
        <v>3624</v>
      </c>
      <c r="F38" s="399">
        <f>SUMIF(114:114,E38,115:115)-SUMIF(114:114,C38,115:115)+100</f>
        <v>100</v>
      </c>
      <c r="G38" s="1755" t="s">
        <v>3622</v>
      </c>
      <c r="H38" s="373">
        <f>SUMIF(114:114,G38,115:115)-SUMIF(114:114,C38,115:115)+100</f>
        <v>100</v>
      </c>
      <c r="I38" s="1755" t="s">
        <v>3624</v>
      </c>
      <c r="J38" s="373">
        <f>SUMIF(114:114,I38,115:115)-SUMIF(114:114,C38,115:115)+100</f>
        <v>100</v>
      </c>
      <c r="K38" s="537">
        <v>0</v>
      </c>
      <c r="L38" s="2487"/>
      <c r="M38" s="2482"/>
      <c r="N38" s="2482"/>
      <c r="O38" s="2482"/>
      <c r="P38" s="3552" t="s">
        <v>1696</v>
      </c>
      <c r="Q38" s="1259" t="str">
        <f t="shared" si="11"/>
        <v>业态</v>
      </c>
      <c r="R38" s="663" t="s">
        <v>14</v>
      </c>
      <c r="S38" s="664">
        <f t="shared" si="12"/>
        <v>100</v>
      </c>
      <c r="T38" s="663" t="s">
        <v>14</v>
      </c>
      <c r="U38" s="664">
        <f t="shared" si="13"/>
        <v>100</v>
      </c>
      <c r="V38" s="663" t="s">
        <v>14</v>
      </c>
      <c r="W38" s="664">
        <f t="shared" si="14"/>
        <v>100</v>
      </c>
      <c r="X38" s="1261"/>
      <c r="Y38" s="3554" t="s">
        <v>1696</v>
      </c>
      <c r="Z38" s="1260" t="str">
        <f t="shared" si="15"/>
        <v>业态</v>
      </c>
      <c r="AA38" s="1260">
        <f t="shared" si="3"/>
        <v>1</v>
      </c>
      <c r="AB38" s="1260">
        <f t="shared" si="4"/>
        <v>1</v>
      </c>
      <c r="AC38" s="1260">
        <f t="shared" si="5"/>
        <v>1</v>
      </c>
    </row>
    <row r="39" spans="1:29" ht="15">
      <c r="A39" s="408"/>
      <c r="B39" s="363" t="s">
        <v>1789</v>
      </c>
      <c r="C39" s="1755" t="s">
        <v>3642</v>
      </c>
      <c r="D39" s="373">
        <v>100</v>
      </c>
      <c r="E39" s="1755" t="s">
        <v>3642</v>
      </c>
      <c r="F39" s="399">
        <f>SUMIF(116:116,E39,117:117)-SUMIF(116:116,C39,117:117)+100</f>
        <v>100</v>
      </c>
      <c r="G39" s="1755" t="s">
        <v>3642</v>
      </c>
      <c r="H39" s="373">
        <f>SUMIF(116:116,G39,117:117)-SUMIF(116:116,C39,117:117)+100</f>
        <v>100</v>
      </c>
      <c r="I39" s="1755" t="s">
        <v>3642</v>
      </c>
      <c r="J39" s="373">
        <f>SUMIF(116:116,I39,117:117)-SUMIF(116:116,C39,117:117)+100</f>
        <v>100</v>
      </c>
      <c r="K39" s="537"/>
      <c r="L39" s="2487"/>
      <c r="M39" s="2482"/>
      <c r="N39" s="2482"/>
      <c r="O39" s="2482"/>
      <c r="P39" s="3552"/>
      <c r="Q39" s="1259" t="str">
        <f t="shared" si="11"/>
        <v>层高</v>
      </c>
      <c r="R39" s="663" t="s">
        <v>14</v>
      </c>
      <c r="S39" s="664">
        <f t="shared" si="12"/>
        <v>100</v>
      </c>
      <c r="T39" s="663" t="s">
        <v>14</v>
      </c>
      <c r="U39" s="664">
        <f t="shared" si="13"/>
        <v>100</v>
      </c>
      <c r="V39" s="663" t="s">
        <v>14</v>
      </c>
      <c r="W39" s="664">
        <f t="shared" si="14"/>
        <v>100</v>
      </c>
      <c r="X39" s="1261"/>
      <c r="Y39" s="3554"/>
      <c r="Z39" s="1260" t="str">
        <f t="shared" si="15"/>
        <v>层高</v>
      </c>
      <c r="AA39" s="1260">
        <f t="shared" si="3"/>
        <v>1</v>
      </c>
      <c r="AB39" s="1260">
        <f t="shared" si="4"/>
        <v>1</v>
      </c>
      <c r="AC39" s="1260">
        <f t="shared" si="5"/>
        <v>1</v>
      </c>
    </row>
    <row r="40" spans="1:29" ht="15" hidden="1">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7"/>
      <c r="M40" s="2482"/>
      <c r="N40" s="2482"/>
      <c r="O40" s="2482"/>
      <c r="P40" s="3552"/>
      <c r="Q40" s="1259" t="str">
        <f t="shared" si="11"/>
        <v>单套建筑面积</v>
      </c>
      <c r="R40" s="663" t="s">
        <v>14</v>
      </c>
      <c r="S40" s="664">
        <f t="shared" si="12"/>
        <v>100</v>
      </c>
      <c r="T40" s="663" t="s">
        <v>14</v>
      </c>
      <c r="U40" s="664">
        <f t="shared" si="13"/>
        <v>100</v>
      </c>
      <c r="V40" s="663" t="s">
        <v>14</v>
      </c>
      <c r="W40" s="664">
        <f t="shared" si="14"/>
        <v>100</v>
      </c>
      <c r="X40" s="1261"/>
      <c r="Y40" s="3554"/>
      <c r="Z40" s="1260" t="str">
        <f t="shared" si="15"/>
        <v>单套建筑面积</v>
      </c>
      <c r="AA40" s="1260">
        <f t="shared" si="3"/>
        <v>1</v>
      </c>
      <c r="AB40" s="1260">
        <f t="shared" si="4"/>
        <v>1</v>
      </c>
      <c r="AC40" s="1260">
        <f t="shared" si="5"/>
        <v>1</v>
      </c>
    </row>
    <row r="41" spans="1:29" s="407" customFormat="1" ht="15" hidden="1">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552"/>
      <c r="Q41" s="530" t="str">
        <f t="shared" si="11"/>
        <v>进深比</v>
      </c>
      <c r="R41" s="665" t="s">
        <v>14</v>
      </c>
      <c r="S41" s="666">
        <f t="shared" si="12"/>
        <v>100</v>
      </c>
      <c r="T41" s="665" t="s">
        <v>14</v>
      </c>
      <c r="U41" s="666">
        <f t="shared" si="13"/>
        <v>100</v>
      </c>
      <c r="V41" s="665" t="s">
        <v>14</v>
      </c>
      <c r="W41" s="666">
        <f t="shared" si="14"/>
        <v>100</v>
      </c>
      <c r="X41" s="667"/>
      <c r="Y41" s="3554"/>
      <c r="Z41" s="668" t="str">
        <f t="shared" si="15"/>
        <v>进深比</v>
      </c>
      <c r="AA41" s="1260">
        <f t="shared" si="3"/>
        <v>1</v>
      </c>
      <c r="AB41" s="1260">
        <f t="shared" si="4"/>
        <v>1</v>
      </c>
      <c r="AC41" s="1260">
        <f t="shared" si="5"/>
        <v>1</v>
      </c>
    </row>
    <row r="42" spans="1:29" ht="15">
      <c r="A42" s="408"/>
      <c r="B42" s="363" t="s">
        <v>1792</v>
      </c>
      <c r="C42" s="1755" t="s">
        <v>3644</v>
      </c>
      <c r="D42" s="373">
        <v>100</v>
      </c>
      <c r="E42" s="1755" t="s">
        <v>3644</v>
      </c>
      <c r="F42" s="399">
        <f>SUMIF(122:122,E42,123:123)-SUMIF(122:122,C42,123:123)+100</f>
        <v>100</v>
      </c>
      <c r="G42" s="1755" t="s">
        <v>3644</v>
      </c>
      <c r="H42" s="373">
        <f>SUMIF(122:122,G42,123:123)-SUMIF(122:122,C42,123:123)+100</f>
        <v>100</v>
      </c>
      <c r="I42" s="1755" t="s">
        <v>3644</v>
      </c>
      <c r="J42" s="373">
        <f>SUMIF(122:122,I42,123:123)-SUMIF(122:122,C42,123:123)+100</f>
        <v>100</v>
      </c>
      <c r="K42" s="537"/>
      <c r="L42" s="2487"/>
      <c r="M42" s="2482"/>
      <c r="N42" s="2482"/>
      <c r="O42" s="2482"/>
      <c r="P42" s="3552"/>
      <c r="Q42" s="1259" t="str">
        <f t="shared" si="11"/>
        <v>内部装修</v>
      </c>
      <c r="R42" s="663" t="s">
        <v>14</v>
      </c>
      <c r="S42" s="664">
        <f t="shared" si="12"/>
        <v>100</v>
      </c>
      <c r="T42" s="663" t="s">
        <v>14</v>
      </c>
      <c r="U42" s="664">
        <f t="shared" si="13"/>
        <v>100</v>
      </c>
      <c r="V42" s="663" t="s">
        <v>14</v>
      </c>
      <c r="W42" s="664">
        <f t="shared" si="14"/>
        <v>100</v>
      </c>
      <c r="X42" s="1261"/>
      <c r="Y42" s="3554"/>
      <c r="Z42" s="1260" t="str">
        <f t="shared" si="15"/>
        <v>内部装修</v>
      </c>
      <c r="AA42" s="1260">
        <f t="shared" si="3"/>
        <v>1</v>
      </c>
      <c r="AB42" s="1260">
        <f t="shared" si="4"/>
        <v>1</v>
      </c>
      <c r="AC42" s="1260">
        <f t="shared" si="5"/>
        <v>1</v>
      </c>
    </row>
    <row r="43" spans="1:29" ht="15">
      <c r="A43" s="408"/>
      <c r="B43" s="363" t="s">
        <v>1707</v>
      </c>
      <c r="C43" s="1755"/>
      <c r="D43" s="373">
        <v>100</v>
      </c>
      <c r="E43" s="1755"/>
      <c r="F43" s="399">
        <f>SUMIF(124:124,E43,125:125)-SUMIF(124:124,C43,125:125)+100</f>
        <v>100</v>
      </c>
      <c r="G43" s="1755"/>
      <c r="H43" s="373">
        <f>SUMIF(124:124,G43,125:125)-SUMIF(124:124,C43,125:125)+100</f>
        <v>100</v>
      </c>
      <c r="I43" s="1755"/>
      <c r="J43" s="373">
        <f>SUMIF(124:124,I43,125:125)-SUMIF(124:124,C43,125:125)+100</f>
        <v>100</v>
      </c>
      <c r="K43" s="537"/>
      <c r="L43" s="2487"/>
      <c r="M43" s="2482"/>
      <c r="N43" s="2482"/>
      <c r="O43" s="2482"/>
      <c r="P43" s="3552"/>
      <c r="Q43" s="1259" t="str">
        <f t="shared" si="11"/>
        <v>内部装修维护情况</v>
      </c>
      <c r="R43" s="663" t="s">
        <v>14</v>
      </c>
      <c r="S43" s="664">
        <f t="shared" si="12"/>
        <v>100</v>
      </c>
      <c r="T43" s="663" t="s">
        <v>14</v>
      </c>
      <c r="U43" s="664">
        <f t="shared" si="13"/>
        <v>100</v>
      </c>
      <c r="V43" s="663" t="s">
        <v>14</v>
      </c>
      <c r="W43" s="664">
        <f t="shared" si="14"/>
        <v>100</v>
      </c>
      <c r="X43" s="1261"/>
      <c r="Y43" s="3554"/>
      <c r="Z43" s="1260" t="str">
        <f t="shared" si="15"/>
        <v>内部装修维护情况</v>
      </c>
      <c r="AA43" s="1260">
        <f t="shared" si="3"/>
        <v>1</v>
      </c>
      <c r="AB43" s="1260">
        <f t="shared" si="4"/>
        <v>1</v>
      </c>
      <c r="AC43" s="1260">
        <f t="shared" si="5"/>
        <v>1</v>
      </c>
    </row>
    <row r="44" spans="1:29" s="101" customFormat="1" ht="15">
      <c r="A44" s="409"/>
      <c r="B44" s="1062">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552"/>
      <c r="Q44" s="529">
        <f t="shared" si="11"/>
        <v>111</v>
      </c>
      <c r="R44" s="660" t="s">
        <v>14</v>
      </c>
      <c r="S44" s="661">
        <f t="shared" si="12"/>
        <v>100</v>
      </c>
      <c r="T44" s="660" t="s">
        <v>14</v>
      </c>
      <c r="U44" s="661">
        <f t="shared" si="13"/>
        <v>100</v>
      </c>
      <c r="V44" s="660" t="s">
        <v>14</v>
      </c>
      <c r="W44" s="661">
        <f t="shared" si="14"/>
        <v>100</v>
      </c>
      <c r="X44" s="662"/>
      <c r="Y44" s="3554"/>
      <c r="Z44" s="50">
        <f t="shared" si="15"/>
        <v>111</v>
      </c>
      <c r="AA44" s="50">
        <f t="shared" si="3"/>
        <v>1</v>
      </c>
      <c r="AB44" s="50">
        <f t="shared" si="4"/>
        <v>1</v>
      </c>
      <c r="AC44" s="50">
        <f t="shared" si="5"/>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552"/>
      <c r="Q45" s="1259">
        <f t="shared" si="11"/>
        <v>111</v>
      </c>
      <c r="R45" s="663" t="s">
        <v>14</v>
      </c>
      <c r="S45" s="664">
        <f t="shared" si="12"/>
        <v>100</v>
      </c>
      <c r="T45" s="663" t="s">
        <v>14</v>
      </c>
      <c r="U45" s="664">
        <f t="shared" si="13"/>
        <v>100</v>
      </c>
      <c r="V45" s="663" t="s">
        <v>14</v>
      </c>
      <c r="W45" s="664">
        <f t="shared" si="14"/>
        <v>100</v>
      </c>
      <c r="X45" s="1261"/>
      <c r="Y45" s="3554"/>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553"/>
      <c r="Q46" s="1259">
        <f t="shared" si="11"/>
        <v>111</v>
      </c>
      <c r="R46" s="663" t="s">
        <v>14</v>
      </c>
      <c r="S46" s="664">
        <f t="shared" si="12"/>
        <v>100</v>
      </c>
      <c r="T46" s="663" t="s">
        <v>14</v>
      </c>
      <c r="U46" s="664">
        <f t="shared" si="13"/>
        <v>100</v>
      </c>
      <c r="V46" s="663" t="s">
        <v>14</v>
      </c>
      <c r="W46" s="664">
        <f t="shared" si="14"/>
        <v>100</v>
      </c>
      <c r="X46" s="1261"/>
      <c r="Y46" s="3555"/>
      <c r="Z46" s="1260">
        <f t="shared" si="15"/>
        <v>111</v>
      </c>
      <c r="AA46" s="1260">
        <f t="shared" si="3"/>
        <v>1</v>
      </c>
      <c r="AB46" s="1260">
        <f t="shared" si="4"/>
        <v>1</v>
      </c>
      <c r="AC46" s="1260">
        <f t="shared" si="5"/>
        <v>1</v>
      </c>
    </row>
    <row r="47" spans="1:29" ht="15">
      <c r="A47" s="415" t="s">
        <v>1708</v>
      </c>
      <c r="B47" s="416"/>
      <c r="C47" s="1077" t="s">
        <v>0</v>
      </c>
      <c r="D47" s="417"/>
      <c r="E47" s="418">
        <f>Sheet1!P7</f>
        <v>7</v>
      </c>
      <c r="F47" s="419"/>
      <c r="G47" s="420">
        <f>Sheet1!P9</f>
        <v>8.1999999999999993</v>
      </c>
      <c r="H47" s="421"/>
      <c r="I47" s="418">
        <f>Sheet1!P10</f>
        <v>7.8</v>
      </c>
      <c r="J47" s="421"/>
      <c r="K47" s="670"/>
      <c r="L47" s="2489"/>
      <c r="M47" s="2482"/>
      <c r="N47" s="2482"/>
      <c r="O47" s="2482"/>
      <c r="P47" s="3548" t="str">
        <f>A47</f>
        <v>成交单价（元/平方米）</v>
      </c>
      <c r="Q47" s="3548"/>
      <c r="R47" s="3543">
        <f>E47</f>
        <v>7</v>
      </c>
      <c r="S47" s="3543"/>
      <c r="T47" s="3543">
        <f>G47</f>
        <v>8.1999999999999993</v>
      </c>
      <c r="U47" s="3543"/>
      <c r="V47" s="3543">
        <f>I47</f>
        <v>7.8</v>
      </c>
      <c r="W47" s="3543"/>
      <c r="X47" s="384"/>
      <c r="Y47" s="669"/>
      <c r="Z47" s="384"/>
      <c r="AA47" s="384"/>
      <c r="AB47" s="384"/>
      <c r="AC47" s="384"/>
    </row>
    <row r="48" spans="1:29" ht="15.75" thickBot="1">
      <c r="A48" s="422" t="s">
        <v>1709</v>
      </c>
      <c r="B48" s="423"/>
      <c r="C48" s="1078">
        <f>R49</f>
        <v>6</v>
      </c>
      <c r="D48" s="2136" t="s">
        <v>2135</v>
      </c>
      <c r="E48" s="1079">
        <f>R48</f>
        <v>5.4</v>
      </c>
      <c r="F48" s="2137"/>
      <c r="G48" s="1078">
        <f>T48</f>
        <v>6.4</v>
      </c>
      <c r="H48" s="2137"/>
      <c r="I48" s="1079">
        <f>V48</f>
        <v>6.1</v>
      </c>
      <c r="J48" s="2137"/>
      <c r="K48" s="2139">
        <f>F48+H48+J48</f>
        <v>0</v>
      </c>
      <c r="L48" s="2489"/>
      <c r="M48" s="2482"/>
      <c r="N48" s="2482"/>
      <c r="O48" s="2482"/>
      <c r="P48" s="3548" t="str">
        <f>A48</f>
        <v>比较价值（元/平方米）</v>
      </c>
      <c r="Q48" s="3548"/>
      <c r="R48" s="3543">
        <f>IF(F1="售价",ROUND(PRODUCT(R47,AA7:AA46),0),ROUND(PRODUCT(R47,AA7:AA46),1))</f>
        <v>5.4</v>
      </c>
      <c r="S48" s="3543"/>
      <c r="T48" s="3543">
        <f>IF(F1="售价",ROUND(PRODUCT(T47,AB7:AB46),0),ROUND(PRODUCT(T47,AB7:AB46),1))</f>
        <v>6.4</v>
      </c>
      <c r="U48" s="3543"/>
      <c r="V48" s="3543">
        <f>IF(F1="售价",ROUND(PRODUCT(V47,AC7:AC46),0),ROUND(PRODUCT(V47,AC7:AC46),1))</f>
        <v>6.1</v>
      </c>
      <c r="W48" s="3543"/>
      <c r="X48" s="384"/>
      <c r="Y48" s="384"/>
      <c r="Z48" s="384"/>
      <c r="AA48" s="384"/>
      <c r="AB48" s="384"/>
      <c r="AC48" s="384"/>
    </row>
    <row r="49" spans="1:29" ht="15.75" thickBot="1">
      <c r="A49" s="426" t="s">
        <v>1710</v>
      </c>
      <c r="B49" s="427"/>
      <c r="C49" s="350">
        <f>R49</f>
        <v>6</v>
      </c>
      <c r="D49" s="350"/>
      <c r="E49" s="350"/>
      <c r="F49" s="350"/>
      <c r="G49" s="350"/>
      <c r="H49" s="350"/>
      <c r="I49" s="350"/>
      <c r="J49" s="350"/>
      <c r="K49" s="671"/>
      <c r="L49" s="2489"/>
      <c r="M49" s="2482"/>
      <c r="N49" s="2482"/>
      <c r="O49" s="2482"/>
      <c r="P49" s="3545" t="str">
        <f>A49</f>
        <v>估价对象XX用房的比较价值（楼面单价，元/平方米）</v>
      </c>
      <c r="Q49" s="3546"/>
      <c r="R49" s="3547">
        <f>IF(F1="售价",ROUND(IF(D48="简单平均",AVERAGE(R48:V48),R48*F48+T48*H48+V48*J48),0),ROUND(IF(D48="简单平均",AVERAGE(R48:V48),R48*F48+T48*H48+V48*J48),1))</f>
        <v>6</v>
      </c>
      <c r="S49" s="3547"/>
      <c r="T49" s="3547"/>
      <c r="U49" s="3547"/>
      <c r="V49" s="3547"/>
      <c r="W49" s="354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1711</v>
      </c>
      <c r="D52" s="432"/>
      <c r="E52" s="433">
        <f>IF(E47&lt;E48,E48/E47-1,E47/E48-1)</f>
        <v>0.29629629629629628</v>
      </c>
      <c r="F52" s="434" t="str">
        <f>IF(OR(E52&gt;=0.3,E52&lt;=-0.3),"超过30%","")</f>
        <v/>
      </c>
      <c r="G52" s="433">
        <f>IF(G47&lt;G48,G48/G47-1,G47/G48-1)</f>
        <v>0.28124999999999978</v>
      </c>
      <c r="H52" s="434" t="str">
        <f>IF(OR(G52&gt;=0.3,G52&lt;=-0.3),"超过30%","")</f>
        <v/>
      </c>
      <c r="I52" s="433">
        <f>IF(I47&lt;I48,I48/I47-1,I47/I48-1)</f>
        <v>0.27868852459016402</v>
      </c>
      <c r="J52" s="434"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1712</v>
      </c>
      <c r="D53" s="435"/>
      <c r="E53" s="433">
        <f>IF(E48&lt;G48,G48/E48-1,E48/G48-1)</f>
        <v>0.18518518518518512</v>
      </c>
      <c r="F53" s="434" t="str">
        <f>IF(OR(E53&gt;=0.2,E53&lt;=-0.2),"超过20%","")</f>
        <v/>
      </c>
      <c r="G53" s="433">
        <f>IF(G48&lt;I48,I48/G48-1,G48/I48-1)</f>
        <v>4.9180327868852514E-2</v>
      </c>
      <c r="H53" s="434" t="str">
        <f>IF(OR(G53&gt;=0.2,G53&lt;=-0.2),"超过20%","")</f>
        <v/>
      </c>
      <c r="I53" s="433">
        <f>IF(I48&lt;E48,E48/I48-1,I48/E48-1)</f>
        <v>0.12962962962962954</v>
      </c>
      <c r="J53" s="434"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1713</v>
      </c>
      <c r="D54" s="435"/>
      <c r="E54" s="433">
        <f>IF(E47&lt;G47,G47/E47-1,E47/G47-1)</f>
        <v>0.17142857142857126</v>
      </c>
      <c r="F54" s="434" t="str">
        <f>IF(OR(E54&gt;=0.3,E54&lt;=-0.3),"超过30%","")</f>
        <v/>
      </c>
      <c r="G54" s="433">
        <f>IF(G47&lt;I47,I47/G47-1,G47/I47-1)</f>
        <v>5.1282051282051322E-2</v>
      </c>
      <c r="H54" s="434" t="str">
        <f>IF(OR(G54&gt;=0.3,G54&lt;=-0.3),"超过30%","")</f>
        <v/>
      </c>
      <c r="I54" s="433">
        <f>IF(I47&lt;E47,E47/I47-1,I47/E47-1)</f>
        <v>0.11428571428571432</v>
      </c>
      <c r="J54" s="434"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4" t="s">
        <v>1714</v>
      </c>
      <c r="B57" s="384"/>
      <c r="C57" s="655"/>
      <c r="D57" s="655"/>
      <c r="E57" s="655"/>
      <c r="F57" s="656"/>
      <c r="G57" s="656"/>
      <c r="H57" s="655"/>
      <c r="I57" s="655"/>
      <c r="J57" s="655"/>
      <c r="K57" s="657"/>
      <c r="L57" s="884"/>
      <c r="M57" s="882"/>
      <c r="N57" s="882"/>
      <c r="O57" s="882"/>
      <c r="P57" s="2502"/>
      <c r="Q57" s="2503"/>
      <c r="R57" s="2482"/>
      <c r="S57" s="2482"/>
      <c r="T57" s="2482"/>
      <c r="U57" s="2482"/>
      <c r="V57" s="2482"/>
      <c r="W57" s="2482"/>
      <c r="X57" s="2482"/>
      <c r="Y57" s="2482"/>
      <c r="Z57" s="2482"/>
      <c r="AA57" s="2482"/>
      <c r="AB57" s="2482"/>
      <c r="AC57" s="2482"/>
    </row>
    <row r="58" spans="1:29" s="441" customFormat="1" ht="15">
      <c r="A58" s="439" t="s">
        <v>1679</v>
      </c>
      <c r="B58" s="440"/>
      <c r="C58" s="1099" t="str">
        <f>YEAR(C7)&amp;"-"&amp;MONTH(C7)</f>
        <v>2024-6</v>
      </c>
      <c r="D58" s="1100">
        <f>EDATE(C58,-1)</f>
        <v>45413</v>
      </c>
      <c r="E58" s="1100">
        <f t="shared" ref="E58:N58" si="16">EDATE(D58,-1)</f>
        <v>45383</v>
      </c>
      <c r="F58" s="1100">
        <f t="shared" si="16"/>
        <v>45352</v>
      </c>
      <c r="G58" s="1100">
        <f t="shared" si="16"/>
        <v>45323</v>
      </c>
      <c r="H58" s="1100">
        <f t="shared" si="16"/>
        <v>45292</v>
      </c>
      <c r="I58" s="1100">
        <f t="shared" si="16"/>
        <v>45261</v>
      </c>
      <c r="J58" s="1100">
        <f t="shared" si="16"/>
        <v>45231</v>
      </c>
      <c r="K58" s="1100">
        <f t="shared" si="16"/>
        <v>45200</v>
      </c>
      <c r="L58" s="1100">
        <f t="shared" si="16"/>
        <v>45170</v>
      </c>
      <c r="M58" s="1100">
        <f t="shared" si="16"/>
        <v>45139</v>
      </c>
      <c r="N58" s="1100">
        <f t="shared" si="16"/>
        <v>45108</v>
      </c>
      <c r="O58" s="1100">
        <f>EDATE(N58,-1)</f>
        <v>45078</v>
      </c>
      <c r="P58" s="2504"/>
      <c r="Q58" s="2505"/>
      <c r="R58" s="2505"/>
      <c r="S58" s="2505"/>
      <c r="T58" s="2505"/>
      <c r="U58" s="2505"/>
      <c r="V58" s="2505"/>
      <c r="W58" s="2505"/>
      <c r="X58" s="2505"/>
      <c r="Y58" s="2505"/>
      <c r="Z58" s="2505"/>
      <c r="AA58" s="2505"/>
      <c r="AB58" s="2505"/>
      <c r="AC58" s="2505"/>
    </row>
    <row r="59" spans="1:29" s="101" customFormat="1" ht="15">
      <c r="A59" s="442"/>
      <c r="B59" s="443"/>
      <c r="C59" s="1098">
        <v>100</v>
      </c>
      <c r="D59" s="445">
        <v>100</v>
      </c>
      <c r="E59" s="445">
        <v>100</v>
      </c>
      <c r="F59" s="445">
        <v>100</v>
      </c>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1718</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v>0</v>
      </c>
      <c r="D68" s="479">
        <v>1</v>
      </c>
      <c r="E68" s="479">
        <v>2</v>
      </c>
      <c r="F68" s="479">
        <v>3</v>
      </c>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95</v>
      </c>
      <c r="E77" s="474">
        <f>D77-$K15</f>
        <v>90</v>
      </c>
      <c r="F77" s="474">
        <f>E77-$K15</f>
        <v>85</v>
      </c>
      <c r="G77" s="474">
        <f>F77-$K15</f>
        <v>80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98</v>
      </c>
      <c r="E79" s="474">
        <f>D79-$K17</f>
        <v>96</v>
      </c>
      <c r="F79" s="474">
        <f>E79-$K17</f>
        <v>94</v>
      </c>
      <c r="G79" s="474">
        <f>F79-$K17</f>
        <v>92</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79" t="s">
        <v>1799</v>
      </c>
      <c r="D82" s="579" t="s">
        <v>1800</v>
      </c>
      <c r="E82" s="579" t="s">
        <v>1801</v>
      </c>
      <c r="F82" s="579" t="s">
        <v>1802</v>
      </c>
      <c r="G82" s="579" t="s">
        <v>1803</v>
      </c>
      <c r="H82" s="469"/>
      <c r="I82" s="469"/>
      <c r="J82" s="469"/>
      <c r="K82" s="469"/>
      <c r="L82" s="469"/>
      <c r="M82" s="1059"/>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3232" t="s">
        <v>3613</v>
      </c>
      <c r="D86" s="3232" t="s">
        <v>3614</v>
      </c>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3232" t="s">
        <v>3621</v>
      </c>
      <c r="D88" s="3232" t="s">
        <v>3620</v>
      </c>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v>100</v>
      </c>
      <c r="D89" s="466">
        <v>95</v>
      </c>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3232" t="s">
        <v>3615</v>
      </c>
      <c r="D90" s="3232" t="s">
        <v>3616</v>
      </c>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t="s">
        <v>3617</v>
      </c>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v>100</v>
      </c>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3233" t="s">
        <v>3610</v>
      </c>
      <c r="D100" s="3233" t="s">
        <v>3611</v>
      </c>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v>
      </c>
      <c r="H102" s="508" t="str">
        <f t="shared" si="23"/>
        <v>(含)-</v>
      </c>
      <c r="I102" s="508" t="str">
        <f t="shared" si="23"/>
        <v>(含)-</v>
      </c>
      <c r="J102" s="508" t="str">
        <f t="shared" si="23"/>
        <v>(含)-</v>
      </c>
      <c r="K102" s="508" t="str">
        <f t="shared" si="23"/>
        <v>(含)-</v>
      </c>
      <c r="L102" s="508"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3246">
        <v>0</v>
      </c>
      <c r="D103" s="3246">
        <v>100</v>
      </c>
      <c r="E103" s="3246">
        <v>200</v>
      </c>
      <c r="F103" s="3246">
        <v>300</v>
      </c>
      <c r="G103" s="3246">
        <v>400</v>
      </c>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3635">
        <v>100</v>
      </c>
      <c r="D104" s="3635">
        <v>99</v>
      </c>
      <c r="E104" s="3635">
        <v>98</v>
      </c>
      <c r="F104" s="3635">
        <v>97</v>
      </c>
      <c r="G104" s="3635">
        <v>96</v>
      </c>
      <c r="H104" s="3635">
        <v>95</v>
      </c>
      <c r="I104" s="3635">
        <v>94</v>
      </c>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3232" t="s">
        <v>3612</v>
      </c>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3232" t="s">
        <v>3641</v>
      </c>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3232" t="s">
        <v>3639</v>
      </c>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3232" t="s">
        <v>3625</v>
      </c>
      <c r="D114" s="3232" t="s">
        <v>3623</v>
      </c>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3232" t="s">
        <v>3643</v>
      </c>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0"/>
      <c r="D118" s="550"/>
      <c r="E118" s="550"/>
      <c r="F118" s="550"/>
      <c r="G118" s="550"/>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3232" t="s">
        <v>3645</v>
      </c>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40CC-A25C-4C32-8943-C88BC2134A31}">
  <dimension ref="M4:P65"/>
  <sheetViews>
    <sheetView workbookViewId="0">
      <selection activeCell="O15" sqref="O15"/>
    </sheetView>
  </sheetViews>
  <sheetFormatPr defaultRowHeight="13.5"/>
  <cols>
    <col min="13" max="16" width="11.125" customWidth="1"/>
  </cols>
  <sheetData>
    <row r="4" spans="13:16">
      <c r="M4" s="3634" t="s">
        <v>3659</v>
      </c>
    </row>
    <row r="7" spans="13:16">
      <c r="M7" s="1401" t="s">
        <v>3669</v>
      </c>
      <c r="N7" s="1401" t="s">
        <v>3665</v>
      </c>
      <c r="O7">
        <v>60</v>
      </c>
      <c r="P7">
        <v>7</v>
      </c>
    </row>
    <row r="8" spans="13:16">
      <c r="M8" s="1401" t="s">
        <v>3662</v>
      </c>
      <c r="N8" s="1401" t="s">
        <v>3663</v>
      </c>
      <c r="O8">
        <v>160</v>
      </c>
      <c r="P8">
        <v>9.3800000000000008</v>
      </c>
    </row>
    <row r="9" spans="13:16">
      <c r="M9" s="1401" t="s">
        <v>3664</v>
      </c>
      <c r="N9" s="1401" t="s">
        <v>3665</v>
      </c>
      <c r="O9">
        <v>183</v>
      </c>
      <c r="P9">
        <v>8.1999999999999993</v>
      </c>
    </row>
    <row r="10" spans="13:16">
      <c r="M10" s="1401" t="s">
        <v>3664</v>
      </c>
      <c r="N10" s="1401" t="s">
        <v>3665</v>
      </c>
      <c r="O10">
        <v>291</v>
      </c>
      <c r="P10">
        <v>7.8</v>
      </c>
    </row>
    <row r="11" spans="13:16">
      <c r="M11" s="1401" t="s">
        <v>3668</v>
      </c>
      <c r="N11" s="1401" t="s">
        <v>3665</v>
      </c>
      <c r="O11">
        <v>121</v>
      </c>
      <c r="P11">
        <v>9</v>
      </c>
    </row>
    <row r="15" spans="13:16">
      <c r="M15" s="1401" t="s">
        <v>3669</v>
      </c>
      <c r="N15">
        <v>188.56</v>
      </c>
      <c r="O15">
        <v>42400</v>
      </c>
    </row>
    <row r="16" spans="13:16">
      <c r="M16" s="1401" t="s">
        <v>3669</v>
      </c>
      <c r="N16">
        <v>240</v>
      </c>
      <c r="O16">
        <v>40000</v>
      </c>
    </row>
    <row r="17" spans="13:15">
      <c r="M17" s="1401" t="s">
        <v>3669</v>
      </c>
      <c r="N17">
        <v>388</v>
      </c>
      <c r="O17">
        <v>41200</v>
      </c>
    </row>
    <row r="24" spans="13:15">
      <c r="M24" s="3634" t="s">
        <v>3660</v>
      </c>
    </row>
    <row r="41" spans="13:13">
      <c r="M41" s="3634" t="s">
        <v>3661</v>
      </c>
    </row>
    <row r="65" spans="13:13">
      <c r="M65" s="3634" t="s">
        <v>3667</v>
      </c>
    </row>
  </sheetData>
  <phoneticPr fontId="134" type="noConversion"/>
  <hyperlinks>
    <hyperlink ref="M4" r:id="rId1" display="https://bj.58.com/shangpu/58270737585828x.shtml?utm_source=market&amp;prd=n7rBZOrydYtl7iFTGegbTQ%3D%3D&amp;houseId=3428781898981382&amp;gpos=8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50" xr:uid="{6CF73D20-8DC2-4CB2-9805-599CB8C838C9}"/>
    <hyperlink ref="M24" r:id="rId2" display="https://bj.58.com/shangpu/54435643084319x.shtml?utm_source=market&amp;prd=J%2B6vMe9V9XqvWjZRBzuuuA%3D%3D&amp;houseId=3045720630812686&amp;gpos=6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29" xr:uid="{4A6D40CB-601D-4C62-83F9-6AD6DF670571}"/>
    <hyperlink ref="M41" r:id="rId3" display="https://bj.58.com/shangpu/58690125095814x.shtml?utm_source=market&amp;prd=qdae9s0aI%2BPAsrL8OocS7g%3D%3D&amp;houseId=3590294328123395&amp;gpos=16&amp;positionType=anxuanhouseplus&amp;filterJson=eyJTSEFOR1FVQU4iOlt7ImtleSI6IiIsImxhYmVsIjoi5LiJ6YeM5bGvIiwidmFsIjoic2FubGl0dW4ifV0sIlFVWVUiOlt7ImtleSI6IiIsImxhYmVsIjoi5pyd6ZizIiwidmFsIjoiY2hhb3lhbmcifV19&amp;jx_abtest=ZWljX3N5ZGNfcGNfcmVjb21tZW5kX3Rlc3QscHRyX2ZhbmdfYnVkZ2V0X2JvdHRvbXwxLHVzZXJfcGhhc2VfbA&amp;list_type=main&amp;PGTID=0d306b35-0000-1c8b-3151-4032a53572c6&amp;ClickID=33" xr:uid="{4F9BE2F5-D6C5-4800-A54D-49A0CA43EB45}"/>
    <hyperlink ref="M65" r:id="rId4" display="https://bj.58.com/shangpu/58812188479888x.shtml?utm_source=market&amp;prd=HbLyV8%2F9m%2B6psEtT3trIWw%3D%3D&amp;houseId=3605918441118728&amp;gpos=225&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37f-e7a9-ba810aec27b9&amp;ClickID=47" xr:uid="{295E5492-A1F6-49A7-A418-8B8D5E8A728B}"/>
  </hyperlinks>
  <pageMargins left="0.7" right="0.7" top="0.75" bottom="0.75" header="0.3" footer="0.3"/>
  <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3" t="s">
        <v>1810</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IF(E1="项目模式",IF(C2="——",ROUND(C50*D3/10000,0),ROUND(C50*D3/10000,0)-D2),IF(E1="单套模式",IF(C2="——",ROUND(C50*D3/10000,4),ROUND(C50*D3/10000,4)-D2)))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f>IF(C2="——",C50,ROUND(B2*10000/D3,0))</f>
        <v>0</v>
      </c>
      <c r="C3" s="343" t="s">
        <v>1768</v>
      </c>
      <c r="D3" s="342">
        <f>IF(D1="",'数据-汇总表'!E3,SUMIF('数据-汇总表'!$C19:$C33,D1,'数据-汇总表'!$E19:$E33))</f>
        <v>1279.97</v>
      </c>
      <c r="E3" s="1800"/>
      <c r="F3" s="852"/>
      <c r="G3" s="851"/>
      <c r="H3" s="851"/>
      <c r="I3" s="851"/>
      <c r="J3" s="851"/>
      <c r="K3" s="853"/>
      <c r="L3" s="2498"/>
      <c r="M3" s="2499"/>
      <c r="N3" s="2499"/>
      <c r="O3" s="2499"/>
      <c r="P3" s="340"/>
      <c r="Q3" s="340"/>
      <c r="R3" s="340"/>
      <c r="S3" s="340"/>
      <c r="T3" s="340"/>
      <c r="U3" s="340"/>
      <c r="V3" s="340"/>
      <c r="W3" s="340"/>
      <c r="X3" s="340"/>
      <c r="Y3" s="340"/>
      <c r="Z3" s="340"/>
      <c r="AA3" s="340"/>
      <c r="AB3" s="340"/>
      <c r="AC3" s="659"/>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66" t="s">
        <v>1775</v>
      </c>
      <c r="Q4" s="3567"/>
      <c r="R4" s="3561" t="s">
        <v>1771</v>
      </c>
      <c r="S4" s="3562"/>
      <c r="T4" s="3561" t="s">
        <v>1772</v>
      </c>
      <c r="U4" s="3562"/>
      <c r="V4" s="3570" t="s">
        <v>1773</v>
      </c>
      <c r="W4" s="3570"/>
      <c r="X4" s="1804"/>
      <c r="Y4" s="3561" t="s">
        <v>1775</v>
      </c>
      <c r="Z4" s="3562"/>
      <c r="AA4" s="3560" t="s">
        <v>1771</v>
      </c>
      <c r="AB4" s="3560" t="s">
        <v>1772</v>
      </c>
      <c r="AC4" s="3563" t="s">
        <v>1773</v>
      </c>
    </row>
    <row r="5" spans="1:29" ht="15">
      <c r="A5" s="347"/>
      <c r="B5" s="348"/>
      <c r="C5" s="3524" t="s">
        <v>1673</v>
      </c>
      <c r="D5" s="3525"/>
      <c r="E5" s="3522" t="s">
        <v>1674</v>
      </c>
      <c r="F5" s="3523"/>
      <c r="G5" s="3524" t="s">
        <v>1675</v>
      </c>
      <c r="H5" s="3525"/>
      <c r="I5" s="3524" t="s">
        <v>1676</v>
      </c>
      <c r="J5" s="3525"/>
      <c r="K5" s="536"/>
      <c r="L5" s="2481"/>
      <c r="M5" s="2482"/>
      <c r="N5" s="2482"/>
      <c r="O5" s="2482"/>
      <c r="P5" s="3568"/>
      <c r="Q5" s="3538"/>
      <c r="R5" s="3520"/>
      <c r="S5" s="3521"/>
      <c r="T5" s="3520"/>
      <c r="U5" s="3521"/>
      <c r="V5" s="3543"/>
      <c r="W5" s="3543"/>
      <c r="X5" s="1261"/>
      <c r="Y5" s="3520"/>
      <c r="Z5" s="3521"/>
      <c r="AA5" s="3514"/>
      <c r="AB5" s="3514"/>
      <c r="AC5" s="356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69"/>
      <c r="Q6" s="3540"/>
      <c r="R6" s="3520"/>
      <c r="S6" s="3521"/>
      <c r="T6" s="3541"/>
      <c r="U6" s="3542"/>
      <c r="V6" s="3543"/>
      <c r="W6" s="3543"/>
      <c r="X6" s="1261"/>
      <c r="Y6" s="3541"/>
      <c r="Z6" s="3542"/>
      <c r="AA6" s="3515"/>
      <c r="AB6" s="3515"/>
      <c r="AC6" s="3565"/>
    </row>
    <row r="7" spans="1:29" s="101" customFormat="1" ht="15.75" thickBot="1">
      <c r="A7" s="351" t="s">
        <v>1679</v>
      </c>
      <c r="B7" s="352"/>
      <c r="C7" s="353">
        <f>'数据-取费表'!B2</f>
        <v>45467</v>
      </c>
      <c r="D7" s="354">
        <v>100</v>
      </c>
      <c r="E7" s="355"/>
      <c r="F7" s="356">
        <f>SUMIF(59:59,YEAR(E7)&amp;"-"&amp;MONTH(E7),60:60)</f>
        <v>0</v>
      </c>
      <c r="G7" s="355"/>
      <c r="H7" s="354">
        <f>SUMIF(59:59,YEAR(G7)&amp;"-"&amp;MONTH(G7),60:60)</f>
        <v>0</v>
      </c>
      <c r="I7" s="355"/>
      <c r="J7" s="354">
        <f>SUMIF(59:59,YEAR(I7)&amp;"-"&amp;MONTH(I7),60:60)</f>
        <v>0</v>
      </c>
      <c r="K7" s="38"/>
      <c r="L7" s="2483"/>
      <c r="M7" s="2434"/>
      <c r="N7" s="2434"/>
      <c r="O7" s="2434"/>
      <c r="P7" s="3571" t="s">
        <v>1680</v>
      </c>
      <c r="Q7" s="3544"/>
      <c r="R7" s="660" t="s">
        <v>14</v>
      </c>
      <c r="S7" s="661">
        <f t="shared" ref="S7:S15" si="0">F7</f>
        <v>0</v>
      </c>
      <c r="T7" s="660" t="s">
        <v>14</v>
      </c>
      <c r="U7" s="661">
        <f t="shared" ref="U7:U15" si="1">H7</f>
        <v>0</v>
      </c>
      <c r="V7" s="660" t="s">
        <v>14</v>
      </c>
      <c r="W7" s="661">
        <f t="shared" ref="W7:W15" si="2">J7</f>
        <v>0</v>
      </c>
      <c r="X7" s="662"/>
      <c r="Y7" s="3516" t="s">
        <v>1680</v>
      </c>
      <c r="Z7" s="3517"/>
      <c r="AA7" s="50" t="e">
        <f>D7/F7</f>
        <v>#DIV/0!</v>
      </c>
      <c r="AB7" s="50" t="e">
        <f>D7/H7</f>
        <v>#DIV/0!</v>
      </c>
      <c r="AC7" s="798"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571" t="s">
        <v>1683</v>
      </c>
      <c r="Q8" s="3517"/>
      <c r="R8" s="660" t="s">
        <v>14</v>
      </c>
      <c r="S8" s="661">
        <f t="shared" si="0"/>
        <v>100</v>
      </c>
      <c r="T8" s="660" t="s">
        <v>14</v>
      </c>
      <c r="U8" s="661">
        <f t="shared" si="1"/>
        <v>100</v>
      </c>
      <c r="V8" s="660" t="s">
        <v>14</v>
      </c>
      <c r="W8" s="661">
        <f t="shared" si="2"/>
        <v>100</v>
      </c>
      <c r="X8" s="662"/>
      <c r="Y8" s="3516" t="s">
        <v>1683</v>
      </c>
      <c r="Z8" s="3517"/>
      <c r="AA8" s="50">
        <f t="shared" ref="AA8:AA47" si="3">D8/F8</f>
        <v>1</v>
      </c>
      <c r="AB8" s="50">
        <f t="shared" ref="AB8:AB47" si="4">D8/H8</f>
        <v>1</v>
      </c>
      <c r="AC8" s="798">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3"/>
      <c r="M9" s="2434"/>
      <c r="N9" s="2434"/>
      <c r="O9" s="2434"/>
      <c r="P9" s="3530"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798">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530"/>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798">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530"/>
      <c r="Q11" s="529" t="str">
        <f t="shared" si="6"/>
        <v>容积率</v>
      </c>
      <c r="R11" s="660" t="s">
        <v>14</v>
      </c>
      <c r="S11" s="661">
        <f t="shared" si="0"/>
        <v>100</v>
      </c>
      <c r="T11" s="660" t="s">
        <v>14</v>
      </c>
      <c r="U11" s="661">
        <f t="shared" si="1"/>
        <v>100</v>
      </c>
      <c r="V11" s="660" t="s">
        <v>14</v>
      </c>
      <c r="W11" s="661">
        <f t="shared" si="2"/>
        <v>100</v>
      </c>
      <c r="X11" s="662"/>
      <c r="Y11" s="3460"/>
      <c r="Z11" s="50" t="str">
        <f t="shared" si="7"/>
        <v>容积率</v>
      </c>
      <c r="AA11" s="50">
        <f t="shared" si="3"/>
        <v>1</v>
      </c>
      <c r="AB11" s="50">
        <f t="shared" si="4"/>
        <v>1</v>
      </c>
      <c r="AC11" s="798">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530"/>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798">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530"/>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798">
        <f t="shared" si="5"/>
        <v>1</v>
      </c>
    </row>
    <row r="14" spans="1:29" ht="15.75" thickBot="1">
      <c r="A14" s="374"/>
      <c r="B14" s="1744">
        <v>111</v>
      </c>
      <c r="C14" s="375"/>
      <c r="D14" s="376">
        <v>100</v>
      </c>
      <c r="E14" s="551"/>
      <c r="F14" s="376">
        <f>SUMIF(75:75,E14,76:76)-SUMIF(75:75,C14,76:76)+100</f>
        <v>100</v>
      </c>
      <c r="G14" s="1805"/>
      <c r="H14" s="376">
        <f>SUMIF(75:75,G14,76:76)-SUMIF(75:75,C14,76:76)+100</f>
        <v>100</v>
      </c>
      <c r="I14" s="370"/>
      <c r="J14" s="376">
        <f>SUMIF(75:75,I14,76:76)-SUMIF(75:75,C14,76:76)+100</f>
        <v>100</v>
      </c>
      <c r="K14" s="538"/>
      <c r="L14" s="2487"/>
      <c r="M14" s="2482"/>
      <c r="N14" s="2482"/>
      <c r="O14" s="2482"/>
      <c r="P14" s="3530"/>
      <c r="Q14" s="529">
        <f t="shared" si="6"/>
        <v>111</v>
      </c>
      <c r="R14" s="660" t="s">
        <v>14</v>
      </c>
      <c r="S14" s="661">
        <f t="shared" si="0"/>
        <v>100</v>
      </c>
      <c r="T14" s="660" t="s">
        <v>14</v>
      </c>
      <c r="U14" s="661">
        <f t="shared" si="1"/>
        <v>100</v>
      </c>
      <c r="V14" s="660" t="s">
        <v>14</v>
      </c>
      <c r="W14" s="661">
        <f t="shared" si="2"/>
        <v>100</v>
      </c>
      <c r="X14" s="662"/>
      <c r="Y14" s="3460"/>
      <c r="Z14" s="50">
        <f t="shared" si="7"/>
        <v>111</v>
      </c>
      <c r="AA14" s="50">
        <f t="shared" si="3"/>
        <v>1</v>
      </c>
      <c r="AB14" s="50">
        <f t="shared" si="4"/>
        <v>1</v>
      </c>
      <c r="AC14" s="798">
        <f t="shared" si="5"/>
        <v>1</v>
      </c>
    </row>
    <row r="15" spans="1:29" ht="71.25">
      <c r="A15" s="378" t="s">
        <v>1690</v>
      </c>
      <c r="B15" s="552" t="s">
        <v>1811</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556" t="s">
        <v>1691</v>
      </c>
      <c r="Q15" s="1259" t="str">
        <f t="shared" si="6"/>
        <v>办公集聚程度</v>
      </c>
      <c r="R15" s="663" t="s">
        <v>14</v>
      </c>
      <c r="S15" s="664">
        <f t="shared" si="0"/>
        <v>100</v>
      </c>
      <c r="T15" s="663" t="s">
        <v>14</v>
      </c>
      <c r="U15" s="664">
        <f t="shared" si="1"/>
        <v>100</v>
      </c>
      <c r="V15" s="663" t="s">
        <v>14</v>
      </c>
      <c r="W15" s="664">
        <f t="shared" si="2"/>
        <v>100</v>
      </c>
      <c r="X15" s="1261"/>
      <c r="Y15" s="3549" t="s">
        <v>1691</v>
      </c>
      <c r="Z15" s="1260" t="str">
        <f t="shared" si="7"/>
        <v>办公集聚程度</v>
      </c>
      <c r="AA15" s="1260">
        <f t="shared" si="3"/>
        <v>1</v>
      </c>
      <c r="AB15" s="1260">
        <f t="shared" si="4"/>
        <v>1</v>
      </c>
      <c r="AC15" s="1807">
        <f t="shared" si="5"/>
        <v>1</v>
      </c>
    </row>
    <row r="16" spans="1:29" ht="15">
      <c r="A16" s="366"/>
      <c r="B16" s="553"/>
      <c r="C16" s="1753"/>
      <c r="D16" s="386"/>
      <c r="E16" s="385"/>
      <c r="F16" s="386"/>
      <c r="G16" s="1753"/>
      <c r="H16" s="388"/>
      <c r="I16" s="385"/>
      <c r="J16" s="386"/>
      <c r="K16" s="540"/>
      <c r="L16" s="2487"/>
      <c r="M16" s="2482"/>
      <c r="N16" s="2482"/>
      <c r="O16" s="2482"/>
      <c r="P16" s="3557"/>
      <c r="Q16" s="1259"/>
      <c r="R16" s="663"/>
      <c r="S16" s="664"/>
      <c r="T16" s="663"/>
      <c r="U16" s="664"/>
      <c r="V16" s="663"/>
      <c r="W16" s="664"/>
      <c r="X16" s="1261"/>
      <c r="Y16" s="3550"/>
      <c r="Z16" s="1260"/>
      <c r="AA16" s="1260">
        <v>1</v>
      </c>
      <c r="AB16" s="1260">
        <v>1</v>
      </c>
      <c r="AC16" s="1807">
        <v>1</v>
      </c>
    </row>
    <row r="17" spans="1:29" ht="171">
      <c r="A17" s="366"/>
      <c r="B17" s="554" t="s">
        <v>1259</v>
      </c>
      <c r="C17" s="1808" t="str">
        <f>估价对象房地状况!C6</f>
        <v>估价对象周边有3路、24路、110路、117路、120路、135路、403路等多条公交线路，距离地铁10号线农业展览馆站约1000米，周边道路网线较密集，通达度较好。综合评价交通便捷度较好。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557"/>
      <c r="Q17" s="1259" t="str">
        <f>B17</f>
        <v>交通便捷度</v>
      </c>
      <c r="R17" s="663" t="s">
        <v>14</v>
      </c>
      <c r="S17" s="664">
        <f>F17</f>
        <v>100</v>
      </c>
      <c r="T17" s="663" t="s">
        <v>14</v>
      </c>
      <c r="U17" s="664">
        <f>H17</f>
        <v>100</v>
      </c>
      <c r="V17" s="663" t="s">
        <v>14</v>
      </c>
      <c r="W17" s="664">
        <f>J17</f>
        <v>100</v>
      </c>
      <c r="X17" s="1261"/>
      <c r="Y17" s="3550"/>
      <c r="Z17" s="1260" t="str">
        <f>Q17</f>
        <v>交通便捷度</v>
      </c>
      <c r="AA17" s="1260">
        <f t="shared" si="3"/>
        <v>1</v>
      </c>
      <c r="AB17" s="1260">
        <f t="shared" si="4"/>
        <v>1</v>
      </c>
      <c r="AC17" s="1807">
        <f t="shared" si="5"/>
        <v>1</v>
      </c>
    </row>
    <row r="18" spans="1:29" ht="15">
      <c r="A18" s="366"/>
      <c r="B18" s="400"/>
      <c r="C18" s="1809"/>
      <c r="D18" s="388"/>
      <c r="E18" s="1751"/>
      <c r="F18" s="388"/>
      <c r="G18" s="1752"/>
      <c r="H18" s="386"/>
      <c r="I18" s="1752"/>
      <c r="J18" s="386"/>
      <c r="K18" s="540"/>
      <c r="L18" s="2487"/>
      <c r="M18" s="2482"/>
      <c r="N18" s="2482"/>
      <c r="O18" s="2482"/>
      <c r="P18" s="3557"/>
      <c r="Q18" s="1259"/>
      <c r="R18" s="663"/>
      <c r="S18" s="664"/>
      <c r="T18" s="663"/>
      <c r="U18" s="664"/>
      <c r="V18" s="663"/>
      <c r="W18" s="664"/>
      <c r="X18" s="1261"/>
      <c r="Y18" s="3550"/>
      <c r="Z18" s="1260"/>
      <c r="AA18" s="1260">
        <v>1</v>
      </c>
      <c r="AB18" s="1260">
        <v>1</v>
      </c>
      <c r="AC18" s="1807">
        <v>1</v>
      </c>
    </row>
    <row r="19" spans="1:29" ht="356.25">
      <c r="A19" s="366"/>
      <c r="B19" s="554" t="s">
        <v>1812</v>
      </c>
      <c r="C19" s="1808"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557"/>
      <c r="Q19" s="1259" t="str">
        <f>B19</f>
        <v>公共配套设施</v>
      </c>
      <c r="R19" s="663" t="s">
        <v>14</v>
      </c>
      <c r="S19" s="664">
        <f>F19</f>
        <v>100</v>
      </c>
      <c r="T19" s="663" t="s">
        <v>14</v>
      </c>
      <c r="U19" s="664">
        <f>H19</f>
        <v>100</v>
      </c>
      <c r="V19" s="663" t="s">
        <v>14</v>
      </c>
      <c r="W19" s="664">
        <f>J19</f>
        <v>100</v>
      </c>
      <c r="X19" s="1261"/>
      <c r="Y19" s="3550"/>
      <c r="Z19" s="1260" t="str">
        <f>Q19</f>
        <v>公共配套设施</v>
      </c>
      <c r="AA19" s="1260">
        <f t="shared" si="3"/>
        <v>1</v>
      </c>
      <c r="AB19" s="1260">
        <f t="shared" si="4"/>
        <v>1</v>
      </c>
      <c r="AC19" s="1807">
        <f t="shared" si="5"/>
        <v>1</v>
      </c>
    </row>
    <row r="20" spans="1:29" ht="15">
      <c r="A20" s="366"/>
      <c r="B20" s="400"/>
      <c r="C20" s="1753"/>
      <c r="D20" s="386"/>
      <c r="E20" s="1746"/>
      <c r="F20" s="386"/>
      <c r="G20" s="1747"/>
      <c r="H20" s="386"/>
      <c r="I20" s="1747"/>
      <c r="J20" s="386"/>
      <c r="K20" s="540"/>
      <c r="L20" s="2487"/>
      <c r="M20" s="2482"/>
      <c r="N20" s="2482"/>
      <c r="O20" s="2482"/>
      <c r="P20" s="3557"/>
      <c r="Q20" s="1259"/>
      <c r="R20" s="663"/>
      <c r="S20" s="664"/>
      <c r="T20" s="663"/>
      <c r="U20" s="664"/>
      <c r="V20" s="663"/>
      <c r="W20" s="664"/>
      <c r="X20" s="1261"/>
      <c r="Y20" s="3550"/>
      <c r="Z20" s="1260"/>
      <c r="AA20" s="1260">
        <v>1</v>
      </c>
      <c r="AB20" s="1260">
        <v>1</v>
      </c>
      <c r="AC20" s="1807">
        <v>1</v>
      </c>
    </row>
    <row r="21" spans="1:29" ht="42.75">
      <c r="A21" s="366"/>
      <c r="B21" s="555" t="s">
        <v>1813</v>
      </c>
      <c r="C21" s="1808" t="str">
        <f>估价对象房地状况!C8</f>
        <v>估价对象所在区域基础设施水平-七通</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557"/>
      <c r="Q21" s="1259" t="str">
        <f>B21</f>
        <v>基础设施水平</v>
      </c>
      <c r="R21" s="663" t="s">
        <v>14</v>
      </c>
      <c r="S21" s="664">
        <f>F21</f>
        <v>100</v>
      </c>
      <c r="T21" s="663" t="s">
        <v>14</v>
      </c>
      <c r="U21" s="664">
        <f>H21</f>
        <v>100</v>
      </c>
      <c r="V21" s="663" t="s">
        <v>14</v>
      </c>
      <c r="W21" s="664">
        <f>J21</f>
        <v>100</v>
      </c>
      <c r="X21" s="1261"/>
      <c r="Y21" s="3550"/>
      <c r="Z21" s="1260" t="str">
        <f>Q21</f>
        <v>基础设施水平</v>
      </c>
      <c r="AA21" s="1260">
        <f t="shared" ref="AA21" si="8">D21/F21</f>
        <v>1</v>
      </c>
      <c r="AB21" s="1260">
        <f t="shared" ref="AB21" si="9">D21/H21</f>
        <v>1</v>
      </c>
      <c r="AC21" s="1807">
        <f t="shared" ref="AC21" si="10">D21/J21</f>
        <v>1</v>
      </c>
    </row>
    <row r="22" spans="1:29" ht="15">
      <c r="A22" s="366"/>
      <c r="B22" s="555"/>
      <c r="C22" s="1809"/>
      <c r="D22" s="386"/>
      <c r="E22" s="385"/>
      <c r="F22" s="386"/>
      <c r="G22" s="1753"/>
      <c r="H22" s="386"/>
      <c r="I22" s="1753"/>
      <c r="J22" s="386"/>
      <c r="K22" s="1060"/>
      <c r="L22" s="2487"/>
      <c r="M22" s="2482"/>
      <c r="N22" s="2482"/>
      <c r="O22" s="2482"/>
      <c r="P22" s="3557"/>
      <c r="Q22" s="1259"/>
      <c r="R22" s="663"/>
      <c r="S22" s="664"/>
      <c r="T22" s="663"/>
      <c r="U22" s="664"/>
      <c r="V22" s="663"/>
      <c r="W22" s="664"/>
      <c r="X22" s="1261"/>
      <c r="Y22" s="3550"/>
      <c r="Z22" s="1260"/>
      <c r="AA22" s="1260">
        <v>1</v>
      </c>
      <c r="AB22" s="1260">
        <v>1</v>
      </c>
      <c r="AC22" s="1807">
        <v>1</v>
      </c>
    </row>
    <row r="23" spans="1:29" ht="128.25">
      <c r="A23" s="366"/>
      <c r="B23" s="554" t="s">
        <v>1814</v>
      </c>
      <c r="C23" s="1808" t="str">
        <f>估价对象房地状况!C9</f>
        <v>估价对象周边有帽子公园、新中街城市森林公园等绿化景观，北京工人体育场、农业展览馆等人文场所，综合评价环境状况较好。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557"/>
      <c r="Q23" s="1259" t="str">
        <f>B23</f>
        <v>环境质量</v>
      </c>
      <c r="R23" s="663" t="s">
        <v>14</v>
      </c>
      <c r="S23" s="664">
        <f>F23</f>
        <v>100</v>
      </c>
      <c r="T23" s="663" t="s">
        <v>14</v>
      </c>
      <c r="U23" s="664">
        <f>H23</f>
        <v>100</v>
      </c>
      <c r="V23" s="663" t="s">
        <v>14</v>
      </c>
      <c r="W23" s="664">
        <f>J23</f>
        <v>100</v>
      </c>
      <c r="X23" s="1261"/>
      <c r="Y23" s="3550"/>
      <c r="Z23" s="1260" t="str">
        <f>Q23</f>
        <v>环境质量</v>
      </c>
      <c r="AA23" s="1260">
        <f t="shared" si="3"/>
        <v>1</v>
      </c>
      <c r="AB23" s="1260">
        <f t="shared" si="4"/>
        <v>1</v>
      </c>
      <c r="AC23" s="1807">
        <f t="shared" si="5"/>
        <v>1</v>
      </c>
    </row>
    <row r="24" spans="1:29" ht="15">
      <c r="A24" s="366"/>
      <c r="B24" s="555"/>
      <c r="C24" s="1753"/>
      <c r="D24" s="386"/>
      <c r="E24" s="1746"/>
      <c r="F24" s="386"/>
      <c r="G24" s="1747"/>
      <c r="H24" s="386"/>
      <c r="I24" s="1747"/>
      <c r="J24" s="386"/>
      <c r="K24" s="540"/>
      <c r="L24" s="2487"/>
      <c r="M24" s="2482"/>
      <c r="N24" s="2482"/>
      <c r="O24" s="2482"/>
      <c r="P24" s="3557"/>
      <c r="Q24" s="1259"/>
      <c r="R24" s="663"/>
      <c r="S24" s="664"/>
      <c r="T24" s="663"/>
      <c r="U24" s="664"/>
      <c r="V24" s="663"/>
      <c r="W24" s="664"/>
      <c r="X24" s="1261"/>
      <c r="Y24" s="3550"/>
      <c r="Z24" s="1260"/>
      <c r="AA24" s="1260">
        <v>1</v>
      </c>
      <c r="AB24" s="1260">
        <v>1</v>
      </c>
      <c r="AC24" s="1807">
        <v>1</v>
      </c>
    </row>
    <row r="25" spans="1:29" ht="28.5">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7"/>
      <c r="M25" s="2482"/>
      <c r="N25" s="2482"/>
      <c r="O25" s="2482"/>
      <c r="P25" s="3557"/>
      <c r="Q25" s="1259" t="str">
        <f>B25</f>
        <v>毗邻道路的类型与等级</v>
      </c>
      <c r="R25" s="663" t="s">
        <v>14</v>
      </c>
      <c r="S25" s="664">
        <f>F25</f>
        <v>100</v>
      </c>
      <c r="T25" s="663" t="s">
        <v>14</v>
      </c>
      <c r="U25" s="664">
        <f>H25</f>
        <v>100</v>
      </c>
      <c r="V25" s="663" t="s">
        <v>14</v>
      </c>
      <c r="W25" s="664">
        <f>J25</f>
        <v>100</v>
      </c>
      <c r="X25" s="1261"/>
      <c r="Y25" s="3550"/>
      <c r="Z25" s="1260" t="str">
        <f>Q25</f>
        <v>毗邻道路的类型与等级</v>
      </c>
      <c r="AA25" s="1260">
        <f t="shared" si="3"/>
        <v>1</v>
      </c>
      <c r="AB25" s="1260">
        <f t="shared" si="4"/>
        <v>1</v>
      </c>
      <c r="AC25" s="1807">
        <f t="shared" si="5"/>
        <v>1</v>
      </c>
    </row>
    <row r="26" spans="1:29" ht="15">
      <c r="A26" s="347"/>
      <c r="B26" s="400"/>
      <c r="C26" s="556"/>
      <c r="D26" s="373"/>
      <c r="E26" s="541"/>
      <c r="F26" s="373"/>
      <c r="G26" s="556"/>
      <c r="H26" s="373"/>
      <c r="I26" s="541"/>
      <c r="J26" s="373"/>
      <c r="K26" s="540"/>
      <c r="L26" s="2487"/>
      <c r="M26" s="2482"/>
      <c r="N26" s="2482"/>
      <c r="O26" s="2482"/>
      <c r="P26" s="3557"/>
      <c r="Q26" s="1259"/>
      <c r="R26" s="663"/>
      <c r="S26" s="664"/>
      <c r="T26" s="663"/>
      <c r="U26" s="664"/>
      <c r="V26" s="663"/>
      <c r="W26" s="664"/>
      <c r="X26" s="1261"/>
      <c r="Y26" s="3550"/>
      <c r="Z26" s="1260"/>
      <c r="AA26" s="1260">
        <v>1</v>
      </c>
      <c r="AB26" s="1260">
        <v>1</v>
      </c>
      <c r="AC26" s="1807">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7"/>
      <c r="M27" s="2482"/>
      <c r="N27" s="2482"/>
      <c r="O27" s="2482"/>
      <c r="P27" s="3557"/>
      <c r="Q27" s="1259" t="str">
        <f t="shared" ref="Q27:Q47" si="11">B27</f>
        <v>楼层</v>
      </c>
      <c r="R27" s="663" t="s">
        <v>14</v>
      </c>
      <c r="S27" s="664">
        <f>F27</f>
        <v>100</v>
      </c>
      <c r="T27" s="663" t="s">
        <v>14</v>
      </c>
      <c r="U27" s="664">
        <f>H27</f>
        <v>100</v>
      </c>
      <c r="V27" s="663" t="s">
        <v>14</v>
      </c>
      <c r="W27" s="664">
        <f>J27</f>
        <v>100</v>
      </c>
      <c r="X27" s="1261"/>
      <c r="Y27" s="3550"/>
      <c r="Z27" s="1260" t="str">
        <f>Q27</f>
        <v>楼层</v>
      </c>
      <c r="AA27" s="1260">
        <f t="shared" si="3"/>
        <v>1</v>
      </c>
      <c r="AB27" s="1260">
        <f t="shared" si="4"/>
        <v>1</v>
      </c>
      <c r="AC27" s="1807">
        <f t="shared" si="5"/>
        <v>1</v>
      </c>
    </row>
    <row r="28" spans="1:29" s="101" customFormat="1" ht="15">
      <c r="A28" s="369"/>
      <c r="B28" s="554" t="s">
        <v>1816</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557"/>
      <c r="Q28" s="529" t="str">
        <f t="shared" si="11"/>
        <v>朝向</v>
      </c>
      <c r="R28" s="660" t="s">
        <v>14</v>
      </c>
      <c r="S28" s="661">
        <f>F28</f>
        <v>100</v>
      </c>
      <c r="T28" s="660" t="s">
        <v>14</v>
      </c>
      <c r="U28" s="661">
        <f>H28</f>
        <v>100</v>
      </c>
      <c r="V28" s="660" t="s">
        <v>14</v>
      </c>
      <c r="W28" s="661">
        <f>J28</f>
        <v>100</v>
      </c>
      <c r="X28" s="662"/>
      <c r="Y28" s="3550"/>
      <c r="Z28" s="50" t="str">
        <f>Q28</f>
        <v>朝向</v>
      </c>
      <c r="AA28" s="1260">
        <f>D28/F28</f>
        <v>1</v>
      </c>
      <c r="AB28" s="1260">
        <f>D28/H28</f>
        <v>1</v>
      </c>
      <c r="AC28" s="1807">
        <f>D28/J28</f>
        <v>1</v>
      </c>
    </row>
    <row r="29" spans="1:29" ht="15">
      <c r="A29" s="366"/>
      <c r="B29" s="1095">
        <v>111</v>
      </c>
      <c r="C29" s="1757"/>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557"/>
      <c r="Q29" s="1259">
        <f t="shared" si="11"/>
        <v>111</v>
      </c>
      <c r="R29" s="663" t="s">
        <v>14</v>
      </c>
      <c r="S29" s="664">
        <f t="shared" ref="S29:S47" si="12">F29</f>
        <v>100</v>
      </c>
      <c r="T29" s="663" t="s">
        <v>14</v>
      </c>
      <c r="U29" s="664">
        <f t="shared" ref="U29:U47" si="13">H29</f>
        <v>100</v>
      </c>
      <c r="V29" s="663" t="s">
        <v>14</v>
      </c>
      <c r="W29" s="664">
        <f t="shared" ref="W29:W47" si="14">J29</f>
        <v>100</v>
      </c>
      <c r="X29" s="1261"/>
      <c r="Y29" s="3550"/>
      <c r="Z29" s="1260">
        <f t="shared" ref="Z29:Z47" si="15">Q29</f>
        <v>111</v>
      </c>
      <c r="AA29" s="1260">
        <f t="shared" si="3"/>
        <v>1</v>
      </c>
      <c r="AB29" s="1260">
        <f t="shared" si="4"/>
        <v>1</v>
      </c>
      <c r="AC29" s="1807">
        <f t="shared" si="5"/>
        <v>1</v>
      </c>
    </row>
    <row r="30" spans="1:29" ht="15">
      <c r="A30" s="366"/>
      <c r="B30" s="1095">
        <v>111</v>
      </c>
      <c r="C30" s="1757"/>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557"/>
      <c r="Q30" s="1259">
        <f t="shared" si="11"/>
        <v>111</v>
      </c>
      <c r="R30" s="663" t="s">
        <v>14</v>
      </c>
      <c r="S30" s="664">
        <f t="shared" si="12"/>
        <v>100</v>
      </c>
      <c r="T30" s="663" t="s">
        <v>14</v>
      </c>
      <c r="U30" s="664">
        <f t="shared" si="13"/>
        <v>100</v>
      </c>
      <c r="V30" s="663" t="s">
        <v>14</v>
      </c>
      <c r="W30" s="664">
        <f t="shared" si="14"/>
        <v>100</v>
      </c>
      <c r="X30" s="1261"/>
      <c r="Y30" s="3550"/>
      <c r="Z30" s="1260">
        <f t="shared" si="15"/>
        <v>111</v>
      </c>
      <c r="AA30" s="1260">
        <f t="shared" si="3"/>
        <v>1</v>
      </c>
      <c r="AB30" s="1260">
        <f t="shared" si="4"/>
        <v>1</v>
      </c>
      <c r="AC30" s="1807">
        <f t="shared" si="5"/>
        <v>1</v>
      </c>
    </row>
    <row r="31" spans="1:29" ht="15">
      <c r="A31" s="366"/>
      <c r="B31" s="1095">
        <v>111</v>
      </c>
      <c r="C31" s="1757"/>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557"/>
      <c r="Q31" s="1259">
        <f t="shared" si="11"/>
        <v>111</v>
      </c>
      <c r="R31" s="663" t="s">
        <v>14</v>
      </c>
      <c r="S31" s="664">
        <f t="shared" si="12"/>
        <v>100</v>
      </c>
      <c r="T31" s="663" t="s">
        <v>14</v>
      </c>
      <c r="U31" s="664">
        <f t="shared" si="13"/>
        <v>100</v>
      </c>
      <c r="V31" s="663" t="s">
        <v>14</v>
      </c>
      <c r="W31" s="664">
        <f t="shared" si="14"/>
        <v>100</v>
      </c>
      <c r="X31" s="1261"/>
      <c r="Y31" s="3550"/>
      <c r="Z31" s="1260">
        <f t="shared" si="15"/>
        <v>111</v>
      </c>
      <c r="AA31" s="1260">
        <f t="shared" si="3"/>
        <v>1</v>
      </c>
      <c r="AB31" s="1260">
        <f t="shared" si="4"/>
        <v>1</v>
      </c>
      <c r="AC31" s="1807">
        <f t="shared" si="5"/>
        <v>1</v>
      </c>
    </row>
    <row r="32" spans="1:29" ht="15.75" thickBot="1">
      <c r="A32" s="374"/>
      <c r="B32" s="557">
        <v>111</v>
      </c>
      <c r="C32" s="1758"/>
      <c r="D32" s="376">
        <v>100</v>
      </c>
      <c r="E32" s="551"/>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557"/>
      <c r="Q32" s="1259">
        <f t="shared" si="11"/>
        <v>111</v>
      </c>
      <c r="R32" s="663" t="s">
        <v>14</v>
      </c>
      <c r="S32" s="664">
        <f t="shared" si="12"/>
        <v>100</v>
      </c>
      <c r="T32" s="663" t="s">
        <v>14</v>
      </c>
      <c r="U32" s="664">
        <f t="shared" si="13"/>
        <v>100</v>
      </c>
      <c r="V32" s="663" t="s">
        <v>14</v>
      </c>
      <c r="W32" s="664">
        <f t="shared" si="14"/>
        <v>100</v>
      </c>
      <c r="X32" s="1261"/>
      <c r="Y32" s="3550"/>
      <c r="Z32" s="1260">
        <f t="shared" si="15"/>
        <v>111</v>
      </c>
      <c r="AA32" s="1260">
        <f t="shared" si="3"/>
        <v>1</v>
      </c>
      <c r="AB32" s="1260">
        <f t="shared" si="4"/>
        <v>1</v>
      </c>
      <c r="AC32" s="1807">
        <f t="shared" si="5"/>
        <v>1</v>
      </c>
    </row>
    <row r="33" spans="1:29" ht="15">
      <c r="A33" s="378" t="s">
        <v>1694</v>
      </c>
      <c r="B33" s="59"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7"/>
      <c r="M33" s="2482"/>
      <c r="N33" s="2482"/>
      <c r="O33" s="2482"/>
      <c r="P33" s="3551" t="s">
        <v>1696</v>
      </c>
      <c r="Q33" s="1259" t="str">
        <f t="shared" si="11"/>
        <v>建筑类型</v>
      </c>
      <c r="R33" s="663" t="s">
        <v>14</v>
      </c>
      <c r="S33" s="664">
        <f t="shared" si="12"/>
        <v>100</v>
      </c>
      <c r="T33" s="663" t="s">
        <v>14</v>
      </c>
      <c r="U33" s="664">
        <f t="shared" si="13"/>
        <v>100</v>
      </c>
      <c r="V33" s="663" t="s">
        <v>14</v>
      </c>
      <c r="W33" s="664">
        <f t="shared" si="14"/>
        <v>100</v>
      </c>
      <c r="X33" s="1261"/>
      <c r="Y33" s="3554" t="s">
        <v>1696</v>
      </c>
      <c r="Z33" s="1260" t="str">
        <f t="shared" si="15"/>
        <v>建筑类型</v>
      </c>
      <c r="AA33" s="1260">
        <f t="shared" si="3"/>
        <v>1</v>
      </c>
      <c r="AB33" s="1260">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552"/>
      <c r="Q34" s="530" t="str">
        <f t="shared" si="11"/>
        <v>项目建筑规模</v>
      </c>
      <c r="R34" s="665" t="s">
        <v>14</v>
      </c>
      <c r="S34" s="666" t="e">
        <f t="shared" si="12"/>
        <v>#N/A</v>
      </c>
      <c r="T34" s="665" t="s">
        <v>14</v>
      </c>
      <c r="U34" s="666" t="e">
        <f t="shared" si="13"/>
        <v>#N/A</v>
      </c>
      <c r="V34" s="665" t="s">
        <v>14</v>
      </c>
      <c r="W34" s="666" t="e">
        <f t="shared" si="14"/>
        <v>#N/A</v>
      </c>
      <c r="X34" s="667"/>
      <c r="Y34" s="3554"/>
      <c r="Z34" s="668" t="str">
        <f t="shared" si="15"/>
        <v>项目建筑规模</v>
      </c>
      <c r="AA34" s="1260" t="e">
        <f t="shared" si="3"/>
        <v>#N/A</v>
      </c>
      <c r="AB34" s="1260"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552"/>
      <c r="Q35" s="1259" t="str">
        <f t="shared" si="11"/>
        <v>建筑结构</v>
      </c>
      <c r="R35" s="663" t="s">
        <v>14</v>
      </c>
      <c r="S35" s="664">
        <f t="shared" si="12"/>
        <v>100</v>
      </c>
      <c r="T35" s="663" t="s">
        <v>14</v>
      </c>
      <c r="U35" s="664">
        <f t="shared" si="13"/>
        <v>100</v>
      </c>
      <c r="V35" s="663" t="s">
        <v>14</v>
      </c>
      <c r="W35" s="664">
        <f t="shared" si="14"/>
        <v>100</v>
      </c>
      <c r="X35" s="1261"/>
      <c r="Y35" s="3554"/>
      <c r="Z35" s="1260" t="str">
        <f t="shared" si="15"/>
        <v>建筑结构</v>
      </c>
      <c r="AA35" s="1260">
        <f t="shared" si="3"/>
        <v>1</v>
      </c>
      <c r="AB35" s="1260">
        <f t="shared" si="4"/>
        <v>1</v>
      </c>
      <c r="AC35" s="1807">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552"/>
      <c r="Q36" s="1259" t="str">
        <f t="shared" si="11"/>
        <v>公共部分装修</v>
      </c>
      <c r="R36" s="663" t="s">
        <v>14</v>
      </c>
      <c r="S36" s="664">
        <f t="shared" si="12"/>
        <v>100</v>
      </c>
      <c r="T36" s="663" t="s">
        <v>14</v>
      </c>
      <c r="U36" s="664">
        <f t="shared" si="13"/>
        <v>100</v>
      </c>
      <c r="V36" s="663" t="s">
        <v>14</v>
      </c>
      <c r="W36" s="664">
        <f t="shared" si="14"/>
        <v>100</v>
      </c>
      <c r="X36" s="1261"/>
      <c r="Y36" s="3554"/>
      <c r="Z36" s="1260" t="str">
        <f t="shared" si="15"/>
        <v>公共部分装修</v>
      </c>
      <c r="AA36" s="1260">
        <f t="shared" si="3"/>
        <v>1</v>
      </c>
      <c r="AB36" s="1260">
        <f t="shared" si="4"/>
        <v>1</v>
      </c>
      <c r="AC36" s="1807">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552"/>
      <c r="Q37" s="1259" t="str">
        <f t="shared" si="11"/>
        <v>成新度</v>
      </c>
      <c r="R37" s="663" t="s">
        <v>14</v>
      </c>
      <c r="S37" s="664" t="e">
        <f t="shared" si="12"/>
        <v>#N/A</v>
      </c>
      <c r="T37" s="663" t="s">
        <v>14</v>
      </c>
      <c r="U37" s="664" t="e">
        <f t="shared" si="13"/>
        <v>#N/A</v>
      </c>
      <c r="V37" s="663" t="s">
        <v>14</v>
      </c>
      <c r="W37" s="664" t="e">
        <f t="shared" si="14"/>
        <v>#N/A</v>
      </c>
      <c r="X37" s="1261"/>
      <c r="Y37" s="3554"/>
      <c r="Z37" s="1260" t="str">
        <f t="shared" si="15"/>
        <v>成新度</v>
      </c>
      <c r="AA37" s="1260" t="e">
        <f t="shared" si="3"/>
        <v>#N/A</v>
      </c>
      <c r="AB37" s="1260" t="e">
        <f t="shared" si="4"/>
        <v>#N/A</v>
      </c>
      <c r="AC37" s="1807"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552"/>
      <c r="Q38" s="529" t="str">
        <f t="shared" si="11"/>
        <v>写字楼等级</v>
      </c>
      <c r="R38" s="660" t="s">
        <v>14</v>
      </c>
      <c r="S38" s="661">
        <f t="shared" si="12"/>
        <v>100</v>
      </c>
      <c r="T38" s="660" t="s">
        <v>14</v>
      </c>
      <c r="U38" s="661">
        <f t="shared" si="13"/>
        <v>100</v>
      </c>
      <c r="V38" s="660" t="s">
        <v>14</v>
      </c>
      <c r="W38" s="661">
        <f t="shared" si="14"/>
        <v>100</v>
      </c>
      <c r="X38" s="662"/>
      <c r="Y38" s="3554"/>
      <c r="Z38" s="50" t="str">
        <f t="shared" si="15"/>
        <v>写字楼等级</v>
      </c>
      <c r="AA38" s="50">
        <f t="shared" si="3"/>
        <v>1</v>
      </c>
      <c r="AB38" s="50">
        <f t="shared" si="4"/>
        <v>1</v>
      </c>
      <c r="AC38" s="798">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552" t="s">
        <v>1696</v>
      </c>
      <c r="Q39" s="1259" t="str">
        <f t="shared" si="11"/>
        <v>物业管理</v>
      </c>
      <c r="R39" s="663" t="s">
        <v>14</v>
      </c>
      <c r="S39" s="664">
        <f t="shared" si="12"/>
        <v>100</v>
      </c>
      <c r="T39" s="663" t="s">
        <v>14</v>
      </c>
      <c r="U39" s="664">
        <f t="shared" si="13"/>
        <v>100</v>
      </c>
      <c r="V39" s="663" t="s">
        <v>14</v>
      </c>
      <c r="W39" s="664">
        <f t="shared" si="14"/>
        <v>100</v>
      </c>
      <c r="X39" s="1261"/>
      <c r="Y39" s="3554" t="s">
        <v>1696</v>
      </c>
      <c r="Z39" s="1260" t="str">
        <f t="shared" si="15"/>
        <v>物业管理</v>
      </c>
      <c r="AA39" s="1260">
        <f t="shared" si="3"/>
        <v>1</v>
      </c>
      <c r="AB39" s="1260">
        <f t="shared" si="4"/>
        <v>1</v>
      </c>
      <c r="AC39" s="1807">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552"/>
      <c r="Q40" s="1259" t="str">
        <f t="shared" si="11"/>
        <v>市政基础设施</v>
      </c>
      <c r="R40" s="663" t="s">
        <v>14</v>
      </c>
      <c r="S40" s="664">
        <f t="shared" si="12"/>
        <v>100</v>
      </c>
      <c r="T40" s="663" t="s">
        <v>14</v>
      </c>
      <c r="U40" s="664">
        <f t="shared" si="13"/>
        <v>100</v>
      </c>
      <c r="V40" s="663" t="s">
        <v>14</v>
      </c>
      <c r="W40" s="664">
        <f t="shared" si="14"/>
        <v>100</v>
      </c>
      <c r="X40" s="1261"/>
      <c r="Y40" s="3554"/>
      <c r="Z40" s="1260" t="str">
        <f t="shared" si="15"/>
        <v>市政基础设施</v>
      </c>
      <c r="AA40" s="1260">
        <f t="shared" si="3"/>
        <v>1</v>
      </c>
      <c r="AB40" s="1260">
        <f t="shared" si="4"/>
        <v>1</v>
      </c>
      <c r="AC40" s="1807">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552"/>
      <c r="Q41" s="1259" t="str">
        <f t="shared" si="11"/>
        <v>层高</v>
      </c>
      <c r="R41" s="663" t="s">
        <v>14</v>
      </c>
      <c r="S41" s="664">
        <f t="shared" si="12"/>
        <v>100</v>
      </c>
      <c r="T41" s="663" t="s">
        <v>14</v>
      </c>
      <c r="U41" s="664">
        <f t="shared" si="13"/>
        <v>100</v>
      </c>
      <c r="V41" s="663" t="s">
        <v>14</v>
      </c>
      <c r="W41" s="664">
        <f t="shared" si="14"/>
        <v>100</v>
      </c>
      <c r="X41" s="1261"/>
      <c r="Y41" s="3554"/>
      <c r="Z41" s="1260" t="str">
        <f t="shared" si="15"/>
        <v>层高</v>
      </c>
      <c r="AA41" s="1260">
        <f t="shared" si="3"/>
        <v>1</v>
      </c>
      <c r="AB41" s="1260">
        <f t="shared" si="4"/>
        <v>1</v>
      </c>
      <c r="AC41" s="1807">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552"/>
      <c r="Q42" s="530" t="str">
        <f t="shared" si="11"/>
        <v>单套建筑面积</v>
      </c>
      <c r="R42" s="665" t="s">
        <v>14</v>
      </c>
      <c r="S42" s="666">
        <f t="shared" si="12"/>
        <v>100</v>
      </c>
      <c r="T42" s="665" t="s">
        <v>14</v>
      </c>
      <c r="U42" s="666">
        <f t="shared" si="13"/>
        <v>100</v>
      </c>
      <c r="V42" s="665" t="s">
        <v>14</v>
      </c>
      <c r="W42" s="666">
        <f t="shared" si="14"/>
        <v>100</v>
      </c>
      <c r="X42" s="667"/>
      <c r="Y42" s="3554"/>
      <c r="Z42" s="668" t="str">
        <f t="shared" si="15"/>
        <v>单套建筑面积</v>
      </c>
      <c r="AA42" s="1260">
        <f t="shared" si="3"/>
        <v>1</v>
      </c>
      <c r="AB42" s="1260">
        <f t="shared" si="4"/>
        <v>1</v>
      </c>
      <c r="AC42" s="1807">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552"/>
      <c r="Q43" s="1259" t="str">
        <f t="shared" si="11"/>
        <v>内部装修</v>
      </c>
      <c r="R43" s="663" t="s">
        <v>14</v>
      </c>
      <c r="S43" s="664">
        <f t="shared" si="12"/>
        <v>100</v>
      </c>
      <c r="T43" s="663" t="s">
        <v>14</v>
      </c>
      <c r="U43" s="664">
        <f t="shared" si="13"/>
        <v>100</v>
      </c>
      <c r="V43" s="663" t="s">
        <v>14</v>
      </c>
      <c r="W43" s="664">
        <f t="shared" si="14"/>
        <v>100</v>
      </c>
      <c r="X43" s="1261"/>
      <c r="Y43" s="3554"/>
      <c r="Z43" s="1260" t="str">
        <f t="shared" si="15"/>
        <v>内部装修</v>
      </c>
      <c r="AA43" s="1260">
        <f t="shared" si="3"/>
        <v>1</v>
      </c>
      <c r="AB43" s="1260">
        <f t="shared" si="4"/>
        <v>1</v>
      </c>
      <c r="AC43" s="1807">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7"/>
      <c r="M44" s="2482"/>
      <c r="N44" s="2482"/>
      <c r="O44" s="2482"/>
      <c r="P44" s="3552"/>
      <c r="Q44" s="1259" t="str">
        <f t="shared" si="11"/>
        <v>内部装修维护情况</v>
      </c>
      <c r="R44" s="663" t="s">
        <v>14</v>
      </c>
      <c r="S44" s="664">
        <f t="shared" si="12"/>
        <v>100</v>
      </c>
      <c r="T44" s="663" t="s">
        <v>14</v>
      </c>
      <c r="U44" s="664">
        <f t="shared" si="13"/>
        <v>100</v>
      </c>
      <c r="V44" s="663" t="s">
        <v>14</v>
      </c>
      <c r="W44" s="664">
        <f t="shared" si="14"/>
        <v>100</v>
      </c>
      <c r="X44" s="1261"/>
      <c r="Y44" s="3554"/>
      <c r="Z44" s="1260" t="str">
        <f t="shared" si="15"/>
        <v>内部装修维护情况</v>
      </c>
      <c r="AA44" s="1260">
        <f t="shared" si="3"/>
        <v>1</v>
      </c>
      <c r="AB44" s="1260">
        <f t="shared" si="4"/>
        <v>1</v>
      </c>
      <c r="AC44" s="1807">
        <f t="shared" si="5"/>
        <v>1</v>
      </c>
    </row>
    <row r="45" spans="1:29" s="101" customFormat="1" ht="15">
      <c r="A45" s="409"/>
      <c r="B45" s="1062">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552"/>
      <c r="Q45" s="529">
        <f t="shared" si="11"/>
        <v>111</v>
      </c>
      <c r="R45" s="660" t="s">
        <v>14</v>
      </c>
      <c r="S45" s="661">
        <f t="shared" si="12"/>
        <v>100</v>
      </c>
      <c r="T45" s="660" t="s">
        <v>14</v>
      </c>
      <c r="U45" s="661">
        <f t="shared" si="13"/>
        <v>100</v>
      </c>
      <c r="V45" s="660" t="s">
        <v>14</v>
      </c>
      <c r="W45" s="661">
        <f t="shared" si="14"/>
        <v>100</v>
      </c>
      <c r="X45" s="662"/>
      <c r="Y45" s="3554"/>
      <c r="Z45" s="50">
        <f t="shared" si="15"/>
        <v>111</v>
      </c>
      <c r="AA45" s="50">
        <f t="shared" si="3"/>
        <v>1</v>
      </c>
      <c r="AB45" s="50">
        <f t="shared" si="4"/>
        <v>1</v>
      </c>
      <c r="AC45" s="798">
        <f t="shared" si="5"/>
        <v>1</v>
      </c>
    </row>
    <row r="46" spans="1:29" ht="15">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552"/>
      <c r="Q46" s="1259">
        <f t="shared" si="11"/>
        <v>111</v>
      </c>
      <c r="R46" s="663" t="s">
        <v>14</v>
      </c>
      <c r="S46" s="664">
        <f t="shared" si="12"/>
        <v>100</v>
      </c>
      <c r="T46" s="663" t="s">
        <v>14</v>
      </c>
      <c r="U46" s="664">
        <f t="shared" si="13"/>
        <v>100</v>
      </c>
      <c r="V46" s="663" t="s">
        <v>14</v>
      </c>
      <c r="W46" s="664">
        <f t="shared" si="14"/>
        <v>100</v>
      </c>
      <c r="X46" s="1261"/>
      <c r="Y46" s="3554"/>
      <c r="Z46" s="1260">
        <f t="shared" si="15"/>
        <v>111</v>
      </c>
      <c r="AA46" s="1260">
        <f t="shared" si="3"/>
        <v>1</v>
      </c>
      <c r="AB46" s="1260">
        <f t="shared" si="4"/>
        <v>1</v>
      </c>
      <c r="AC46" s="1807">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553"/>
      <c r="Q47" s="1259">
        <f t="shared" si="11"/>
        <v>111</v>
      </c>
      <c r="R47" s="663" t="s">
        <v>14</v>
      </c>
      <c r="S47" s="664">
        <f t="shared" si="12"/>
        <v>100</v>
      </c>
      <c r="T47" s="663" t="s">
        <v>14</v>
      </c>
      <c r="U47" s="664">
        <f t="shared" si="13"/>
        <v>100</v>
      </c>
      <c r="V47" s="663" t="s">
        <v>14</v>
      </c>
      <c r="W47" s="664">
        <f t="shared" si="14"/>
        <v>100</v>
      </c>
      <c r="X47" s="1261"/>
      <c r="Y47" s="3555"/>
      <c r="Z47" s="1260">
        <f t="shared" si="15"/>
        <v>111</v>
      </c>
      <c r="AA47" s="1260">
        <f t="shared" si="3"/>
        <v>1</v>
      </c>
      <c r="AB47" s="1260">
        <f t="shared" si="4"/>
        <v>1</v>
      </c>
      <c r="AC47" s="1807">
        <f t="shared" si="5"/>
        <v>1</v>
      </c>
    </row>
    <row r="48" spans="1:29" ht="15">
      <c r="A48" s="415" t="s">
        <v>1708</v>
      </c>
      <c r="B48" s="416"/>
      <c r="C48" s="1077" t="s">
        <v>0</v>
      </c>
      <c r="D48" s="417"/>
      <c r="E48" s="418"/>
      <c r="F48" s="419"/>
      <c r="G48" s="420"/>
      <c r="H48" s="421"/>
      <c r="I48" s="418"/>
      <c r="J48" s="421"/>
      <c r="K48" s="670"/>
      <c r="L48" s="2489"/>
      <c r="M48" s="2482"/>
      <c r="N48" s="2482"/>
      <c r="O48" s="2482"/>
      <c r="P48" s="3530" t="str">
        <f>A48</f>
        <v>成交单价（元/平方米）</v>
      </c>
      <c r="Q48" s="3548"/>
      <c r="R48" s="3543">
        <f>E48</f>
        <v>0</v>
      </c>
      <c r="S48" s="3543"/>
      <c r="T48" s="3543">
        <f>G48</f>
        <v>0</v>
      </c>
      <c r="U48" s="3543"/>
      <c r="V48" s="3543">
        <f>I48</f>
        <v>0</v>
      </c>
      <c r="W48" s="3543"/>
      <c r="X48" s="384"/>
      <c r="Y48" s="669"/>
      <c r="Z48" s="384"/>
      <c r="AA48" s="384"/>
      <c r="AB48" s="384"/>
      <c r="AC48" s="553"/>
    </row>
    <row r="49" spans="1:29" ht="15.75" thickBot="1">
      <c r="A49" s="422" t="s">
        <v>1793</v>
      </c>
      <c r="B49" s="423"/>
      <c r="C49" s="1078" t="e">
        <f>R50</f>
        <v>#DIV/0!</v>
      </c>
      <c r="D49" s="2136" t="s">
        <v>2135</v>
      </c>
      <c r="E49" s="1079" t="e">
        <f>R49</f>
        <v>#DIV/0!</v>
      </c>
      <c r="F49" s="2137"/>
      <c r="G49" s="1078" t="e">
        <f>T49</f>
        <v>#DIV/0!</v>
      </c>
      <c r="H49" s="2137"/>
      <c r="I49" s="1079" t="e">
        <f>V49</f>
        <v>#DIV/0!</v>
      </c>
      <c r="J49" s="2137"/>
      <c r="K49" s="2139">
        <f>F49+H49+J49</f>
        <v>0</v>
      </c>
      <c r="L49" s="2489"/>
      <c r="M49" s="2482"/>
      <c r="N49" s="2482"/>
      <c r="O49" s="2482"/>
      <c r="P49" s="3530" t="str">
        <f>A49</f>
        <v>比较价值（元/平方米）</v>
      </c>
      <c r="Q49" s="3548"/>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384"/>
      <c r="Y49" s="384"/>
      <c r="Z49" s="384"/>
      <c r="AA49" s="384"/>
      <c r="AB49" s="384"/>
      <c r="AC49" s="553"/>
    </row>
    <row r="50" spans="1:29" ht="15.75" thickBot="1">
      <c r="A50" s="426" t="s">
        <v>1794</v>
      </c>
      <c r="B50" s="427"/>
      <c r="C50" s="350" t="e">
        <f>R50</f>
        <v>#DIV/0!</v>
      </c>
      <c r="D50" s="350"/>
      <c r="E50" s="350"/>
      <c r="F50" s="350"/>
      <c r="G50" s="350"/>
      <c r="H50" s="350"/>
      <c r="I50" s="350"/>
      <c r="J50" s="428"/>
      <c r="K50" s="671"/>
      <c r="L50" s="2489"/>
      <c r="M50" s="2482"/>
      <c r="N50" s="2482"/>
      <c r="O50" s="2482"/>
      <c r="P50" s="3572" t="str">
        <f>A50</f>
        <v>估价对象XX用房的比较价值（楼面单价，元/平方米）</v>
      </c>
      <c r="Q50" s="3573"/>
      <c r="R50" s="3574" t="e">
        <f>IF(F1="售价",ROUND(IF(D49="简单平均",AVERAGE(R49:V49),R49*F49+T49*H49+V49*J49),0),ROUND(IF(D49="简单平均",AVERAGE(R49:V49),R49*F49+T49*H49+V49*J49),1))</f>
        <v>#DIV/0!</v>
      </c>
      <c r="S50" s="3574"/>
      <c r="T50" s="3574"/>
      <c r="U50" s="3574"/>
      <c r="V50" s="3574"/>
      <c r="W50" s="3574"/>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4" t="s">
        <v>1798</v>
      </c>
      <c r="B58" s="384"/>
      <c r="C58" s="655"/>
      <c r="D58" s="655"/>
      <c r="E58" s="655"/>
      <c r="F58" s="656"/>
      <c r="G58" s="656"/>
      <c r="H58" s="655"/>
      <c r="I58" s="655"/>
      <c r="J58" s="655"/>
      <c r="K58" s="657"/>
      <c r="L58" s="884"/>
      <c r="M58" s="882"/>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099" t="str">
        <f>YEAR(C7)&amp;"-"&amp;MONTH(C7)</f>
        <v>2024-6</v>
      </c>
      <c r="D59" s="1100">
        <f>EDATE(C59,-1)</f>
        <v>45413</v>
      </c>
      <c r="E59" s="1100">
        <f>EDATE(D59,-1)</f>
        <v>45383</v>
      </c>
      <c r="F59" s="1100">
        <f t="shared" ref="F59:O59" si="16">EDATE(E59,-1)</f>
        <v>45352</v>
      </c>
      <c r="G59" s="1100">
        <f t="shared" si="16"/>
        <v>45323</v>
      </c>
      <c r="H59" s="1100">
        <f t="shared" si="16"/>
        <v>45292</v>
      </c>
      <c r="I59" s="1100">
        <f t="shared" si="16"/>
        <v>45261</v>
      </c>
      <c r="J59" s="1100">
        <f t="shared" si="16"/>
        <v>45231</v>
      </c>
      <c r="K59" s="1100">
        <f t="shared" si="16"/>
        <v>45200</v>
      </c>
      <c r="L59" s="1100">
        <f t="shared" si="16"/>
        <v>45170</v>
      </c>
      <c r="M59" s="1100">
        <f t="shared" si="16"/>
        <v>45139</v>
      </c>
      <c r="N59" s="1100">
        <f t="shared" si="16"/>
        <v>45108</v>
      </c>
      <c r="O59" s="1100">
        <f t="shared" si="16"/>
        <v>45078</v>
      </c>
      <c r="P59" s="2522"/>
      <c r="Q59" s="2505"/>
      <c r="R59" s="2505"/>
      <c r="S59" s="2505"/>
      <c r="T59" s="2505"/>
      <c r="U59" s="2505"/>
      <c r="V59" s="2505"/>
      <c r="W59" s="2505"/>
      <c r="X59" s="2505"/>
      <c r="Y59" s="2505"/>
      <c r="Z59" s="2505"/>
      <c r="AA59" s="2505"/>
      <c r="AB59" s="2505"/>
      <c r="AC59" s="2505"/>
    </row>
    <row r="60" spans="1:29" s="101" customFormat="1" ht="15">
      <c r="A60" s="442"/>
      <c r="B60" s="443"/>
      <c r="C60" s="1098">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1716</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1776</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1719</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1813</v>
      </c>
      <c r="C83" s="579" t="s">
        <v>1799</v>
      </c>
      <c r="D83" s="579" t="s">
        <v>1800</v>
      </c>
      <c r="E83" s="579" t="s">
        <v>1801</v>
      </c>
      <c r="F83" s="579" t="s">
        <v>1802</v>
      </c>
      <c r="G83" s="579" t="s">
        <v>1803</v>
      </c>
      <c r="H83" s="469"/>
      <c r="I83" s="469"/>
      <c r="J83" s="469"/>
      <c r="K83" s="469"/>
      <c r="L83" s="469"/>
      <c r="M83" s="1059"/>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1823</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1736</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8" t="s">
        <v>1825</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3" t="s">
        <v>1826</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1"/>
      <c r="L2" s="854"/>
      <c r="M2" s="855"/>
      <c r="N2" s="855"/>
      <c r="O2" s="855"/>
      <c r="P2" s="340"/>
      <c r="Q2" s="340"/>
      <c r="R2" s="340"/>
      <c r="S2" s="340"/>
      <c r="T2" s="340"/>
      <c r="U2" s="340"/>
      <c r="V2" s="340"/>
      <c r="W2" s="340"/>
      <c r="X2" s="340"/>
      <c r="Y2" s="340"/>
      <c r="Z2" s="340"/>
      <c r="AA2" s="340"/>
      <c r="AB2" s="340"/>
      <c r="AC2" s="659"/>
    </row>
    <row r="3" spans="1:29" s="341" customFormat="1" ht="28.5" customHeight="1" thickBot="1">
      <c r="A3" s="194" t="s">
        <v>1464</v>
      </c>
      <c r="B3" s="535">
        <f>IF(C2="——",C43,ROUND(B2*10000/D3,0))</f>
        <v>0</v>
      </c>
      <c r="C3" s="343" t="s">
        <v>1768</v>
      </c>
      <c r="D3" s="342">
        <f>IF(D1="",'数据-汇总表'!E3,SUMIF('数据-汇总表'!$C19:$C33,D1,'数据-汇总表'!$E19:$E33))</f>
        <v>1279.97</v>
      </c>
      <c r="E3" s="851"/>
      <c r="F3" s="852"/>
      <c r="G3" s="851"/>
      <c r="H3" s="851"/>
      <c r="I3" s="851"/>
      <c r="J3" s="851"/>
      <c r="K3" s="853"/>
      <c r="L3" s="854"/>
      <c r="M3" s="855"/>
      <c r="N3" s="855"/>
      <c r="O3" s="855"/>
      <c r="P3" s="340"/>
      <c r="Q3" s="340"/>
      <c r="R3" s="340"/>
      <c r="S3" s="340"/>
      <c r="T3" s="340"/>
      <c r="U3" s="340"/>
      <c r="V3" s="340"/>
      <c r="W3" s="340"/>
      <c r="X3" s="340"/>
      <c r="Y3" s="340"/>
      <c r="Z3" s="340"/>
      <c r="AA3" s="340"/>
      <c r="AB3" s="672"/>
      <c r="AC3" s="659"/>
    </row>
    <row r="4" spans="1:29" ht="15">
      <c r="A4" s="344" t="s">
        <v>1769</v>
      </c>
      <c r="B4" s="345"/>
      <c r="C4" s="3531" t="s">
        <v>1770</v>
      </c>
      <c r="D4" s="3532"/>
      <c r="E4" s="3533" t="s">
        <v>1771</v>
      </c>
      <c r="F4" s="3534"/>
      <c r="G4" s="3531" t="s">
        <v>1772</v>
      </c>
      <c r="H4" s="3532"/>
      <c r="I4" s="3531" t="s">
        <v>1773</v>
      </c>
      <c r="J4" s="3532"/>
      <c r="K4" s="536" t="s">
        <v>1774</v>
      </c>
      <c r="L4" s="856"/>
      <c r="M4" s="857"/>
      <c r="N4" s="857"/>
      <c r="O4" s="857"/>
      <c r="P4" s="3535" t="s">
        <v>1775</v>
      </c>
      <c r="Q4" s="3536"/>
      <c r="R4" s="3518" t="s">
        <v>1771</v>
      </c>
      <c r="S4" s="3519"/>
      <c r="T4" s="3518" t="s">
        <v>1772</v>
      </c>
      <c r="U4" s="3519"/>
      <c r="V4" s="3543" t="s">
        <v>1773</v>
      </c>
      <c r="W4" s="3543"/>
      <c r="X4" s="1261"/>
      <c r="Y4" s="3518" t="s">
        <v>1775</v>
      </c>
      <c r="Z4" s="3519"/>
      <c r="AA4" s="3513" t="s">
        <v>1771</v>
      </c>
      <c r="AB4" s="3514" t="s">
        <v>1772</v>
      </c>
      <c r="AC4" s="3513" t="s">
        <v>1773</v>
      </c>
    </row>
    <row r="5" spans="1:29" ht="15">
      <c r="A5" s="347"/>
      <c r="B5" s="348"/>
      <c r="C5" s="3524" t="s">
        <v>1673</v>
      </c>
      <c r="D5" s="3525"/>
      <c r="E5" s="3522" t="s">
        <v>1674</v>
      </c>
      <c r="F5" s="3523"/>
      <c r="G5" s="3524" t="s">
        <v>1675</v>
      </c>
      <c r="H5" s="3525"/>
      <c r="I5" s="3524" t="s">
        <v>1676</v>
      </c>
      <c r="J5" s="3525"/>
      <c r="K5" s="536"/>
      <c r="L5" s="856"/>
      <c r="M5" s="857"/>
      <c r="N5" s="857"/>
      <c r="O5" s="857"/>
      <c r="P5" s="3537"/>
      <c r="Q5" s="3538"/>
      <c r="R5" s="3520"/>
      <c r="S5" s="3521"/>
      <c r="T5" s="3520"/>
      <c r="U5" s="3521"/>
      <c r="V5" s="3543"/>
      <c r="W5" s="3543"/>
      <c r="X5" s="1261"/>
      <c r="Y5" s="3520"/>
      <c r="Z5" s="3521"/>
      <c r="AA5" s="3514"/>
      <c r="AB5" s="3514"/>
      <c r="AC5" s="3514"/>
    </row>
    <row r="6" spans="1:29" ht="15.75" thickBot="1">
      <c r="A6" s="349"/>
      <c r="B6" s="350"/>
      <c r="C6" s="3526" t="s">
        <v>1677</v>
      </c>
      <c r="D6" s="3527"/>
      <c r="E6" s="3528" t="s">
        <v>1677</v>
      </c>
      <c r="F6" s="3529"/>
      <c r="G6" s="3526" t="s">
        <v>1677</v>
      </c>
      <c r="H6" s="3527"/>
      <c r="I6" s="3526" t="s">
        <v>1677</v>
      </c>
      <c r="J6" s="3527"/>
      <c r="K6" s="536" t="s">
        <v>1678</v>
      </c>
      <c r="L6" s="856"/>
      <c r="M6" s="857"/>
      <c r="N6" s="857"/>
      <c r="O6" s="857"/>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SUMIF(52:52,YEAR(E7)&amp;"-"&amp;MONTH(E7),53:53)</f>
        <v>0</v>
      </c>
      <c r="G7" s="355"/>
      <c r="H7" s="354">
        <f>SUMIF(52:52,YEAR(G7)&amp;"-"&amp;MONTH(G7),53:53)</f>
        <v>0</v>
      </c>
      <c r="I7" s="355"/>
      <c r="J7" s="354">
        <f>SUMIF(52:52,YEAR(I7)&amp;"-"&amp;MONTH(I7),53:53)</f>
        <v>0</v>
      </c>
      <c r="K7" s="38"/>
      <c r="L7" s="858"/>
      <c r="M7" s="859"/>
      <c r="N7" s="859"/>
      <c r="O7" s="859"/>
      <c r="P7" s="3516" t="s">
        <v>1680</v>
      </c>
      <c r="Q7" s="3544"/>
      <c r="R7" s="660" t="s">
        <v>14</v>
      </c>
      <c r="S7" s="661">
        <f t="shared" ref="S7:S15" si="0">F7</f>
        <v>0</v>
      </c>
      <c r="T7" s="660" t="s">
        <v>14</v>
      </c>
      <c r="U7" s="661">
        <f t="shared" ref="U7:U15" si="1">H7</f>
        <v>0</v>
      </c>
      <c r="V7" s="660" t="s">
        <v>14</v>
      </c>
      <c r="W7" s="661">
        <f t="shared" ref="W7:W15" si="2">J7</f>
        <v>0</v>
      </c>
      <c r="X7" s="662"/>
      <c r="Y7" s="3516" t="s">
        <v>1680</v>
      </c>
      <c r="Z7" s="351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516" t="s">
        <v>1683</v>
      </c>
      <c r="Q8" s="3517"/>
      <c r="R8" s="660" t="s">
        <v>14</v>
      </c>
      <c r="S8" s="661">
        <f t="shared" si="0"/>
        <v>100</v>
      </c>
      <c r="T8" s="660" t="s">
        <v>14</v>
      </c>
      <c r="U8" s="661">
        <f t="shared" si="1"/>
        <v>100</v>
      </c>
      <c r="V8" s="660" t="s">
        <v>14</v>
      </c>
      <c r="W8" s="661">
        <f t="shared" si="2"/>
        <v>100</v>
      </c>
      <c r="X8" s="662"/>
      <c r="Y8" s="3516" t="s">
        <v>1683</v>
      </c>
      <c r="Z8" s="3517"/>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58"/>
      <c r="M9" s="859"/>
      <c r="N9" s="859"/>
      <c r="O9" s="860"/>
      <c r="P9" s="3548"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1"/>
      <c r="M10" s="862"/>
      <c r="N10" s="862"/>
      <c r="O10" s="863"/>
      <c r="P10" s="3548"/>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548"/>
      <c r="Q11" s="529" t="str">
        <f t="shared" si="6"/>
        <v>容积率</v>
      </c>
      <c r="R11" s="660" t="s">
        <v>14</v>
      </c>
      <c r="S11" s="661">
        <f t="shared" si="0"/>
        <v>100</v>
      </c>
      <c r="T11" s="660" t="s">
        <v>14</v>
      </c>
      <c r="U11" s="661">
        <f t="shared" si="1"/>
        <v>100</v>
      </c>
      <c r="V11" s="660" t="s">
        <v>14</v>
      </c>
      <c r="W11" s="661">
        <f t="shared" si="2"/>
        <v>100</v>
      </c>
      <c r="X11" s="662"/>
      <c r="Y11" s="346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58"/>
      <c r="M12" s="859"/>
      <c r="N12" s="859"/>
      <c r="O12" s="860"/>
      <c r="P12" s="3548"/>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6"/>
      <c r="M13" s="857"/>
      <c r="N13" s="857"/>
      <c r="O13" s="865"/>
      <c r="P13" s="3548"/>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3"/>
      <c r="H14" s="376">
        <f>SUMIF(68:68,G14,69:69)-SUMIF(68:68,C14,69:69)+100</f>
        <v>100</v>
      </c>
      <c r="I14" s="406"/>
      <c r="J14" s="376">
        <f>SUMIF(68:68,I14,69:69)-SUMIF(68:68,C14,69:69)+100</f>
        <v>100</v>
      </c>
      <c r="K14" s="538"/>
      <c r="L14" s="866"/>
      <c r="M14" s="857"/>
      <c r="N14" s="857"/>
      <c r="O14" s="865"/>
      <c r="P14" s="3548"/>
      <c r="Q14" s="529">
        <f t="shared" si="6"/>
        <v>111</v>
      </c>
      <c r="R14" s="660" t="s">
        <v>14</v>
      </c>
      <c r="S14" s="661">
        <f t="shared" si="0"/>
        <v>100</v>
      </c>
      <c r="T14" s="660" t="s">
        <v>14</v>
      </c>
      <c r="U14" s="661">
        <f t="shared" si="1"/>
        <v>100</v>
      </c>
      <c r="V14" s="660" t="s">
        <v>14</v>
      </c>
      <c r="W14" s="661">
        <f t="shared" si="2"/>
        <v>100</v>
      </c>
      <c r="X14" s="662"/>
      <c r="Y14" s="3460"/>
      <c r="Z14" s="50">
        <f t="shared" si="7"/>
        <v>111</v>
      </c>
      <c r="AA14" s="50">
        <f t="shared" si="3"/>
        <v>1</v>
      </c>
      <c r="AB14" s="50">
        <f t="shared" si="4"/>
        <v>1</v>
      </c>
      <c r="AC14" s="50">
        <f t="shared" si="5"/>
        <v>1</v>
      </c>
    </row>
    <row r="15" spans="1:29" ht="71.25">
      <c r="A15" s="378" t="s">
        <v>1690</v>
      </c>
      <c r="B15" s="57" t="s">
        <v>1827</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549" t="s">
        <v>1691</v>
      </c>
      <c r="Q15" s="1259" t="str">
        <f t="shared" si="6"/>
        <v>产业集聚程度</v>
      </c>
      <c r="R15" s="663" t="s">
        <v>14</v>
      </c>
      <c r="S15" s="664">
        <f t="shared" si="0"/>
        <v>100</v>
      </c>
      <c r="T15" s="663" t="s">
        <v>14</v>
      </c>
      <c r="U15" s="664">
        <f t="shared" si="1"/>
        <v>100</v>
      </c>
      <c r="V15" s="663" t="s">
        <v>14</v>
      </c>
      <c r="W15" s="664">
        <f t="shared" si="2"/>
        <v>100</v>
      </c>
      <c r="X15" s="1261"/>
      <c r="Y15" s="3549"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6"/>
      <c r="M16" s="857"/>
      <c r="N16" s="857"/>
      <c r="O16" s="865"/>
      <c r="P16" s="3550"/>
      <c r="Q16" s="1259"/>
      <c r="R16" s="663"/>
      <c r="S16" s="664"/>
      <c r="T16" s="663"/>
      <c r="U16" s="664"/>
      <c r="V16" s="663"/>
      <c r="W16" s="664"/>
      <c r="X16" s="1261"/>
      <c r="Y16" s="3550"/>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550"/>
      <c r="Q17" s="1259" t="str">
        <f>B17</f>
        <v>交通便捷度</v>
      </c>
      <c r="R17" s="663" t="s">
        <v>14</v>
      </c>
      <c r="S17" s="664">
        <f>F17</f>
        <v>100</v>
      </c>
      <c r="T17" s="663" t="s">
        <v>14</v>
      </c>
      <c r="U17" s="664">
        <f>H17</f>
        <v>100</v>
      </c>
      <c r="V17" s="663" t="s">
        <v>14</v>
      </c>
      <c r="W17" s="664">
        <f>J17</f>
        <v>100</v>
      </c>
      <c r="X17" s="1261"/>
      <c r="Y17" s="3550"/>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6"/>
      <c r="M18" s="857"/>
      <c r="N18" s="857"/>
      <c r="O18" s="865"/>
      <c r="P18" s="3550"/>
      <c r="Q18" s="1259"/>
      <c r="R18" s="663"/>
      <c r="S18" s="664"/>
      <c r="T18" s="663"/>
      <c r="U18" s="664"/>
      <c r="V18" s="663"/>
      <c r="W18" s="664"/>
      <c r="X18" s="1261"/>
      <c r="Y18" s="3550"/>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550"/>
      <c r="Q19" s="1259" t="str">
        <f>B19</f>
        <v>公共配套设施</v>
      </c>
      <c r="R19" s="663" t="s">
        <v>14</v>
      </c>
      <c r="S19" s="664">
        <f>F19</f>
        <v>100</v>
      </c>
      <c r="T19" s="663" t="s">
        <v>14</v>
      </c>
      <c r="U19" s="664">
        <f>H19</f>
        <v>100</v>
      </c>
      <c r="V19" s="663" t="s">
        <v>14</v>
      </c>
      <c r="W19" s="664">
        <f>J19</f>
        <v>100</v>
      </c>
      <c r="X19" s="1261"/>
      <c r="Y19" s="3550"/>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6"/>
      <c r="M20" s="857"/>
      <c r="N20" s="857"/>
      <c r="O20" s="865"/>
      <c r="P20" s="3550"/>
      <c r="Q20" s="1259"/>
      <c r="R20" s="663"/>
      <c r="S20" s="664"/>
      <c r="T20" s="663"/>
      <c r="U20" s="664"/>
      <c r="V20" s="663"/>
      <c r="W20" s="664"/>
      <c r="X20" s="1261"/>
      <c r="Y20" s="3550"/>
      <c r="Z20" s="1260"/>
      <c r="AA20" s="1260">
        <v>1</v>
      </c>
      <c r="AB20" s="1260">
        <v>1</v>
      </c>
      <c r="AC20" s="1260">
        <v>1</v>
      </c>
    </row>
    <row r="21" spans="1:29" ht="42.7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550"/>
      <c r="Q21" s="1259" t="str">
        <f>B21</f>
        <v>基础设施水平</v>
      </c>
      <c r="R21" s="663" t="s">
        <v>14</v>
      </c>
      <c r="S21" s="664">
        <f>F21</f>
        <v>100</v>
      </c>
      <c r="T21" s="663" t="s">
        <v>14</v>
      </c>
      <c r="U21" s="664">
        <f>H21</f>
        <v>100</v>
      </c>
      <c r="V21" s="663" t="s">
        <v>14</v>
      </c>
      <c r="W21" s="664">
        <f>J21</f>
        <v>100</v>
      </c>
      <c r="X21" s="1261"/>
      <c r="Y21" s="3550"/>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0"/>
      <c r="L22" s="866"/>
      <c r="M22" s="857"/>
      <c r="N22" s="857"/>
      <c r="O22" s="865"/>
      <c r="P22" s="3550"/>
      <c r="Q22" s="1259"/>
      <c r="R22" s="663"/>
      <c r="S22" s="664"/>
      <c r="T22" s="663"/>
      <c r="U22" s="664"/>
      <c r="V22" s="663"/>
      <c r="W22" s="664"/>
      <c r="X22" s="1261"/>
      <c r="Y22" s="3550"/>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550"/>
      <c r="Q23" s="1259" t="str">
        <f>B23</f>
        <v>环境质量</v>
      </c>
      <c r="R23" s="663" t="s">
        <v>14</v>
      </c>
      <c r="S23" s="664">
        <f>F23</f>
        <v>100</v>
      </c>
      <c r="T23" s="663" t="s">
        <v>14</v>
      </c>
      <c r="U23" s="664">
        <f>H23</f>
        <v>100</v>
      </c>
      <c r="V23" s="663" t="s">
        <v>14</v>
      </c>
      <c r="W23" s="664">
        <f>J23</f>
        <v>100</v>
      </c>
      <c r="X23" s="1261"/>
      <c r="Y23" s="3550"/>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6"/>
      <c r="M24" s="857"/>
      <c r="N24" s="857"/>
      <c r="O24" s="865"/>
      <c r="P24" s="3550"/>
      <c r="Q24" s="1259"/>
      <c r="R24" s="663"/>
      <c r="S24" s="664"/>
      <c r="T24" s="663"/>
      <c r="U24" s="664"/>
      <c r="V24" s="663"/>
      <c r="W24" s="664"/>
      <c r="X24" s="1261"/>
      <c r="Y24" s="3550"/>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550"/>
      <c r="Q25" s="1259">
        <f>B25</f>
        <v>111</v>
      </c>
      <c r="R25" s="663" t="s">
        <v>14</v>
      </c>
      <c r="S25" s="664">
        <f>F25</f>
        <v>100</v>
      </c>
      <c r="T25" s="663" t="s">
        <v>14</v>
      </c>
      <c r="U25" s="664">
        <f>H25</f>
        <v>100</v>
      </c>
      <c r="V25" s="663" t="s">
        <v>14</v>
      </c>
      <c r="W25" s="664">
        <f>J25</f>
        <v>100</v>
      </c>
      <c r="X25" s="1261"/>
      <c r="Y25" s="3550"/>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550"/>
      <c r="Q26" s="1259">
        <f t="shared" ref="Q26:Q40" si="11">B26</f>
        <v>111</v>
      </c>
      <c r="R26" s="663" t="s">
        <v>14</v>
      </c>
      <c r="S26" s="664">
        <f>F26</f>
        <v>100</v>
      </c>
      <c r="T26" s="663" t="s">
        <v>14</v>
      </c>
      <c r="U26" s="664">
        <f>H26</f>
        <v>100</v>
      </c>
      <c r="V26" s="663" t="s">
        <v>14</v>
      </c>
      <c r="W26" s="664">
        <f>J26</f>
        <v>100</v>
      </c>
      <c r="X26" s="1261"/>
      <c r="Y26" s="3550"/>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550"/>
      <c r="Q27" s="529">
        <f t="shared" si="11"/>
        <v>111</v>
      </c>
      <c r="R27" s="660" t="s">
        <v>14</v>
      </c>
      <c r="S27" s="661">
        <f>F27</f>
        <v>100</v>
      </c>
      <c r="T27" s="660" t="s">
        <v>14</v>
      </c>
      <c r="U27" s="661">
        <f>H27</f>
        <v>100</v>
      </c>
      <c r="V27" s="660" t="s">
        <v>14</v>
      </c>
      <c r="W27" s="661">
        <f>J27</f>
        <v>100</v>
      </c>
      <c r="X27" s="662"/>
      <c r="Y27" s="3550"/>
      <c r="Z27" s="50">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550"/>
      <c r="Q28" s="1259">
        <f t="shared" si="11"/>
        <v>111</v>
      </c>
      <c r="R28" s="663" t="s">
        <v>14</v>
      </c>
      <c r="S28" s="664">
        <f t="shared" ref="S28:S40" si="12">F28</f>
        <v>100</v>
      </c>
      <c r="T28" s="663" t="s">
        <v>14</v>
      </c>
      <c r="U28" s="664">
        <f t="shared" ref="U28:U40" si="13">H28</f>
        <v>100</v>
      </c>
      <c r="V28" s="663" t="s">
        <v>14</v>
      </c>
      <c r="W28" s="664">
        <f t="shared" ref="W28:W40" si="14">J28</f>
        <v>100</v>
      </c>
      <c r="X28" s="1261"/>
      <c r="Y28" s="3550"/>
      <c r="Z28" s="1260">
        <f t="shared" ref="Z28:Z40" si="15">Q28</f>
        <v>111</v>
      </c>
      <c r="AA28" s="1260">
        <f t="shared" si="3"/>
        <v>1</v>
      </c>
      <c r="AB28" s="1260">
        <f t="shared" si="4"/>
        <v>1</v>
      </c>
      <c r="AC28" s="1260">
        <f t="shared" si="5"/>
        <v>1</v>
      </c>
    </row>
    <row r="29" spans="1:29" ht="28.5">
      <c r="A29" s="403" t="s">
        <v>1694</v>
      </c>
      <c r="B29" s="59"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6"/>
      <c r="M29" s="857"/>
      <c r="N29" s="857"/>
      <c r="O29" s="865"/>
      <c r="P29" s="3575" t="s">
        <v>1696</v>
      </c>
      <c r="Q29" s="1259" t="str">
        <f t="shared" si="11"/>
        <v>建筑类型</v>
      </c>
      <c r="R29" s="663" t="s">
        <v>14</v>
      </c>
      <c r="S29" s="664">
        <f t="shared" si="12"/>
        <v>100</v>
      </c>
      <c r="T29" s="663" t="s">
        <v>14</v>
      </c>
      <c r="U29" s="664">
        <f t="shared" si="13"/>
        <v>100</v>
      </c>
      <c r="V29" s="663" t="s">
        <v>14</v>
      </c>
      <c r="W29" s="664">
        <f t="shared" si="14"/>
        <v>100</v>
      </c>
      <c r="X29" s="1261"/>
      <c r="Y29" s="3554"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554"/>
      <c r="Q30" s="530" t="str">
        <f t="shared" si="11"/>
        <v>项目建筑规模</v>
      </c>
      <c r="R30" s="665" t="s">
        <v>14</v>
      </c>
      <c r="S30" s="666" t="e">
        <f t="shared" si="12"/>
        <v>#N/A</v>
      </c>
      <c r="T30" s="665" t="s">
        <v>14</v>
      </c>
      <c r="U30" s="666" t="e">
        <f t="shared" si="13"/>
        <v>#N/A</v>
      </c>
      <c r="V30" s="665" t="s">
        <v>14</v>
      </c>
      <c r="W30" s="666" t="e">
        <f t="shared" si="14"/>
        <v>#N/A</v>
      </c>
      <c r="X30" s="667"/>
      <c r="Y30" s="3554"/>
      <c r="Z30" s="668"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554"/>
      <c r="Q31" s="1259" t="str">
        <f t="shared" si="11"/>
        <v>建筑结构</v>
      </c>
      <c r="R31" s="663" t="s">
        <v>14</v>
      </c>
      <c r="S31" s="664">
        <f t="shared" si="12"/>
        <v>100</v>
      </c>
      <c r="T31" s="663" t="s">
        <v>14</v>
      </c>
      <c r="U31" s="664">
        <f t="shared" si="13"/>
        <v>100</v>
      </c>
      <c r="V31" s="663" t="s">
        <v>14</v>
      </c>
      <c r="W31" s="664">
        <f t="shared" si="14"/>
        <v>100</v>
      </c>
      <c r="X31" s="1261"/>
      <c r="Y31" s="3554"/>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554"/>
      <c r="Q32" s="1259" t="str">
        <f t="shared" si="11"/>
        <v>公共部分装修</v>
      </c>
      <c r="R32" s="663" t="s">
        <v>14</v>
      </c>
      <c r="S32" s="664">
        <f t="shared" si="12"/>
        <v>100</v>
      </c>
      <c r="T32" s="663" t="s">
        <v>14</v>
      </c>
      <c r="U32" s="664">
        <f t="shared" si="13"/>
        <v>100</v>
      </c>
      <c r="V32" s="663" t="s">
        <v>14</v>
      </c>
      <c r="W32" s="664">
        <f t="shared" si="14"/>
        <v>100</v>
      </c>
      <c r="X32" s="1261"/>
      <c r="Y32" s="3554"/>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554"/>
      <c r="Q33" s="1259" t="str">
        <f t="shared" si="11"/>
        <v>成新度</v>
      </c>
      <c r="R33" s="663" t="s">
        <v>14</v>
      </c>
      <c r="S33" s="664" t="e">
        <f t="shared" si="12"/>
        <v>#N/A</v>
      </c>
      <c r="T33" s="663" t="s">
        <v>14</v>
      </c>
      <c r="U33" s="664" t="e">
        <f t="shared" si="13"/>
        <v>#N/A</v>
      </c>
      <c r="V33" s="663" t="s">
        <v>14</v>
      </c>
      <c r="W33" s="664" t="e">
        <f t="shared" si="14"/>
        <v>#N/A</v>
      </c>
      <c r="X33" s="1261"/>
      <c r="Y33" s="3554"/>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554"/>
      <c r="Q34" s="529" t="str">
        <f t="shared" si="11"/>
        <v>物业管理</v>
      </c>
      <c r="R34" s="660" t="s">
        <v>14</v>
      </c>
      <c r="S34" s="661">
        <f t="shared" si="12"/>
        <v>100</v>
      </c>
      <c r="T34" s="660" t="s">
        <v>14</v>
      </c>
      <c r="U34" s="661">
        <f t="shared" si="13"/>
        <v>100</v>
      </c>
      <c r="V34" s="660" t="s">
        <v>14</v>
      </c>
      <c r="W34" s="661">
        <f t="shared" si="14"/>
        <v>100</v>
      </c>
      <c r="X34" s="662"/>
      <c r="Y34" s="355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554" t="s">
        <v>1696</v>
      </c>
      <c r="Q35" s="1259" t="str">
        <f t="shared" si="11"/>
        <v>市政基础设施</v>
      </c>
      <c r="R35" s="663" t="s">
        <v>14</v>
      </c>
      <c r="S35" s="664">
        <f t="shared" si="12"/>
        <v>100</v>
      </c>
      <c r="T35" s="663" t="s">
        <v>14</v>
      </c>
      <c r="U35" s="664">
        <f t="shared" si="13"/>
        <v>100</v>
      </c>
      <c r="V35" s="663" t="s">
        <v>14</v>
      </c>
      <c r="W35" s="664">
        <f t="shared" si="14"/>
        <v>100</v>
      </c>
      <c r="X35" s="1261"/>
      <c r="Y35" s="3554"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554"/>
      <c r="Q36" s="1259" t="str">
        <f t="shared" si="11"/>
        <v>内部装修</v>
      </c>
      <c r="R36" s="663" t="s">
        <v>14</v>
      </c>
      <c r="S36" s="664">
        <f t="shared" si="12"/>
        <v>100</v>
      </c>
      <c r="T36" s="663" t="s">
        <v>14</v>
      </c>
      <c r="U36" s="664">
        <f t="shared" si="13"/>
        <v>100</v>
      </c>
      <c r="V36" s="663" t="s">
        <v>14</v>
      </c>
      <c r="W36" s="664">
        <f t="shared" si="14"/>
        <v>100</v>
      </c>
      <c r="X36" s="1261"/>
      <c r="Y36" s="3554"/>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554"/>
      <c r="Q37" s="1259" t="str">
        <f t="shared" si="11"/>
        <v>内部装修状况</v>
      </c>
      <c r="R37" s="663" t="s">
        <v>14</v>
      </c>
      <c r="S37" s="664">
        <f t="shared" si="12"/>
        <v>100</v>
      </c>
      <c r="T37" s="663" t="s">
        <v>14</v>
      </c>
      <c r="U37" s="664">
        <f t="shared" si="13"/>
        <v>100</v>
      </c>
      <c r="V37" s="663" t="s">
        <v>14</v>
      </c>
      <c r="W37" s="664">
        <f t="shared" si="14"/>
        <v>100</v>
      </c>
      <c r="X37" s="1261"/>
      <c r="Y37" s="3554"/>
      <c r="Z37" s="1260" t="str">
        <f t="shared" si="15"/>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554"/>
      <c r="Q38" s="530">
        <f t="shared" si="11"/>
        <v>111</v>
      </c>
      <c r="R38" s="665" t="s">
        <v>14</v>
      </c>
      <c r="S38" s="666">
        <f t="shared" si="12"/>
        <v>100</v>
      </c>
      <c r="T38" s="665" t="s">
        <v>14</v>
      </c>
      <c r="U38" s="666">
        <f t="shared" si="13"/>
        <v>100</v>
      </c>
      <c r="V38" s="665" t="s">
        <v>14</v>
      </c>
      <c r="W38" s="666">
        <f t="shared" si="14"/>
        <v>100</v>
      </c>
      <c r="X38" s="667"/>
      <c r="Y38" s="3554"/>
      <c r="Z38" s="668">
        <f t="shared" si="15"/>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554"/>
      <c r="Q39" s="1259">
        <f t="shared" si="11"/>
        <v>111</v>
      </c>
      <c r="R39" s="663" t="s">
        <v>14</v>
      </c>
      <c r="S39" s="664">
        <f t="shared" si="12"/>
        <v>100</v>
      </c>
      <c r="T39" s="663" t="s">
        <v>14</v>
      </c>
      <c r="U39" s="664">
        <f t="shared" si="13"/>
        <v>100</v>
      </c>
      <c r="V39" s="663" t="s">
        <v>14</v>
      </c>
      <c r="W39" s="664">
        <f t="shared" si="14"/>
        <v>100</v>
      </c>
      <c r="X39" s="1261"/>
      <c r="Y39" s="3554"/>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555"/>
      <c r="Q40" s="1259">
        <f t="shared" si="11"/>
        <v>111</v>
      </c>
      <c r="R40" s="663" t="s">
        <v>14</v>
      </c>
      <c r="S40" s="664">
        <f t="shared" si="12"/>
        <v>100</v>
      </c>
      <c r="T40" s="663" t="s">
        <v>14</v>
      </c>
      <c r="U40" s="664">
        <f t="shared" si="13"/>
        <v>100</v>
      </c>
      <c r="V40" s="663" t="s">
        <v>14</v>
      </c>
      <c r="W40" s="664">
        <f t="shared" si="14"/>
        <v>100</v>
      </c>
      <c r="X40" s="1261"/>
      <c r="Y40" s="3555"/>
      <c r="Z40" s="1260">
        <f t="shared" si="15"/>
        <v>111</v>
      </c>
      <c r="AA40" s="1260">
        <f t="shared" si="3"/>
        <v>1</v>
      </c>
      <c r="AB40" s="1260">
        <f t="shared" si="4"/>
        <v>1</v>
      </c>
      <c r="AC40" s="1260">
        <f t="shared" si="5"/>
        <v>1</v>
      </c>
    </row>
    <row r="41" spans="1:29" ht="15">
      <c r="A41" s="415" t="s">
        <v>1708</v>
      </c>
      <c r="B41" s="416"/>
      <c r="C41" s="1077" t="s">
        <v>0</v>
      </c>
      <c r="D41" s="417"/>
      <c r="E41" s="418"/>
      <c r="F41" s="419"/>
      <c r="G41" s="420"/>
      <c r="H41" s="421"/>
      <c r="I41" s="418"/>
      <c r="J41" s="421"/>
      <c r="K41" s="670"/>
      <c r="L41" s="869"/>
      <c r="M41" s="857"/>
      <c r="N41" s="857"/>
      <c r="O41" s="857"/>
      <c r="P41" s="3548" t="str">
        <f>A41</f>
        <v>成交单价（元/平方米）</v>
      </c>
      <c r="Q41" s="3548"/>
      <c r="R41" s="3543">
        <f>E41</f>
        <v>0</v>
      </c>
      <c r="S41" s="3543"/>
      <c r="T41" s="3543">
        <f>G41</f>
        <v>0</v>
      </c>
      <c r="U41" s="3543"/>
      <c r="V41" s="3543">
        <f>I41</f>
        <v>0</v>
      </c>
      <c r="W41" s="3543"/>
      <c r="X41" s="384"/>
      <c r="Y41" s="669"/>
      <c r="Z41" s="384"/>
      <c r="AA41" s="384"/>
      <c r="AB41" s="384"/>
      <c r="AC41" s="384"/>
    </row>
    <row r="42" spans="1:29" ht="15.75" thickBot="1">
      <c r="A42" s="422" t="s">
        <v>1793</v>
      </c>
      <c r="B42" s="423"/>
      <c r="C42" s="1078" t="e">
        <f>R43</f>
        <v>#DIV/0!</v>
      </c>
      <c r="D42" s="2136" t="s">
        <v>2135</v>
      </c>
      <c r="E42" s="1079" t="e">
        <f>R42</f>
        <v>#DIV/0!</v>
      </c>
      <c r="F42" s="2137"/>
      <c r="G42" s="1078" t="e">
        <f>T42</f>
        <v>#DIV/0!</v>
      </c>
      <c r="H42" s="2137"/>
      <c r="I42" s="1079" t="e">
        <f>V42</f>
        <v>#DIV/0!</v>
      </c>
      <c r="J42" s="2137"/>
      <c r="K42" s="2139">
        <f>F42+H42+J42</f>
        <v>0</v>
      </c>
      <c r="L42" s="869"/>
      <c r="M42" s="857"/>
      <c r="N42" s="857"/>
      <c r="O42" s="857"/>
      <c r="P42" s="3548" t="str">
        <f>A42</f>
        <v>比较价值（元/平方米）</v>
      </c>
      <c r="Q42" s="3548"/>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384"/>
      <c r="Y42" s="384"/>
      <c r="Z42" s="384"/>
      <c r="AA42" s="384"/>
      <c r="AB42" s="384"/>
      <c r="AC42" s="384"/>
    </row>
    <row r="43" spans="1:29" ht="15.75" thickBot="1">
      <c r="A43" s="426" t="s">
        <v>1794</v>
      </c>
      <c r="B43" s="427"/>
      <c r="C43" s="350" t="e">
        <f>R43</f>
        <v>#DIV/0!</v>
      </c>
      <c r="D43" s="350"/>
      <c r="E43" s="350"/>
      <c r="F43" s="350"/>
      <c r="G43" s="350"/>
      <c r="H43" s="350"/>
      <c r="I43" s="350"/>
      <c r="J43" s="350"/>
      <c r="K43" s="671"/>
      <c r="L43" s="869"/>
      <c r="M43" s="857"/>
      <c r="N43" s="857"/>
      <c r="O43" s="857"/>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384"/>
      <c r="Y43" s="384"/>
      <c r="Z43" s="384"/>
      <c r="AA43" s="384"/>
      <c r="AB43" s="384"/>
      <c r="AC43" s="384"/>
    </row>
    <row r="44" spans="1:29">
      <c r="A44" s="2482"/>
      <c r="B44" s="2482"/>
      <c r="C44" s="2482"/>
      <c r="D44" s="2482"/>
      <c r="E44" s="2482"/>
      <c r="F44" s="2482"/>
      <c r="G44" s="2493"/>
      <c r="H44" s="2482"/>
      <c r="I44" s="2482"/>
      <c r="J44" s="2482"/>
      <c r="K44" s="2494"/>
      <c r="L44" s="832"/>
      <c r="M44" s="857"/>
      <c r="N44" s="857"/>
      <c r="O44" s="857"/>
    </row>
    <row r="45" spans="1:29">
      <c r="A45" s="2482"/>
      <c r="B45" s="2482"/>
      <c r="C45" s="2482"/>
      <c r="D45" s="2482"/>
      <c r="E45" s="2482"/>
      <c r="F45" s="2482"/>
      <c r="G45" s="2482"/>
      <c r="H45" s="2482"/>
      <c r="I45" s="2482"/>
      <c r="J45" s="2482"/>
      <c r="K45" s="2494"/>
      <c r="L45" s="832"/>
      <c r="M45" s="857"/>
      <c r="N45" s="857"/>
      <c r="O45" s="857"/>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2"/>
      <c r="M46" s="857"/>
      <c r="N46" s="857"/>
      <c r="O46" s="857"/>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2"/>
      <c r="M47" s="857"/>
      <c r="N47" s="857"/>
      <c r="O47" s="857"/>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2"/>
      <c r="M48" s="870"/>
      <c r="N48" s="870"/>
      <c r="O48" s="870"/>
    </row>
    <row r="49" spans="1:17" s="436" customFormat="1">
      <c r="A49" s="2492"/>
      <c r="B49" s="2495"/>
      <c r="C49" s="2496"/>
      <c r="D49" s="2492"/>
      <c r="E49" s="2492"/>
      <c r="F49" s="2492"/>
      <c r="G49" s="2492"/>
      <c r="H49" s="2492"/>
      <c r="I49" s="2492"/>
      <c r="J49" s="2492"/>
      <c r="K49" s="2497"/>
      <c r="L49" s="872"/>
      <c r="M49" s="870"/>
      <c r="N49" s="870"/>
      <c r="O49" s="870"/>
    </row>
    <row r="50" spans="1:17">
      <c r="A50" s="2482"/>
      <c r="B50" s="2495"/>
      <c r="C50" s="2496"/>
      <c r="D50" s="2482"/>
      <c r="E50" s="2482"/>
      <c r="F50" s="2482"/>
      <c r="G50" s="2482"/>
      <c r="H50" s="2482"/>
      <c r="I50" s="2482"/>
      <c r="J50" s="2482"/>
      <c r="K50" s="2494"/>
      <c r="L50" s="832"/>
      <c r="M50" s="857"/>
      <c r="N50" s="857"/>
      <c r="O50" s="857"/>
    </row>
    <row r="51" spans="1:17" ht="21.75" thickBot="1">
      <c r="A51" s="654" t="s">
        <v>1798</v>
      </c>
      <c r="B51" s="384"/>
      <c r="C51" s="655"/>
      <c r="D51" s="655"/>
      <c r="E51" s="655"/>
      <c r="F51" s="656"/>
      <c r="G51" s="656"/>
      <c r="H51" s="655"/>
      <c r="I51" s="655"/>
      <c r="J51" s="655"/>
      <c r="K51" s="883"/>
      <c r="L51" s="884"/>
      <c r="M51" s="882"/>
      <c r="N51" s="882"/>
      <c r="O51" s="882"/>
      <c r="P51" s="437"/>
      <c r="Q51" s="438"/>
    </row>
    <row r="52" spans="1:17" s="441" customFormat="1" ht="15">
      <c r="A52" s="439" t="s">
        <v>1679</v>
      </c>
      <c r="B52" s="440"/>
      <c r="C52" s="1099" t="str">
        <f>YEAR(C7)&amp;"-"&amp;MONTH(C7)</f>
        <v>2024-6</v>
      </c>
      <c r="D52" s="1100">
        <f>EDATE(C52,-1)</f>
        <v>45413</v>
      </c>
      <c r="E52" s="1100">
        <f t="shared" ref="E52:O52" si="16">EDATE(D52,-1)</f>
        <v>45383</v>
      </c>
      <c r="F52" s="1100">
        <f t="shared" si="16"/>
        <v>45352</v>
      </c>
      <c r="G52" s="1100">
        <f t="shared" si="16"/>
        <v>45323</v>
      </c>
      <c r="H52" s="1100">
        <f t="shared" si="16"/>
        <v>45292</v>
      </c>
      <c r="I52" s="1100">
        <f t="shared" si="16"/>
        <v>45261</v>
      </c>
      <c r="J52" s="1100">
        <f t="shared" si="16"/>
        <v>45231</v>
      </c>
      <c r="K52" s="1100">
        <f t="shared" si="16"/>
        <v>45200</v>
      </c>
      <c r="L52" s="1100">
        <f t="shared" si="16"/>
        <v>45170</v>
      </c>
      <c r="M52" s="1100">
        <f t="shared" si="16"/>
        <v>45139</v>
      </c>
      <c r="N52" s="1100">
        <f t="shared" si="16"/>
        <v>45108</v>
      </c>
      <c r="O52" s="1100">
        <f t="shared" si="16"/>
        <v>45078</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1776</v>
      </c>
      <c r="D55" s="31"/>
      <c r="E55" s="31"/>
      <c r="F55" s="31"/>
      <c r="G55" s="31"/>
      <c r="H55" s="31"/>
      <c r="I55" s="31"/>
      <c r="J55" s="31"/>
      <c r="K55" s="31"/>
      <c r="L55" s="456"/>
      <c r="M55" s="457"/>
      <c r="N55" s="874"/>
      <c r="O55" s="874"/>
      <c r="P55" s="458"/>
      <c r="Q55" s="438"/>
    </row>
    <row r="56" spans="1:17" s="101"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1719</v>
      </c>
      <c r="B57" s="459" t="s">
        <v>1685</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1688</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59"/>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1" customFormat="1" ht="15.75" thickTop="1">
      <c r="A80" s="369"/>
      <c r="B80" s="468">
        <f>B25</f>
        <v>111</v>
      </c>
      <c r="C80" s="484"/>
      <c r="D80" s="484"/>
      <c r="E80" s="484"/>
      <c r="F80" s="484"/>
      <c r="G80" s="484"/>
      <c r="H80" s="484"/>
      <c r="I80" s="484"/>
      <c r="J80" s="484"/>
      <c r="K80" s="484"/>
      <c r="L80" s="509"/>
      <c r="M80" s="510"/>
      <c r="N80" s="874"/>
      <c r="O80" s="874"/>
      <c r="P80" s="40"/>
      <c r="Q80" s="438"/>
    </row>
    <row r="81" spans="1:17" s="101" customFormat="1" ht="15.75" thickBot="1">
      <c r="A81" s="369"/>
      <c r="B81" s="473"/>
      <c r="C81" s="490"/>
      <c r="D81" s="466"/>
      <c r="E81" s="466"/>
      <c r="F81" s="466"/>
      <c r="G81" s="466"/>
      <c r="H81" s="466"/>
      <c r="I81" s="466"/>
      <c r="J81" s="466"/>
      <c r="K81" s="466"/>
      <c r="L81" s="466"/>
      <c r="M81" s="467"/>
      <c r="N81" s="876"/>
      <c r="O81" s="876"/>
      <c r="P81" s="40"/>
      <c r="Q81" s="438"/>
    </row>
    <row r="82" spans="1:17" s="101" customFormat="1" ht="15.75" thickTop="1">
      <c r="A82" s="369"/>
      <c r="B82" s="468">
        <f>B26</f>
        <v>111</v>
      </c>
      <c r="C82" s="484"/>
      <c r="D82" s="484"/>
      <c r="E82" s="484"/>
      <c r="F82" s="484"/>
      <c r="G82" s="484"/>
      <c r="H82" s="484"/>
      <c r="I82" s="484"/>
      <c r="J82" s="484"/>
      <c r="K82" s="484"/>
      <c r="L82" s="509"/>
      <c r="M82" s="510"/>
      <c r="N82" s="874"/>
      <c r="O82" s="874"/>
      <c r="P82" s="40"/>
      <c r="Q82" s="438"/>
    </row>
    <row r="83" spans="1:17" s="101"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1694</v>
      </c>
      <c r="B88" s="459" t="s">
        <v>1736</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1738</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1740</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1741</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1742</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1744</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3332</v>
      </c>
      <c r="C1" s="1137" t="s">
        <v>1662</v>
      </c>
      <c r="D1" s="1138"/>
      <c r="E1" s="3126"/>
      <c r="F1" s="1730"/>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8"/>
      <c r="M2" s="2499"/>
      <c r="N2" s="2499"/>
      <c r="O2" s="2499"/>
      <c r="P2" s="1082"/>
      <c r="Q2" s="340"/>
      <c r="R2" s="340"/>
      <c r="S2" s="340"/>
      <c r="T2" s="340"/>
      <c r="U2" s="340"/>
      <c r="V2" s="340"/>
      <c r="W2" s="340"/>
      <c r="X2" s="340"/>
      <c r="Y2" s="340"/>
      <c r="Z2" s="340"/>
      <c r="AA2" s="340"/>
      <c r="AB2" s="340"/>
      <c r="AC2" s="659"/>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1"/>
      <c r="H3" s="851"/>
      <c r="I3" s="851"/>
      <c r="J3" s="851"/>
      <c r="K3" s="853"/>
      <c r="L3" s="2498"/>
      <c r="M3" s="2499" t="e">
        <f ca="1">IF(C2="——",IF(B37="元/平方米",ROUND(C39*D3/10000,0),ROUND(F3*C39/10000,0)),IF(B37="元/平方米",ROUND(C39*D3/10000,0),ROUND(F3*C39/10000,0))-D2)</f>
        <v>#DIV/0!</v>
      </c>
      <c r="N3" s="2499"/>
      <c r="O3" s="2499"/>
      <c r="P3" s="1082"/>
      <c r="Q3" s="340"/>
      <c r="R3" s="340"/>
      <c r="S3" s="340"/>
      <c r="T3" s="340"/>
      <c r="U3" s="340"/>
      <c r="V3" s="340"/>
      <c r="W3" s="340"/>
      <c r="X3" s="340"/>
      <c r="Y3" s="340"/>
      <c r="Z3" s="340"/>
      <c r="AA3" s="340"/>
      <c r="AB3" s="672"/>
      <c r="AC3" s="659"/>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35" t="s">
        <v>1775</v>
      </c>
      <c r="Q4" s="3536"/>
      <c r="R4" s="3518" t="s">
        <v>1771</v>
      </c>
      <c r="S4" s="3519"/>
      <c r="T4" s="3518" t="s">
        <v>1772</v>
      </c>
      <c r="U4" s="3519"/>
      <c r="V4" s="3543" t="s">
        <v>1773</v>
      </c>
      <c r="W4" s="3543"/>
      <c r="X4" s="1261"/>
      <c r="Y4" s="3518" t="s">
        <v>1775</v>
      </c>
      <c r="Z4" s="3519"/>
      <c r="AA4" s="3513" t="s">
        <v>1771</v>
      </c>
      <c r="AB4" s="3514" t="s">
        <v>1772</v>
      </c>
      <c r="AC4" s="3513" t="s">
        <v>1773</v>
      </c>
    </row>
    <row r="5" spans="1:29" ht="15">
      <c r="A5" s="347"/>
      <c r="B5" s="348"/>
      <c r="C5" s="3524" t="s">
        <v>1673</v>
      </c>
      <c r="D5" s="3525"/>
      <c r="E5" s="3522" t="s">
        <v>1674</v>
      </c>
      <c r="F5" s="3523"/>
      <c r="G5" s="3524" t="s">
        <v>1675</v>
      </c>
      <c r="H5" s="3525"/>
      <c r="I5" s="3524" t="s">
        <v>1676</v>
      </c>
      <c r="J5" s="3525"/>
      <c r="K5" s="536"/>
      <c r="L5" s="2481"/>
      <c r="M5" s="2482"/>
      <c r="N5" s="2482"/>
      <c r="O5" s="2482"/>
      <c r="P5" s="3537"/>
      <c r="Q5" s="3538"/>
      <c r="R5" s="3520"/>
      <c r="S5" s="3521"/>
      <c r="T5" s="3520"/>
      <c r="U5" s="3521"/>
      <c r="V5" s="3543"/>
      <c r="W5" s="3543"/>
      <c r="X5" s="1261"/>
      <c r="Y5" s="3520"/>
      <c r="Z5" s="3521"/>
      <c r="AA5" s="3514"/>
      <c r="AB5" s="3514"/>
      <c r="AC5" s="351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SUMIF(48:48,YEAR(E7)&amp;"-"&amp;MONTH(E7),49:49)</f>
        <v>0</v>
      </c>
      <c r="G7" s="355"/>
      <c r="H7" s="354">
        <f>SUMIF(48:48,YEAR(G7)&amp;"-"&amp;MONTH(G7),49:49)</f>
        <v>0</v>
      </c>
      <c r="I7" s="355"/>
      <c r="J7" s="354">
        <f>SUMIF(48:48,YEAR(I7)&amp;"-"&amp;MONTH(I7),49:49)</f>
        <v>0</v>
      </c>
      <c r="K7" s="38"/>
      <c r="L7" s="2483"/>
      <c r="M7" s="2434"/>
      <c r="N7" s="2434"/>
      <c r="O7" s="2434"/>
      <c r="P7" s="3516" t="s">
        <v>1680</v>
      </c>
      <c r="Q7" s="3544"/>
      <c r="R7" s="660" t="s">
        <v>14</v>
      </c>
      <c r="S7" s="661">
        <f t="shared" ref="S7:S14" si="0">F7</f>
        <v>0</v>
      </c>
      <c r="T7" s="660" t="s">
        <v>14</v>
      </c>
      <c r="U7" s="661">
        <f t="shared" ref="U7:U14" si="1">H7</f>
        <v>0</v>
      </c>
      <c r="V7" s="660" t="s">
        <v>14</v>
      </c>
      <c r="W7" s="661">
        <f t="shared" ref="W7:W14" si="2">J7</f>
        <v>0</v>
      </c>
      <c r="X7" s="662"/>
      <c r="Y7" s="3516" t="s">
        <v>1680</v>
      </c>
      <c r="Z7" s="351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516" t="s">
        <v>1683</v>
      </c>
      <c r="Q8" s="3517"/>
      <c r="R8" s="660" t="s">
        <v>14</v>
      </c>
      <c r="S8" s="661">
        <f t="shared" si="0"/>
        <v>100</v>
      </c>
      <c r="T8" s="660" t="s">
        <v>14</v>
      </c>
      <c r="U8" s="661">
        <f t="shared" si="1"/>
        <v>100</v>
      </c>
      <c r="V8" s="660" t="s">
        <v>14</v>
      </c>
      <c r="W8" s="661">
        <f t="shared" si="2"/>
        <v>100</v>
      </c>
      <c r="X8" s="662"/>
      <c r="Y8" s="3516" t="s">
        <v>1683</v>
      </c>
      <c r="Z8" s="3517"/>
      <c r="AA8" s="50">
        <f t="shared" ref="AA8:AA36" si="3">D8/F8</f>
        <v>1</v>
      </c>
      <c r="AB8" s="50">
        <f t="shared" ref="AB8:AB36" si="4">D8/H8</f>
        <v>1</v>
      </c>
      <c r="AC8" s="50">
        <f t="shared" ref="AC8:AC36" si="5">D8/J8</f>
        <v>1</v>
      </c>
    </row>
    <row r="9" spans="1:29" s="101" customFormat="1">
      <c r="A9" s="56" t="s">
        <v>1684</v>
      </c>
      <c r="B9" s="562" t="s">
        <v>1685</v>
      </c>
      <c r="C9" s="359"/>
      <c r="D9" s="58">
        <v>100</v>
      </c>
      <c r="E9" s="361"/>
      <c r="F9" s="58">
        <f>SUMIF(53:53,E9,54:54)-SUMIF(53:53,C9,54:54)+100</f>
        <v>100</v>
      </c>
      <c r="G9" s="360"/>
      <c r="H9" s="58">
        <f>SUMIF(53:53,G9,54:54)-SUMIF(53:53,C9,54:54)+100</f>
        <v>100</v>
      </c>
      <c r="I9" s="360"/>
      <c r="J9" s="58">
        <f>SUMIF(53:53,I9,54:54)-SUMIF(53:53,C9,54:54)+100</f>
        <v>100</v>
      </c>
      <c r="K9" s="38"/>
      <c r="L9" s="2483"/>
      <c r="M9" s="2434"/>
      <c r="N9" s="2434"/>
      <c r="O9" s="2434"/>
      <c r="P9" s="3548" t="s">
        <v>1686</v>
      </c>
      <c r="Q9" s="529" t="str">
        <f t="shared" ref="Q9:Q14" si="6">B9</f>
        <v>用途</v>
      </c>
      <c r="R9" s="660" t="s">
        <v>14</v>
      </c>
      <c r="S9" s="661">
        <f t="shared" si="0"/>
        <v>100</v>
      </c>
      <c r="T9" s="660" t="s">
        <v>14</v>
      </c>
      <c r="U9" s="661">
        <f t="shared" si="1"/>
        <v>100</v>
      </c>
      <c r="V9" s="660" t="s">
        <v>14</v>
      </c>
      <c r="W9" s="661">
        <f t="shared" si="2"/>
        <v>100</v>
      </c>
      <c r="X9" s="662"/>
      <c r="Y9" s="3460" t="s">
        <v>1687</v>
      </c>
      <c r="Z9" s="50" t="str">
        <f t="shared" ref="Z9:Z14" si="7">Q9</f>
        <v>用途</v>
      </c>
      <c r="AA9" s="50">
        <f t="shared" si="3"/>
        <v>1</v>
      </c>
      <c r="AB9" s="50">
        <f t="shared" si="4"/>
        <v>1</v>
      </c>
      <c r="AC9" s="50">
        <f t="shared" si="5"/>
        <v>1</v>
      </c>
    </row>
    <row r="10" spans="1:29" s="365" customFormat="1" ht="27">
      <c r="A10" s="563"/>
      <c r="B10" s="564"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548"/>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548"/>
      <c r="Q11" s="529">
        <f t="shared" si="6"/>
        <v>111</v>
      </c>
      <c r="R11" s="660" t="s">
        <v>14</v>
      </c>
      <c r="S11" s="661">
        <f t="shared" si="0"/>
        <v>100</v>
      </c>
      <c r="T11" s="660" t="s">
        <v>14</v>
      </c>
      <c r="U11" s="661">
        <f t="shared" si="1"/>
        <v>100</v>
      </c>
      <c r="V11" s="660" t="s">
        <v>14</v>
      </c>
      <c r="W11" s="661">
        <f t="shared" si="2"/>
        <v>100</v>
      </c>
      <c r="X11" s="662"/>
      <c r="Y11" s="3460"/>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548"/>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548"/>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99.5">
      <c r="A14" s="344" t="s">
        <v>1690</v>
      </c>
      <c r="B14" s="552" t="s">
        <v>1833</v>
      </c>
      <c r="C14" s="1814"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549" t="s">
        <v>1691</v>
      </c>
      <c r="Q14" s="1259" t="str">
        <f t="shared" si="6"/>
        <v>交通便捷度</v>
      </c>
      <c r="R14" s="663" t="s">
        <v>14</v>
      </c>
      <c r="S14" s="664">
        <f t="shared" si="0"/>
        <v>100</v>
      </c>
      <c r="T14" s="663" t="s">
        <v>14</v>
      </c>
      <c r="U14" s="664">
        <f t="shared" si="1"/>
        <v>100</v>
      </c>
      <c r="V14" s="663" t="s">
        <v>14</v>
      </c>
      <c r="W14" s="664">
        <f t="shared" si="2"/>
        <v>100</v>
      </c>
      <c r="X14" s="1261"/>
      <c r="Y14" s="3549"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7"/>
      <c r="M15" s="2482"/>
      <c r="N15" s="2482"/>
      <c r="O15" s="2482"/>
      <c r="P15" s="3550"/>
      <c r="Q15" s="1259"/>
      <c r="R15" s="663"/>
      <c r="S15" s="664"/>
      <c r="T15" s="663"/>
      <c r="U15" s="664"/>
      <c r="V15" s="663"/>
      <c r="W15" s="664"/>
      <c r="X15" s="1261"/>
      <c r="Y15" s="3550"/>
      <c r="Z15" s="1260"/>
      <c r="AA15" s="1260">
        <v>1</v>
      </c>
      <c r="AB15" s="1260">
        <v>1</v>
      </c>
      <c r="AC15" s="1260">
        <v>1</v>
      </c>
    </row>
    <row r="16" spans="1:29" ht="384.75">
      <c r="A16" s="347"/>
      <c r="B16" s="554" t="s">
        <v>1812</v>
      </c>
      <c r="C16" s="1749"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550"/>
      <c r="Q16" s="1259" t="str">
        <f>B16</f>
        <v>公共配套设施</v>
      </c>
      <c r="R16" s="663" t="s">
        <v>14</v>
      </c>
      <c r="S16" s="664">
        <f>F16</f>
        <v>100</v>
      </c>
      <c r="T16" s="663" t="s">
        <v>14</v>
      </c>
      <c r="U16" s="664">
        <f>H16</f>
        <v>100</v>
      </c>
      <c r="V16" s="663" t="s">
        <v>14</v>
      </c>
      <c r="W16" s="664">
        <f>J16</f>
        <v>100</v>
      </c>
      <c r="X16" s="1261"/>
      <c r="Y16" s="3550"/>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7"/>
      <c r="M17" s="2482"/>
      <c r="N17" s="2482"/>
      <c r="O17" s="2482"/>
      <c r="P17" s="3550"/>
      <c r="Q17" s="1259"/>
      <c r="R17" s="663"/>
      <c r="S17" s="664"/>
      <c r="T17" s="663"/>
      <c r="U17" s="664"/>
      <c r="V17" s="663"/>
      <c r="W17" s="664"/>
      <c r="X17" s="1261"/>
      <c r="Y17" s="3550"/>
      <c r="Z17" s="1260"/>
      <c r="AA17" s="1260">
        <v>1</v>
      </c>
      <c r="AB17" s="1260">
        <v>1</v>
      </c>
      <c r="AC17" s="1260">
        <v>1</v>
      </c>
    </row>
    <row r="18" spans="1:29" ht="42.75">
      <c r="A18" s="347"/>
      <c r="B18" s="555" t="s">
        <v>1813</v>
      </c>
      <c r="C18" s="1749"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550"/>
      <c r="Q18" s="1259" t="str">
        <f>B18</f>
        <v>基础设施水平</v>
      </c>
      <c r="R18" s="663" t="s">
        <v>14</v>
      </c>
      <c r="S18" s="664">
        <f>F18</f>
        <v>100</v>
      </c>
      <c r="T18" s="663" t="s">
        <v>14</v>
      </c>
      <c r="U18" s="664">
        <f>H18</f>
        <v>100</v>
      </c>
      <c r="V18" s="663" t="s">
        <v>14</v>
      </c>
      <c r="W18" s="664">
        <f>J18</f>
        <v>100</v>
      </c>
      <c r="X18" s="1261"/>
      <c r="Y18" s="3550"/>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0"/>
      <c r="L19" s="2487"/>
      <c r="M19" s="2482"/>
      <c r="N19" s="2482"/>
      <c r="O19" s="2482"/>
      <c r="P19" s="3550"/>
      <c r="Q19" s="1259"/>
      <c r="R19" s="663"/>
      <c r="S19" s="664"/>
      <c r="T19" s="663"/>
      <c r="U19" s="664"/>
      <c r="V19" s="663"/>
      <c r="W19" s="664"/>
      <c r="X19" s="1261"/>
      <c r="Y19" s="3550"/>
      <c r="Z19" s="1260"/>
      <c r="AA19" s="1260">
        <v>1</v>
      </c>
      <c r="AB19" s="1260">
        <v>1</v>
      </c>
      <c r="AC19" s="1260">
        <v>1</v>
      </c>
    </row>
    <row r="20" spans="1:29" ht="128.25">
      <c r="A20" s="347"/>
      <c r="B20" s="554" t="s">
        <v>1834</v>
      </c>
      <c r="C20" s="1749" t="str">
        <f>IF(B1="工业",估价对象房地状况!G7,估价对象房地状况!C9)</f>
        <v>估价对象周边有帽子公园、新中街城市森林公园等绿化景观，北京工人体育场、农业展览馆等人文场所，综合评价环境状况较好。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550"/>
      <c r="Q20" s="1259" t="str">
        <f>B20</f>
        <v>自然及人文环境</v>
      </c>
      <c r="R20" s="663" t="s">
        <v>14</v>
      </c>
      <c r="S20" s="664">
        <f>F20</f>
        <v>100</v>
      </c>
      <c r="T20" s="663" t="s">
        <v>14</v>
      </c>
      <c r="U20" s="664">
        <f>H20</f>
        <v>100</v>
      </c>
      <c r="V20" s="663" t="s">
        <v>14</v>
      </c>
      <c r="W20" s="664">
        <f>J20</f>
        <v>100</v>
      </c>
      <c r="X20" s="1261"/>
      <c r="Y20" s="3550"/>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7"/>
      <c r="M21" s="2482"/>
      <c r="N21" s="2482"/>
      <c r="O21" s="2482"/>
      <c r="P21" s="3550"/>
      <c r="Q21" s="1259"/>
      <c r="R21" s="663"/>
      <c r="S21" s="664"/>
      <c r="T21" s="663"/>
      <c r="U21" s="664"/>
      <c r="V21" s="663"/>
      <c r="W21" s="664"/>
      <c r="X21" s="1261"/>
      <c r="Y21" s="3550"/>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550"/>
      <c r="Q22" s="1259" t="str">
        <f>B22</f>
        <v>楼层</v>
      </c>
      <c r="R22" s="663" t="s">
        <v>14</v>
      </c>
      <c r="S22" s="664">
        <f>F22</f>
        <v>100</v>
      </c>
      <c r="T22" s="663" t="s">
        <v>14</v>
      </c>
      <c r="U22" s="664">
        <f>H22</f>
        <v>100</v>
      </c>
      <c r="V22" s="663" t="s">
        <v>14</v>
      </c>
      <c r="W22" s="664">
        <f>J22</f>
        <v>100</v>
      </c>
      <c r="X22" s="1261"/>
      <c r="Y22" s="3550"/>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550"/>
      <c r="Q23" s="1259">
        <f>B23</f>
        <v>111</v>
      </c>
      <c r="R23" s="663" t="s">
        <v>14</v>
      </c>
      <c r="S23" s="664">
        <f>F23</f>
        <v>100</v>
      </c>
      <c r="T23" s="663" t="s">
        <v>14</v>
      </c>
      <c r="U23" s="664">
        <f>H23</f>
        <v>100</v>
      </c>
      <c r="V23" s="663" t="s">
        <v>14</v>
      </c>
      <c r="W23" s="664">
        <f>J23</f>
        <v>100</v>
      </c>
      <c r="X23" s="1261"/>
      <c r="Y23" s="3550"/>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550"/>
      <c r="Q24" s="1259">
        <f t="shared" ref="Q24:Q36" si="11">B24</f>
        <v>111</v>
      </c>
      <c r="R24" s="663" t="s">
        <v>14</v>
      </c>
      <c r="S24" s="664">
        <f>F24</f>
        <v>100</v>
      </c>
      <c r="T24" s="663" t="s">
        <v>14</v>
      </c>
      <c r="U24" s="664">
        <f>H24</f>
        <v>100</v>
      </c>
      <c r="V24" s="663" t="s">
        <v>14</v>
      </c>
      <c r="W24" s="664">
        <f>J24</f>
        <v>100</v>
      </c>
      <c r="X24" s="1261"/>
      <c r="Y24" s="3550"/>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3"/>
      <c r="M25" s="2434"/>
      <c r="N25" s="2434"/>
      <c r="O25" s="2434"/>
      <c r="P25" s="3550"/>
      <c r="Q25" s="529">
        <f t="shared" si="11"/>
        <v>111</v>
      </c>
      <c r="R25" s="660" t="s">
        <v>14</v>
      </c>
      <c r="S25" s="661">
        <f>F25</f>
        <v>100</v>
      </c>
      <c r="T25" s="660" t="s">
        <v>14</v>
      </c>
      <c r="U25" s="661">
        <f>H25</f>
        <v>100</v>
      </c>
      <c r="V25" s="660" t="s">
        <v>14</v>
      </c>
      <c r="W25" s="661">
        <f>J25</f>
        <v>100</v>
      </c>
      <c r="X25" s="662"/>
      <c r="Y25" s="3550"/>
      <c r="Z25" s="50">
        <f>Q25</f>
        <v>111</v>
      </c>
      <c r="AA25" s="1260">
        <f>D25/F25</f>
        <v>1</v>
      </c>
      <c r="AB25" s="1260">
        <f>D25/H25</f>
        <v>1</v>
      </c>
      <c r="AC25" s="1260">
        <f>D25/J25</f>
        <v>1</v>
      </c>
    </row>
    <row r="26" spans="1:29" ht="28.5">
      <c r="A26" s="572" t="s">
        <v>1694</v>
      </c>
      <c r="B26" s="58" t="s">
        <v>1836</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75" t="s">
        <v>1696</v>
      </c>
      <c r="Q26" s="1259" t="str">
        <f t="shared" si="11"/>
        <v>配套类型</v>
      </c>
      <c r="R26" s="663" t="s">
        <v>14</v>
      </c>
      <c r="S26" s="664">
        <f t="shared" ref="S26:S36" si="12">F26</f>
        <v>0</v>
      </c>
      <c r="T26" s="663" t="s">
        <v>14</v>
      </c>
      <c r="U26" s="664">
        <f t="shared" ref="U26:U36" si="13">H26</f>
        <v>0</v>
      </c>
      <c r="V26" s="663" t="s">
        <v>14</v>
      </c>
      <c r="W26" s="664">
        <f t="shared" ref="W26:W36" si="14">J26</f>
        <v>0</v>
      </c>
      <c r="X26" s="1261"/>
      <c r="Y26" s="3554"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6"/>
      <c r="M27" s="2488"/>
      <c r="N27" s="2488"/>
      <c r="O27" s="2488"/>
      <c r="P27" s="3554"/>
      <c r="Q27" s="530" t="str">
        <f t="shared" si="11"/>
        <v>项目停车位配比</v>
      </c>
      <c r="R27" s="665" t="s">
        <v>14</v>
      </c>
      <c r="S27" s="666">
        <f t="shared" si="12"/>
        <v>100</v>
      </c>
      <c r="T27" s="665" t="s">
        <v>14</v>
      </c>
      <c r="U27" s="666">
        <f t="shared" si="13"/>
        <v>100</v>
      </c>
      <c r="V27" s="665" t="s">
        <v>14</v>
      </c>
      <c r="W27" s="666">
        <f t="shared" si="14"/>
        <v>100</v>
      </c>
      <c r="X27" s="667"/>
      <c r="Y27" s="3554"/>
      <c r="Z27" s="668"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554"/>
      <c r="Q28" s="1259" t="str">
        <f t="shared" si="11"/>
        <v>公共部分装修</v>
      </c>
      <c r="R28" s="663" t="s">
        <v>14</v>
      </c>
      <c r="S28" s="664">
        <f t="shared" si="12"/>
        <v>100</v>
      </c>
      <c r="T28" s="663" t="s">
        <v>14</v>
      </c>
      <c r="U28" s="664">
        <f t="shared" si="13"/>
        <v>100</v>
      </c>
      <c r="V28" s="663" t="s">
        <v>14</v>
      </c>
      <c r="W28" s="664">
        <f t="shared" si="14"/>
        <v>100</v>
      </c>
      <c r="X28" s="1261"/>
      <c r="Y28" s="3554"/>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554"/>
      <c r="Q29" s="1259" t="str">
        <f t="shared" si="11"/>
        <v>成新率</v>
      </c>
      <c r="R29" s="663" t="s">
        <v>14</v>
      </c>
      <c r="S29" s="664" t="e">
        <f t="shared" si="12"/>
        <v>#N/A</v>
      </c>
      <c r="T29" s="663" t="s">
        <v>14</v>
      </c>
      <c r="U29" s="664" t="e">
        <f t="shared" si="13"/>
        <v>#N/A</v>
      </c>
      <c r="V29" s="663" t="s">
        <v>14</v>
      </c>
      <c r="W29" s="664" t="e">
        <f t="shared" si="14"/>
        <v>#N/A</v>
      </c>
      <c r="X29" s="1261"/>
      <c r="Y29" s="3554"/>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7"/>
      <c r="M30" s="2482"/>
      <c r="N30" s="2482"/>
      <c r="O30" s="2482"/>
      <c r="P30" s="3554"/>
      <c r="Q30" s="1259" t="str">
        <f t="shared" si="11"/>
        <v>物业等级</v>
      </c>
      <c r="R30" s="663" t="s">
        <v>14</v>
      </c>
      <c r="S30" s="664">
        <f t="shared" si="12"/>
        <v>100</v>
      </c>
      <c r="T30" s="663" t="s">
        <v>14</v>
      </c>
      <c r="U30" s="664">
        <f t="shared" si="13"/>
        <v>100</v>
      </c>
      <c r="V30" s="663" t="s">
        <v>14</v>
      </c>
      <c r="W30" s="664">
        <f t="shared" si="14"/>
        <v>100</v>
      </c>
      <c r="X30" s="1261"/>
      <c r="Y30" s="3554"/>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554"/>
      <c r="Q31" s="529" t="str">
        <f t="shared" si="11"/>
        <v>停车位面积</v>
      </c>
      <c r="R31" s="660" t="s">
        <v>14</v>
      </c>
      <c r="S31" s="661" t="e">
        <f t="shared" si="12"/>
        <v>#N/A</v>
      </c>
      <c r="T31" s="660" t="s">
        <v>14</v>
      </c>
      <c r="U31" s="661" t="e">
        <f t="shared" si="13"/>
        <v>#N/A</v>
      </c>
      <c r="V31" s="660" t="s">
        <v>14</v>
      </c>
      <c r="W31" s="661" t="e">
        <f t="shared" si="14"/>
        <v>#N/A</v>
      </c>
      <c r="X31" s="662"/>
      <c r="Y31" s="355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554" t="s">
        <v>1696</v>
      </c>
      <c r="Q32" s="1259" t="str">
        <f t="shared" si="11"/>
        <v>车位类型</v>
      </c>
      <c r="R32" s="663" t="s">
        <v>14</v>
      </c>
      <c r="S32" s="664">
        <f t="shared" si="12"/>
        <v>100</v>
      </c>
      <c r="T32" s="663" t="s">
        <v>14</v>
      </c>
      <c r="U32" s="664">
        <f t="shared" si="13"/>
        <v>100</v>
      </c>
      <c r="V32" s="663" t="s">
        <v>14</v>
      </c>
      <c r="W32" s="664">
        <f t="shared" si="14"/>
        <v>100</v>
      </c>
      <c r="X32" s="1261"/>
      <c r="Y32" s="3554"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554"/>
      <c r="Q33" s="1259" t="str">
        <f t="shared" si="11"/>
        <v>是否直接入户</v>
      </c>
      <c r="R33" s="663" t="s">
        <v>14</v>
      </c>
      <c r="S33" s="664">
        <f t="shared" si="12"/>
        <v>100</v>
      </c>
      <c r="T33" s="663" t="s">
        <v>14</v>
      </c>
      <c r="U33" s="664">
        <f t="shared" si="13"/>
        <v>100</v>
      </c>
      <c r="V33" s="663" t="s">
        <v>14</v>
      </c>
      <c r="W33" s="664">
        <f t="shared" si="14"/>
        <v>100</v>
      </c>
      <c r="X33" s="1261"/>
      <c r="Y33" s="3554"/>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554"/>
      <c r="Q34" s="1259">
        <f t="shared" si="11"/>
        <v>111</v>
      </c>
      <c r="R34" s="663" t="s">
        <v>14</v>
      </c>
      <c r="S34" s="664">
        <f t="shared" si="12"/>
        <v>100</v>
      </c>
      <c r="T34" s="663" t="s">
        <v>14</v>
      </c>
      <c r="U34" s="664">
        <f t="shared" si="13"/>
        <v>100</v>
      </c>
      <c r="V34" s="663" t="s">
        <v>14</v>
      </c>
      <c r="W34" s="664">
        <f t="shared" si="14"/>
        <v>100</v>
      </c>
      <c r="X34" s="1261"/>
      <c r="Y34" s="3554"/>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554"/>
      <c r="Q35" s="530">
        <f t="shared" si="11"/>
        <v>111</v>
      </c>
      <c r="R35" s="665" t="s">
        <v>14</v>
      </c>
      <c r="S35" s="666">
        <f t="shared" si="12"/>
        <v>100</v>
      </c>
      <c r="T35" s="665" t="s">
        <v>14</v>
      </c>
      <c r="U35" s="666">
        <f t="shared" si="13"/>
        <v>100</v>
      </c>
      <c r="V35" s="665" t="s">
        <v>14</v>
      </c>
      <c r="W35" s="666">
        <f t="shared" si="14"/>
        <v>100</v>
      </c>
      <c r="X35" s="667"/>
      <c r="Y35" s="3554"/>
      <c r="Z35" s="668">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554"/>
      <c r="Q36" s="1259">
        <f t="shared" si="11"/>
        <v>111</v>
      </c>
      <c r="R36" s="663" t="s">
        <v>14</v>
      </c>
      <c r="S36" s="664">
        <f t="shared" si="12"/>
        <v>100</v>
      </c>
      <c r="T36" s="663" t="s">
        <v>14</v>
      </c>
      <c r="U36" s="664">
        <f t="shared" si="13"/>
        <v>100</v>
      </c>
      <c r="V36" s="663" t="s">
        <v>14</v>
      </c>
      <c r="W36" s="664">
        <f t="shared" si="14"/>
        <v>100</v>
      </c>
      <c r="X36" s="1261"/>
      <c r="Y36" s="3554"/>
      <c r="Z36" s="1260">
        <f t="shared" si="15"/>
        <v>111</v>
      </c>
      <c r="AA36" s="1260">
        <f t="shared" si="3"/>
        <v>1</v>
      </c>
      <c r="AB36" s="1260">
        <f t="shared" si="4"/>
        <v>1</v>
      </c>
      <c r="AC36" s="1260">
        <f t="shared" si="5"/>
        <v>1</v>
      </c>
    </row>
    <row r="37" spans="1:29" ht="15">
      <c r="A37" s="415" t="s">
        <v>1844</v>
      </c>
      <c r="B37" s="1816" t="s">
        <v>3352</v>
      </c>
      <c r="C37" s="1077" t="s">
        <v>0</v>
      </c>
      <c r="D37" s="417"/>
      <c r="E37" s="418"/>
      <c r="F37" s="419"/>
      <c r="G37" s="420"/>
      <c r="H37" s="421"/>
      <c r="I37" s="418"/>
      <c r="J37" s="421"/>
      <c r="K37" s="543"/>
      <c r="L37" s="2489"/>
      <c r="M37" s="2482"/>
      <c r="N37" s="2482"/>
      <c r="O37" s="2482"/>
      <c r="P37" s="3548" t="str">
        <f>A37</f>
        <v>成交单价</v>
      </c>
      <c r="Q37" s="3548"/>
      <c r="R37" s="3543">
        <f>E37</f>
        <v>0</v>
      </c>
      <c r="S37" s="3543"/>
      <c r="T37" s="3543">
        <f>G37</f>
        <v>0</v>
      </c>
      <c r="U37" s="3543"/>
      <c r="V37" s="3543">
        <f>I37</f>
        <v>0</v>
      </c>
      <c r="W37" s="3543"/>
      <c r="X37" s="384"/>
      <c r="Y37" s="669"/>
      <c r="Z37" s="384"/>
      <c r="AA37" s="384"/>
      <c r="AB37" s="384"/>
      <c r="AC37" s="384"/>
    </row>
    <row r="38" spans="1:29" ht="15.75" thickBot="1">
      <c r="A38" s="422" t="s">
        <v>1845</v>
      </c>
      <c r="B38" s="423" t="str">
        <f>B37</f>
        <v>元/平方米</v>
      </c>
      <c r="C38" s="1078" t="e">
        <f>R39</f>
        <v>#DIV/0!</v>
      </c>
      <c r="D38" s="2136" t="s">
        <v>2135</v>
      </c>
      <c r="E38" s="1079" t="e">
        <f>R38</f>
        <v>#DIV/0!</v>
      </c>
      <c r="F38" s="2137"/>
      <c r="G38" s="1078" t="e">
        <f>T38</f>
        <v>#DIV/0!</v>
      </c>
      <c r="H38" s="2137"/>
      <c r="I38" s="1079" t="e">
        <f>V38</f>
        <v>#DIV/0!</v>
      </c>
      <c r="J38" s="2137"/>
      <c r="K38" s="2139">
        <f>F38+H38+J38</f>
        <v>0</v>
      </c>
      <c r="L38" s="2489"/>
      <c r="M38" s="2482"/>
      <c r="N38" s="2482"/>
      <c r="O38" s="2482"/>
      <c r="P38" s="3548" t="str">
        <f>A38</f>
        <v>比较价值（元/平方米）</v>
      </c>
      <c r="Q38" s="3548"/>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9"/>
      <c r="M39" s="2482"/>
      <c r="N39" s="2482"/>
      <c r="O39" s="2482"/>
      <c r="P39" s="3545" t="str">
        <f>A39</f>
        <v>估价对象XX用房的比较价值（楼面单价，元/平方米）</v>
      </c>
      <c r="Q39" s="3546"/>
      <c r="R39" s="3576" t="e">
        <f>IF(F1="售价",ROUND(IF(D38="简单平均",AVERAGE(R38:W38),R38*F38+T38*H38+V38*J38),0),ROUND(IF(D38="简单平均",AVERAGE(R38:V38),R38*F38+T38*H38+V38*J38),1))</f>
        <v>#DIV/0!</v>
      </c>
      <c r="S39" s="3576"/>
      <c r="T39" s="3576"/>
      <c r="U39" s="3576"/>
      <c r="V39" s="3576"/>
      <c r="W39" s="357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3" t="s">
        <v>1850</v>
      </c>
      <c r="B47" s="857"/>
      <c r="C47" s="882"/>
      <c r="D47" s="882"/>
      <c r="E47" s="882"/>
      <c r="F47" s="1084"/>
      <c r="G47" s="1084"/>
      <c r="H47" s="882"/>
      <c r="I47" s="882"/>
      <c r="J47" s="882"/>
      <c r="K47" s="883"/>
      <c r="L47" s="884"/>
      <c r="M47" s="882"/>
      <c r="N47" s="2532"/>
      <c r="O47" s="2532"/>
      <c r="P47" s="2521"/>
      <c r="Q47" s="2503"/>
      <c r="R47" s="2482"/>
      <c r="S47" s="2482"/>
      <c r="T47" s="2482"/>
      <c r="U47" s="2482"/>
      <c r="V47" s="2482"/>
      <c r="W47" s="2482"/>
      <c r="X47" s="2482"/>
      <c r="Y47" s="2482"/>
      <c r="Z47" s="2482"/>
      <c r="AA47" s="2482"/>
      <c r="AB47" s="2482"/>
      <c r="AC47" s="2482"/>
    </row>
    <row r="48" spans="1:29" s="441" customFormat="1" ht="15">
      <c r="A48" s="439" t="s">
        <v>1851</v>
      </c>
      <c r="B48" s="440"/>
      <c r="C48" s="1099" t="str">
        <f>YEAR(C7)&amp;"-"&amp;MONTH(C7)</f>
        <v>2024-6</v>
      </c>
      <c r="D48" s="1100">
        <f>EDATE(C48,-1)</f>
        <v>45413</v>
      </c>
      <c r="E48" s="1100">
        <f t="shared" ref="E48:O48" si="16">EDATE(D48,-1)</f>
        <v>45383</v>
      </c>
      <c r="F48" s="1100">
        <f t="shared" si="16"/>
        <v>45352</v>
      </c>
      <c r="G48" s="1100">
        <f t="shared" si="16"/>
        <v>45323</v>
      </c>
      <c r="H48" s="1100">
        <f t="shared" si="16"/>
        <v>45292</v>
      </c>
      <c r="I48" s="1100">
        <f t="shared" si="16"/>
        <v>45261</v>
      </c>
      <c r="J48" s="1100">
        <f t="shared" si="16"/>
        <v>45231</v>
      </c>
      <c r="K48" s="1100">
        <f t="shared" si="16"/>
        <v>45200</v>
      </c>
      <c r="L48" s="1100">
        <f t="shared" si="16"/>
        <v>45170</v>
      </c>
      <c r="M48" s="1100">
        <f t="shared" si="16"/>
        <v>45139</v>
      </c>
      <c r="N48" s="1100">
        <f t="shared" si="16"/>
        <v>45108</v>
      </c>
      <c r="O48" s="1100">
        <f t="shared" si="16"/>
        <v>45078</v>
      </c>
      <c r="P48" s="2522"/>
      <c r="Q48" s="2505"/>
      <c r="R48" s="2505"/>
      <c r="S48" s="2505"/>
      <c r="T48" s="2505"/>
      <c r="U48" s="2505"/>
      <c r="V48" s="2505"/>
      <c r="W48" s="2505"/>
      <c r="X48" s="2505"/>
      <c r="Y48" s="2505"/>
      <c r="Z48" s="2505"/>
      <c r="AA48" s="2505"/>
      <c r="AB48" s="2505"/>
      <c r="AC48" s="2505"/>
    </row>
    <row r="49" spans="1:29" s="101" customFormat="1" ht="15">
      <c r="A49" s="442"/>
      <c r="B49" s="443"/>
      <c r="C49" s="1093">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1716</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1776</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1">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79">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1813</v>
      </c>
      <c r="C67" s="579" t="s">
        <v>1799</v>
      </c>
      <c r="D67" s="579" t="s">
        <v>1800</v>
      </c>
      <c r="E67" s="579" t="s">
        <v>1801</v>
      </c>
      <c r="F67" s="579" t="s">
        <v>1802</v>
      </c>
      <c r="G67" s="579" t="s">
        <v>1803</v>
      </c>
      <c r="H67" s="469"/>
      <c r="I67" s="469"/>
      <c r="J67" s="469"/>
      <c r="K67" s="469"/>
      <c r="L67" s="469"/>
      <c r="M67" s="1059"/>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8">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3333</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IF(C2="——",C37,ROUND(B2*10000/D3,0))</f>
        <v>#DIV/0!</v>
      </c>
      <c r="C3" s="343" t="s">
        <v>1768</v>
      </c>
      <c r="D3" s="342">
        <f>SUMIF('数据-汇总表'!$C19:$C33,D1,'数据-汇总表'!$E19:$E33)</f>
        <v>0</v>
      </c>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35" t="s">
        <v>1775</v>
      </c>
      <c r="Q4" s="3536"/>
      <c r="R4" s="3518" t="s">
        <v>1771</v>
      </c>
      <c r="S4" s="3519"/>
      <c r="T4" s="3518" t="s">
        <v>1772</v>
      </c>
      <c r="U4" s="3519"/>
      <c r="V4" s="3543" t="s">
        <v>1773</v>
      </c>
      <c r="W4" s="3543"/>
      <c r="X4" s="1261"/>
      <c r="Y4" s="3518" t="s">
        <v>1775</v>
      </c>
      <c r="Z4" s="3519"/>
      <c r="AA4" s="3513" t="s">
        <v>1771</v>
      </c>
      <c r="AB4" s="3514" t="s">
        <v>1772</v>
      </c>
      <c r="AC4" s="3513" t="s">
        <v>1773</v>
      </c>
    </row>
    <row r="5" spans="1:29" ht="15">
      <c r="A5" s="347"/>
      <c r="B5" s="348"/>
      <c r="C5" s="3524" t="s">
        <v>1673</v>
      </c>
      <c r="D5" s="3525"/>
      <c r="E5" s="3522" t="s">
        <v>1674</v>
      </c>
      <c r="F5" s="3523"/>
      <c r="G5" s="3524" t="s">
        <v>1675</v>
      </c>
      <c r="H5" s="3525"/>
      <c r="I5" s="3524" t="s">
        <v>1676</v>
      </c>
      <c r="J5" s="3525"/>
      <c r="K5" s="536"/>
      <c r="L5" s="2481"/>
      <c r="M5" s="2482"/>
      <c r="N5" s="2482"/>
      <c r="O5" s="2482"/>
      <c r="P5" s="3537"/>
      <c r="Q5" s="3538"/>
      <c r="R5" s="3520"/>
      <c r="S5" s="3521"/>
      <c r="T5" s="3520"/>
      <c r="U5" s="3521"/>
      <c r="V5" s="3543"/>
      <c r="W5" s="3543"/>
      <c r="X5" s="1261"/>
      <c r="Y5" s="3520"/>
      <c r="Z5" s="3521"/>
      <c r="AA5" s="3514"/>
      <c r="AB5" s="3514"/>
      <c r="AC5" s="351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SUMIF(46:46,YEAR(E7)&amp;"-"&amp;MONTH(E7),47:47)</f>
        <v>0</v>
      </c>
      <c r="G7" s="1817"/>
      <c r="H7" s="354">
        <f>SUMIF(46:46,YEAR(G7)&amp;"-"&amp;MONTH(G7),47:47)</f>
        <v>0</v>
      </c>
      <c r="I7" s="355"/>
      <c r="J7" s="354">
        <f>SUMIF(46:46,YEAR(I7)&amp;"-"&amp;MONTH(I7),47:47)</f>
        <v>0</v>
      </c>
      <c r="K7" s="38"/>
      <c r="L7" s="2483"/>
      <c r="M7" s="2434"/>
      <c r="N7" s="2434"/>
      <c r="O7" s="2434"/>
      <c r="P7" s="3516" t="s">
        <v>1680</v>
      </c>
      <c r="Q7" s="3544"/>
      <c r="R7" s="660" t="s">
        <v>14</v>
      </c>
      <c r="S7" s="661">
        <f t="shared" ref="S7:S14" si="0">F7</f>
        <v>0</v>
      </c>
      <c r="T7" s="660" t="s">
        <v>14</v>
      </c>
      <c r="U7" s="661">
        <f t="shared" ref="U7:U14" si="1">H7</f>
        <v>0</v>
      </c>
      <c r="V7" s="660" t="s">
        <v>14</v>
      </c>
      <c r="W7" s="661">
        <f t="shared" ref="W7:W14" si="2">J7</f>
        <v>0</v>
      </c>
      <c r="X7" s="662"/>
      <c r="Y7" s="3516" t="s">
        <v>1680</v>
      </c>
      <c r="Z7" s="351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516" t="s">
        <v>1683</v>
      </c>
      <c r="Q8" s="3517"/>
      <c r="R8" s="660" t="s">
        <v>14</v>
      </c>
      <c r="S8" s="661">
        <f t="shared" si="0"/>
        <v>100</v>
      </c>
      <c r="T8" s="660" t="s">
        <v>14</v>
      </c>
      <c r="U8" s="661">
        <f t="shared" si="1"/>
        <v>100</v>
      </c>
      <c r="V8" s="660" t="s">
        <v>14</v>
      </c>
      <c r="W8" s="661">
        <f t="shared" si="2"/>
        <v>100</v>
      </c>
      <c r="X8" s="662"/>
      <c r="Y8" s="3516" t="s">
        <v>1683</v>
      </c>
      <c r="Z8" s="3517"/>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3"/>
      <c r="M9" s="2434"/>
      <c r="N9" s="2434"/>
      <c r="O9" s="2535"/>
      <c r="P9" s="3548" t="s">
        <v>1686</v>
      </c>
      <c r="Q9" s="529" t="str">
        <f t="shared" ref="Q9:Q14" si="6">B9</f>
        <v>用途</v>
      </c>
      <c r="R9" s="660" t="s">
        <v>14</v>
      </c>
      <c r="S9" s="661">
        <f t="shared" si="0"/>
        <v>100</v>
      </c>
      <c r="T9" s="660" t="s">
        <v>14</v>
      </c>
      <c r="U9" s="661">
        <f t="shared" si="1"/>
        <v>100</v>
      </c>
      <c r="V9" s="660" t="s">
        <v>14</v>
      </c>
      <c r="W9" s="661">
        <f t="shared" si="2"/>
        <v>100</v>
      </c>
      <c r="X9" s="662"/>
      <c r="Y9" s="3460"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548"/>
      <c r="Q10" s="529" t="str">
        <f t="shared" si="6"/>
        <v>土地使用年限（年）</v>
      </c>
      <c r="R10" s="660" t="s">
        <v>14</v>
      </c>
      <c r="S10" s="661">
        <f t="shared" si="0"/>
        <v>100</v>
      </c>
      <c r="T10" s="660" t="s">
        <v>14</v>
      </c>
      <c r="U10" s="661">
        <f t="shared" si="1"/>
        <v>100</v>
      </c>
      <c r="V10" s="660" t="s">
        <v>14</v>
      </c>
      <c r="W10" s="661">
        <f t="shared" si="2"/>
        <v>100</v>
      </c>
      <c r="X10" s="662"/>
      <c r="Y10" s="346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548"/>
      <c r="Q11" s="529">
        <f t="shared" si="6"/>
        <v>111</v>
      </c>
      <c r="R11" s="660" t="s">
        <v>14</v>
      </c>
      <c r="S11" s="661">
        <f t="shared" si="0"/>
        <v>100</v>
      </c>
      <c r="T11" s="660" t="s">
        <v>14</v>
      </c>
      <c r="U11" s="661">
        <f t="shared" si="1"/>
        <v>100</v>
      </c>
      <c r="V11" s="660" t="s">
        <v>14</v>
      </c>
      <c r="W11" s="661">
        <f t="shared" si="2"/>
        <v>100</v>
      </c>
      <c r="X11" s="662"/>
      <c r="Y11" s="346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548"/>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548"/>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99.5">
      <c r="A14" s="378" t="s">
        <v>1690</v>
      </c>
      <c r="B14" s="57" t="s">
        <v>1833</v>
      </c>
      <c r="C14" s="1814"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549" t="s">
        <v>1691</v>
      </c>
      <c r="Q14" s="1259" t="str">
        <f t="shared" si="6"/>
        <v>交通便捷度</v>
      </c>
      <c r="R14" s="663" t="s">
        <v>14</v>
      </c>
      <c r="S14" s="664">
        <f t="shared" si="0"/>
        <v>100</v>
      </c>
      <c r="T14" s="663" t="s">
        <v>14</v>
      </c>
      <c r="U14" s="664">
        <f t="shared" si="1"/>
        <v>100</v>
      </c>
      <c r="V14" s="663" t="s">
        <v>14</v>
      </c>
      <c r="W14" s="664">
        <f t="shared" si="2"/>
        <v>100</v>
      </c>
      <c r="X14" s="1261"/>
      <c r="Y14" s="3549"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7"/>
      <c r="M15" s="2482"/>
      <c r="N15" s="2482"/>
      <c r="O15" s="2537"/>
      <c r="P15" s="3550"/>
      <c r="Q15" s="1259"/>
      <c r="R15" s="663"/>
      <c r="S15" s="664"/>
      <c r="T15" s="663"/>
      <c r="U15" s="664"/>
      <c r="V15" s="663"/>
      <c r="W15" s="664"/>
      <c r="X15" s="1261"/>
      <c r="Y15" s="3550"/>
      <c r="Z15" s="1260"/>
      <c r="AA15" s="1260">
        <v>1</v>
      </c>
      <c r="AB15" s="1260">
        <v>1</v>
      </c>
      <c r="AC15" s="1260">
        <v>1</v>
      </c>
    </row>
    <row r="16" spans="1:29" ht="384.75">
      <c r="A16" s="366"/>
      <c r="B16" s="389" t="s">
        <v>1812</v>
      </c>
      <c r="C16" s="1749"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550"/>
      <c r="Q16" s="1259" t="str">
        <f>B16</f>
        <v>公共配套设施</v>
      </c>
      <c r="R16" s="663" t="s">
        <v>14</v>
      </c>
      <c r="S16" s="664">
        <f>F16</f>
        <v>100</v>
      </c>
      <c r="T16" s="663" t="s">
        <v>14</v>
      </c>
      <c r="U16" s="664">
        <f>H16</f>
        <v>100</v>
      </c>
      <c r="V16" s="663" t="s">
        <v>14</v>
      </c>
      <c r="W16" s="664">
        <f>J16</f>
        <v>100</v>
      </c>
      <c r="X16" s="1261"/>
      <c r="Y16" s="3550"/>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7"/>
      <c r="M17" s="2482"/>
      <c r="N17" s="2482"/>
      <c r="O17" s="2537"/>
      <c r="P17" s="3550"/>
      <c r="Q17" s="1259"/>
      <c r="R17" s="663"/>
      <c r="S17" s="664"/>
      <c r="T17" s="663"/>
      <c r="U17" s="664"/>
      <c r="V17" s="663"/>
      <c r="W17" s="664"/>
      <c r="X17" s="1261"/>
      <c r="Y17" s="3550"/>
      <c r="Z17" s="1260"/>
      <c r="AA17" s="1260">
        <v>1</v>
      </c>
      <c r="AB17" s="1260">
        <v>1</v>
      </c>
      <c r="AC17" s="1260">
        <v>1</v>
      </c>
    </row>
    <row r="18" spans="1:29" ht="42.75">
      <c r="A18" s="366"/>
      <c r="B18" s="584" t="s">
        <v>1813</v>
      </c>
      <c r="C18" s="1749"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550"/>
      <c r="Q18" s="1259" t="str">
        <f>B18</f>
        <v>基础设施水平</v>
      </c>
      <c r="R18" s="663" t="s">
        <v>14</v>
      </c>
      <c r="S18" s="664">
        <f>F18</f>
        <v>100</v>
      </c>
      <c r="T18" s="663" t="s">
        <v>14</v>
      </c>
      <c r="U18" s="664">
        <f>H18</f>
        <v>100</v>
      </c>
      <c r="V18" s="663" t="s">
        <v>14</v>
      </c>
      <c r="W18" s="664">
        <f>J18</f>
        <v>100</v>
      </c>
      <c r="X18" s="1261"/>
      <c r="Y18" s="3550"/>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0"/>
      <c r="L19" s="2487"/>
      <c r="M19" s="2482"/>
      <c r="N19" s="2482"/>
      <c r="O19" s="2537"/>
      <c r="P19" s="3550"/>
      <c r="Q19" s="1259"/>
      <c r="R19" s="663"/>
      <c r="S19" s="664"/>
      <c r="T19" s="663"/>
      <c r="U19" s="664"/>
      <c r="V19" s="663"/>
      <c r="W19" s="664"/>
      <c r="X19" s="1261"/>
      <c r="Y19" s="3550"/>
      <c r="Z19" s="1260"/>
      <c r="AA19" s="1260">
        <v>1</v>
      </c>
      <c r="AB19" s="1260">
        <v>1</v>
      </c>
      <c r="AC19" s="1260">
        <v>1</v>
      </c>
    </row>
    <row r="20" spans="1:29" ht="128.25">
      <c r="A20" s="366"/>
      <c r="B20" s="389" t="s">
        <v>1834</v>
      </c>
      <c r="C20" s="1749" t="str">
        <f>IF(B1="工业",估价对象房地状况!G7,估价对象房地状况!C9)</f>
        <v>估价对象周边有帽子公园、新中街城市森林公园等绿化景观，北京工人体育场、农业展览馆等人文场所，综合评价环境状况较好。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550"/>
      <c r="Q20" s="1259" t="str">
        <f>B20</f>
        <v>自然及人文环境</v>
      </c>
      <c r="R20" s="663" t="s">
        <v>14</v>
      </c>
      <c r="S20" s="664">
        <f>F20</f>
        <v>100</v>
      </c>
      <c r="T20" s="663" t="s">
        <v>14</v>
      </c>
      <c r="U20" s="664">
        <f>H20</f>
        <v>100</v>
      </c>
      <c r="V20" s="663" t="s">
        <v>14</v>
      </c>
      <c r="W20" s="664">
        <f>J20</f>
        <v>100</v>
      </c>
      <c r="X20" s="1261"/>
      <c r="Y20" s="3550"/>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7"/>
      <c r="M21" s="2482"/>
      <c r="N21" s="2482"/>
      <c r="O21" s="2537"/>
      <c r="P21" s="3550"/>
      <c r="Q21" s="1259"/>
      <c r="R21" s="663"/>
      <c r="S21" s="664"/>
      <c r="T21" s="663"/>
      <c r="U21" s="664"/>
      <c r="V21" s="663"/>
      <c r="W21" s="664"/>
      <c r="X21" s="1261"/>
      <c r="Y21" s="3550"/>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550"/>
      <c r="Q22" s="1259" t="str">
        <f>B22</f>
        <v>楼层</v>
      </c>
      <c r="R22" s="663" t="s">
        <v>14</v>
      </c>
      <c r="S22" s="664">
        <f>F22</f>
        <v>100</v>
      </c>
      <c r="T22" s="663" t="s">
        <v>14</v>
      </c>
      <c r="U22" s="664">
        <f>H22</f>
        <v>100</v>
      </c>
      <c r="V22" s="663" t="s">
        <v>14</v>
      </c>
      <c r="W22" s="664">
        <f>J22</f>
        <v>100</v>
      </c>
      <c r="X22" s="1261"/>
      <c r="Y22" s="3550"/>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550"/>
      <c r="Q23" s="1259">
        <f>B23</f>
        <v>111</v>
      </c>
      <c r="R23" s="663" t="s">
        <v>14</v>
      </c>
      <c r="S23" s="664">
        <f>F23</f>
        <v>100</v>
      </c>
      <c r="T23" s="663" t="s">
        <v>14</v>
      </c>
      <c r="U23" s="664">
        <f>H23</f>
        <v>100</v>
      </c>
      <c r="V23" s="663" t="s">
        <v>14</v>
      </c>
      <c r="W23" s="664">
        <f>J23</f>
        <v>100</v>
      </c>
      <c r="X23" s="1261"/>
      <c r="Y23" s="3550"/>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550"/>
      <c r="Q24" s="1259">
        <f t="shared" ref="Q24:Q34" si="11">B24</f>
        <v>111</v>
      </c>
      <c r="R24" s="663" t="s">
        <v>14</v>
      </c>
      <c r="S24" s="664">
        <f>F24</f>
        <v>100</v>
      </c>
      <c r="T24" s="663" t="s">
        <v>14</v>
      </c>
      <c r="U24" s="664">
        <f>H24</f>
        <v>100</v>
      </c>
      <c r="V24" s="663" t="s">
        <v>14</v>
      </c>
      <c r="W24" s="664">
        <f>J24</f>
        <v>100</v>
      </c>
      <c r="X24" s="1261"/>
      <c r="Y24" s="3550"/>
      <c r="Z24" s="1260">
        <f>Q24</f>
        <v>111</v>
      </c>
      <c r="AA24" s="1260">
        <f t="shared" si="3"/>
        <v>1</v>
      </c>
      <c r="AB24" s="1260">
        <f t="shared" si="4"/>
        <v>1</v>
      </c>
      <c r="AC24" s="1260">
        <f t="shared" si="5"/>
        <v>1</v>
      </c>
    </row>
    <row r="25" spans="1:29" s="101" customFormat="1" ht="15.75" thickBot="1">
      <c r="A25" s="369"/>
      <c r="B25" s="446">
        <v>111</v>
      </c>
      <c r="C25" s="1819"/>
      <c r="D25" s="555">
        <v>100</v>
      </c>
      <c r="E25" s="1819"/>
      <c r="F25" s="584">
        <f>SUMIF(75:75,E25,76:76)-SUMIF(75:75,C25,76:76)+100</f>
        <v>100</v>
      </c>
      <c r="G25" s="1819"/>
      <c r="H25" s="555">
        <f>SUMIF(75:75,G25,76:76)-SUMIF(75:75,C25,76:76)+100</f>
        <v>100</v>
      </c>
      <c r="I25" s="1819"/>
      <c r="J25" s="555">
        <f>SUMIF(75:75,I25,76:76)-SUMIF(75:75,C25,76:76)+100</f>
        <v>100</v>
      </c>
      <c r="K25" s="538"/>
      <c r="L25" s="2483"/>
      <c r="M25" s="2434"/>
      <c r="N25" s="2434"/>
      <c r="O25" s="2535"/>
      <c r="P25" s="3550"/>
      <c r="Q25" s="529">
        <f t="shared" si="11"/>
        <v>111</v>
      </c>
      <c r="R25" s="660" t="s">
        <v>14</v>
      </c>
      <c r="S25" s="661">
        <f>F25</f>
        <v>100</v>
      </c>
      <c r="T25" s="660" t="s">
        <v>14</v>
      </c>
      <c r="U25" s="661">
        <f>H25</f>
        <v>100</v>
      </c>
      <c r="V25" s="660" t="s">
        <v>14</v>
      </c>
      <c r="W25" s="661">
        <f>J25</f>
        <v>100</v>
      </c>
      <c r="X25" s="662"/>
      <c r="Y25" s="3550"/>
      <c r="Z25" s="50">
        <f>Q25</f>
        <v>111</v>
      </c>
      <c r="AA25" s="1260">
        <f>D25/F25</f>
        <v>1</v>
      </c>
      <c r="AB25" s="1260">
        <f>D25/H25</f>
        <v>1</v>
      </c>
      <c r="AC25" s="1260">
        <f>D25/J25</f>
        <v>1</v>
      </c>
    </row>
    <row r="26" spans="1:29" ht="28.5">
      <c r="A26" s="403" t="s">
        <v>1694</v>
      </c>
      <c r="B26" s="59"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7"/>
      <c r="M26" s="2482"/>
      <c r="N26" s="2482"/>
      <c r="O26" s="2537"/>
      <c r="P26" s="3575" t="s">
        <v>1696</v>
      </c>
      <c r="Q26" s="1259" t="str">
        <f t="shared" si="11"/>
        <v>公共部分装修</v>
      </c>
      <c r="R26" s="663" t="s">
        <v>14</v>
      </c>
      <c r="S26" s="664">
        <f t="shared" ref="S26:S34" si="12">F26</f>
        <v>100</v>
      </c>
      <c r="T26" s="663" t="s">
        <v>14</v>
      </c>
      <c r="U26" s="664">
        <f t="shared" ref="U26:U34" si="13">H26</f>
        <v>100</v>
      </c>
      <c r="V26" s="663" t="s">
        <v>14</v>
      </c>
      <c r="W26" s="664">
        <f t="shared" ref="W26:W34" si="14">J26</f>
        <v>100</v>
      </c>
      <c r="X26" s="1261"/>
      <c r="Y26" s="3554"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554"/>
      <c r="Q27" s="530" t="str">
        <f t="shared" si="11"/>
        <v>成新率</v>
      </c>
      <c r="R27" s="665" t="s">
        <v>14</v>
      </c>
      <c r="S27" s="666" t="e">
        <f t="shared" si="12"/>
        <v>#N/A</v>
      </c>
      <c r="T27" s="665" t="s">
        <v>14</v>
      </c>
      <c r="U27" s="666" t="e">
        <f t="shared" si="13"/>
        <v>#N/A</v>
      </c>
      <c r="V27" s="665" t="s">
        <v>14</v>
      </c>
      <c r="W27" s="666" t="e">
        <f t="shared" si="14"/>
        <v>#N/A</v>
      </c>
      <c r="X27" s="667"/>
      <c r="Y27" s="3554"/>
      <c r="Z27" s="668"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554"/>
      <c r="Q28" s="1259" t="str">
        <f t="shared" si="11"/>
        <v>物业等级</v>
      </c>
      <c r="R28" s="663" t="s">
        <v>14</v>
      </c>
      <c r="S28" s="664">
        <f t="shared" si="12"/>
        <v>100</v>
      </c>
      <c r="T28" s="663" t="s">
        <v>14</v>
      </c>
      <c r="U28" s="664">
        <f t="shared" si="13"/>
        <v>100</v>
      </c>
      <c r="V28" s="663" t="s">
        <v>14</v>
      </c>
      <c r="W28" s="664">
        <f t="shared" si="14"/>
        <v>100</v>
      </c>
      <c r="X28" s="1261"/>
      <c r="Y28" s="3554"/>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7"/>
      <c r="M29" s="2482"/>
      <c r="N29" s="2482"/>
      <c r="O29" s="2537"/>
      <c r="P29" s="3554"/>
      <c r="Q29" s="1259" t="str">
        <f t="shared" si="11"/>
        <v>有无电梯</v>
      </c>
      <c r="R29" s="663" t="s">
        <v>14</v>
      </c>
      <c r="S29" s="664">
        <f t="shared" si="12"/>
        <v>100</v>
      </c>
      <c r="T29" s="663" t="s">
        <v>14</v>
      </c>
      <c r="U29" s="664">
        <f t="shared" si="13"/>
        <v>100</v>
      </c>
      <c r="V29" s="663" t="s">
        <v>14</v>
      </c>
      <c r="W29" s="664">
        <f t="shared" si="14"/>
        <v>100</v>
      </c>
      <c r="X29" s="1261"/>
      <c r="Y29" s="3554"/>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554"/>
      <c r="Q30" s="1259" t="str">
        <f t="shared" si="11"/>
        <v>建筑面积</v>
      </c>
      <c r="R30" s="663" t="s">
        <v>14</v>
      </c>
      <c r="S30" s="664" t="e">
        <f t="shared" si="12"/>
        <v>#N/A</v>
      </c>
      <c r="T30" s="663" t="s">
        <v>14</v>
      </c>
      <c r="U30" s="664" t="e">
        <f t="shared" si="13"/>
        <v>#N/A</v>
      </c>
      <c r="V30" s="663" t="s">
        <v>14</v>
      </c>
      <c r="W30" s="664" t="e">
        <f t="shared" si="14"/>
        <v>#N/A</v>
      </c>
      <c r="X30" s="1261"/>
      <c r="Y30" s="3554"/>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3"/>
      <c r="M31" s="2434"/>
      <c r="N31" s="2434"/>
      <c r="O31" s="2535"/>
      <c r="P31" s="3554"/>
      <c r="Q31" s="529" t="str">
        <f t="shared" si="11"/>
        <v>是否封闭</v>
      </c>
      <c r="R31" s="660" t="s">
        <v>14</v>
      </c>
      <c r="S31" s="661">
        <f t="shared" si="12"/>
        <v>100</v>
      </c>
      <c r="T31" s="660" t="s">
        <v>14</v>
      </c>
      <c r="U31" s="661">
        <f t="shared" si="13"/>
        <v>100</v>
      </c>
      <c r="V31" s="660" t="s">
        <v>14</v>
      </c>
      <c r="W31" s="661">
        <f t="shared" si="14"/>
        <v>100</v>
      </c>
      <c r="X31" s="662"/>
      <c r="Y31" s="355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554" t="s">
        <v>1696</v>
      </c>
      <c r="Q32" s="1259">
        <f t="shared" si="11"/>
        <v>111</v>
      </c>
      <c r="R32" s="663" t="s">
        <v>14</v>
      </c>
      <c r="S32" s="664">
        <f t="shared" si="12"/>
        <v>100</v>
      </c>
      <c r="T32" s="663" t="s">
        <v>14</v>
      </c>
      <c r="U32" s="664">
        <f t="shared" si="13"/>
        <v>100</v>
      </c>
      <c r="V32" s="663" t="s">
        <v>14</v>
      </c>
      <c r="W32" s="664">
        <f t="shared" si="14"/>
        <v>100</v>
      </c>
      <c r="X32" s="1261"/>
      <c r="Y32" s="3554"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554"/>
      <c r="Q33" s="1259">
        <f t="shared" si="11"/>
        <v>111</v>
      </c>
      <c r="R33" s="663" t="s">
        <v>14</v>
      </c>
      <c r="S33" s="664">
        <f t="shared" si="12"/>
        <v>100</v>
      </c>
      <c r="T33" s="663" t="s">
        <v>14</v>
      </c>
      <c r="U33" s="664">
        <f t="shared" si="13"/>
        <v>100</v>
      </c>
      <c r="V33" s="663" t="s">
        <v>14</v>
      </c>
      <c r="W33" s="664">
        <f t="shared" si="14"/>
        <v>100</v>
      </c>
      <c r="X33" s="1261"/>
      <c r="Y33" s="3554"/>
      <c r="Z33" s="1260">
        <f t="shared" si="15"/>
        <v>111</v>
      </c>
      <c r="AA33" s="1260">
        <f t="shared" si="3"/>
        <v>1</v>
      </c>
      <c r="AB33" s="1260">
        <f t="shared" si="4"/>
        <v>1</v>
      </c>
      <c r="AC33" s="1260">
        <f t="shared" si="5"/>
        <v>1</v>
      </c>
    </row>
    <row r="34" spans="1:30" ht="15.75" thickBot="1">
      <c r="A34" s="414"/>
      <c r="B34" s="1744">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554"/>
      <c r="Q34" s="1259">
        <f t="shared" si="11"/>
        <v>111</v>
      </c>
      <c r="R34" s="663" t="s">
        <v>14</v>
      </c>
      <c r="S34" s="664">
        <f t="shared" si="12"/>
        <v>100</v>
      </c>
      <c r="T34" s="663" t="s">
        <v>14</v>
      </c>
      <c r="U34" s="664">
        <f t="shared" si="13"/>
        <v>100</v>
      </c>
      <c r="V34" s="663" t="s">
        <v>14</v>
      </c>
      <c r="W34" s="664">
        <f t="shared" si="14"/>
        <v>100</v>
      </c>
      <c r="X34" s="1261"/>
      <c r="Y34" s="3554"/>
      <c r="Z34" s="1260">
        <f t="shared" si="15"/>
        <v>111</v>
      </c>
      <c r="AA34" s="1260">
        <f t="shared" si="3"/>
        <v>1</v>
      </c>
      <c r="AB34" s="1260">
        <f t="shared" si="4"/>
        <v>1</v>
      </c>
      <c r="AC34" s="1260">
        <f t="shared" si="5"/>
        <v>1</v>
      </c>
    </row>
    <row r="35" spans="1:30" ht="15">
      <c r="A35" s="415" t="s">
        <v>1708</v>
      </c>
      <c r="B35" s="416"/>
      <c r="C35" s="1077" t="s">
        <v>0</v>
      </c>
      <c r="D35" s="417"/>
      <c r="E35" s="418"/>
      <c r="F35" s="419"/>
      <c r="G35" s="420"/>
      <c r="H35" s="421"/>
      <c r="I35" s="418"/>
      <c r="J35" s="421"/>
      <c r="K35" s="670"/>
      <c r="L35" s="2489"/>
      <c r="M35" s="2482"/>
      <c r="N35" s="2482"/>
      <c r="O35" s="2482"/>
      <c r="P35" s="3548" t="str">
        <f>A35</f>
        <v>成交单价（元/平方米）</v>
      </c>
      <c r="Q35" s="3548"/>
      <c r="R35" s="3543">
        <f>E35</f>
        <v>0</v>
      </c>
      <c r="S35" s="3543"/>
      <c r="T35" s="3543">
        <f>G35</f>
        <v>0</v>
      </c>
      <c r="U35" s="3543"/>
      <c r="V35" s="3543">
        <f>I35</f>
        <v>0</v>
      </c>
      <c r="W35" s="3543"/>
      <c r="X35" s="384"/>
      <c r="Y35" s="669"/>
      <c r="Z35" s="384"/>
      <c r="AA35" s="384"/>
      <c r="AB35" s="384"/>
      <c r="AC35" s="384"/>
    </row>
    <row r="36" spans="1:30" ht="15.75" thickBot="1">
      <c r="A36" s="422" t="s">
        <v>1793</v>
      </c>
      <c r="B36" s="423"/>
      <c r="C36" s="1078" t="e">
        <f>R37</f>
        <v>#DIV/0!</v>
      </c>
      <c r="D36" s="2136" t="s">
        <v>2135</v>
      </c>
      <c r="E36" s="1079" t="e">
        <f>R36</f>
        <v>#DIV/0!</v>
      </c>
      <c r="F36" s="2137"/>
      <c r="G36" s="1078" t="e">
        <f>T36</f>
        <v>#DIV/0!</v>
      </c>
      <c r="H36" s="2137"/>
      <c r="I36" s="1079" t="e">
        <f>V36</f>
        <v>#DIV/0!</v>
      </c>
      <c r="J36" s="2137"/>
      <c r="K36" s="2139">
        <f>F36+H36+J36</f>
        <v>0</v>
      </c>
      <c r="L36" s="2489"/>
      <c r="M36" s="2482"/>
      <c r="N36" s="2482"/>
      <c r="O36" s="2482"/>
      <c r="P36" s="3548" t="str">
        <f>A36</f>
        <v>比较价值（元/平方米）</v>
      </c>
      <c r="Q36" s="3548"/>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384"/>
      <c r="Y36" s="384"/>
      <c r="Z36" s="384"/>
      <c r="AA36" s="384"/>
      <c r="AB36" s="384"/>
      <c r="AC36" s="384"/>
    </row>
    <row r="37" spans="1:30" ht="15.75" thickBot="1">
      <c r="A37" s="426" t="s">
        <v>1794</v>
      </c>
      <c r="B37" s="427"/>
      <c r="C37" s="350" t="e">
        <f>R37</f>
        <v>#DIV/0!</v>
      </c>
      <c r="D37" s="350"/>
      <c r="E37" s="350"/>
      <c r="F37" s="350"/>
      <c r="G37" s="350"/>
      <c r="H37" s="350"/>
      <c r="I37" s="350"/>
      <c r="J37" s="350"/>
      <c r="K37" s="671"/>
      <c r="L37" s="2489"/>
      <c r="M37" s="2482"/>
      <c r="N37" s="2482"/>
      <c r="O37" s="2482"/>
      <c r="P37" s="3545" t="str">
        <f>A37</f>
        <v>估价对象XX用房的比较价值（楼面单价，元/平方米）</v>
      </c>
      <c r="Q37" s="3546"/>
      <c r="R37" s="3576" t="e">
        <f>IF(F1="售价",ROUND(IF(D36="简单平均",AVERAGE(R36:W36),R36*F36+T36*H36+V36*J36),0),ROUND(IF(D36="简单平均",AVERAGE(R36:V36),R36*F36+T36*H36+V36*J36),1))</f>
        <v>#DIV/0!</v>
      </c>
      <c r="S37" s="3576"/>
      <c r="T37" s="3576"/>
      <c r="U37" s="3576"/>
      <c r="V37" s="3576"/>
      <c r="W37" s="357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4" t="s">
        <v>1798</v>
      </c>
      <c r="B45" s="384"/>
      <c r="C45" s="655"/>
      <c r="D45" s="655"/>
      <c r="E45" s="655"/>
      <c r="F45" s="656"/>
      <c r="G45" s="656"/>
      <c r="H45" s="655"/>
      <c r="I45" s="655"/>
      <c r="J45" s="655"/>
      <c r="K45" s="657"/>
      <c r="L45" s="658"/>
      <c r="M45" s="655"/>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099" t="str">
        <f>YEAR(C7)&amp;"-"&amp;MONTH(C7)</f>
        <v>2024-6</v>
      </c>
      <c r="D46" s="1100">
        <f>EDATE(C46,-1)</f>
        <v>45413</v>
      </c>
      <c r="E46" s="1100">
        <f t="shared" ref="E46:O46" si="16">EDATE(D46,-1)</f>
        <v>45383</v>
      </c>
      <c r="F46" s="1100">
        <f t="shared" si="16"/>
        <v>45352</v>
      </c>
      <c r="G46" s="1100">
        <f t="shared" si="16"/>
        <v>45323</v>
      </c>
      <c r="H46" s="1100">
        <f t="shared" si="16"/>
        <v>45292</v>
      </c>
      <c r="I46" s="1100">
        <f t="shared" si="16"/>
        <v>45261</v>
      </c>
      <c r="J46" s="1100">
        <f t="shared" si="16"/>
        <v>45231</v>
      </c>
      <c r="K46" s="1100">
        <f t="shared" si="16"/>
        <v>45200</v>
      </c>
      <c r="L46" s="1100">
        <f t="shared" si="16"/>
        <v>45170</v>
      </c>
      <c r="M46" s="1100">
        <f t="shared" si="16"/>
        <v>45139</v>
      </c>
      <c r="N46" s="1100">
        <f t="shared" si="16"/>
        <v>45108</v>
      </c>
      <c r="O46" s="1100">
        <f t="shared" si="16"/>
        <v>45078</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098">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1716</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1776</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1">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79">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1813</v>
      </c>
      <c r="C65" s="579" t="s">
        <v>1799</v>
      </c>
      <c r="D65" s="579" t="s">
        <v>1800</v>
      </c>
      <c r="E65" s="579" t="s">
        <v>1801</v>
      </c>
      <c r="F65" s="579" t="s">
        <v>1802</v>
      </c>
      <c r="G65" s="579" t="s">
        <v>1803</v>
      </c>
      <c r="H65" s="469"/>
      <c r="I65" s="469"/>
      <c r="J65" s="469"/>
      <c r="K65" s="469"/>
      <c r="L65" s="469"/>
      <c r="M65" s="1059"/>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8">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8"/>
      <c r="B98" s="878"/>
      <c r="C98" s="878"/>
      <c r="D98" s="878"/>
      <c r="E98" s="878"/>
      <c r="F98" s="878"/>
      <c r="G98" s="878"/>
      <c r="H98" s="878"/>
      <c r="I98" s="878"/>
      <c r="J98" s="878"/>
      <c r="K98" s="879"/>
      <c r="L98" s="880"/>
      <c r="M98" s="878"/>
      <c r="N98" s="2482"/>
      <c r="O98" s="2482"/>
      <c r="P98" s="2482"/>
      <c r="Q98" s="2482"/>
      <c r="R98" s="2482"/>
      <c r="S98" s="2482"/>
      <c r="T98" s="2482"/>
      <c r="U98" s="2482"/>
      <c r="V98" s="2482"/>
      <c r="W98" s="2482"/>
      <c r="X98" s="2482"/>
      <c r="Y98" s="2482"/>
      <c r="Z98" s="2482"/>
      <c r="AA98" s="2482"/>
      <c r="AB98" s="2482"/>
      <c r="AC98" s="2482"/>
      <c r="AD98" s="2482"/>
    </row>
    <row r="99" spans="1:30">
      <c r="A99" s="878"/>
      <c r="B99" s="878"/>
      <c r="C99" s="878"/>
      <c r="D99" s="878"/>
      <c r="E99" s="878"/>
      <c r="F99" s="878"/>
      <c r="G99" s="878"/>
      <c r="H99" s="878"/>
      <c r="I99" s="878"/>
      <c r="J99" s="878"/>
      <c r="K99" s="879"/>
      <c r="L99" s="880"/>
      <c r="M99" s="878"/>
      <c r="N99" s="2482"/>
      <c r="O99" s="2482"/>
      <c r="P99" s="2482"/>
      <c r="Q99" s="2482"/>
      <c r="R99" s="2482"/>
      <c r="S99" s="2482"/>
      <c r="T99" s="2482"/>
      <c r="U99" s="2482"/>
      <c r="V99" s="2482"/>
      <c r="W99" s="2482"/>
      <c r="X99" s="2482"/>
      <c r="Y99" s="2482"/>
      <c r="Z99" s="2482"/>
      <c r="AA99" s="2482"/>
      <c r="AB99" s="2482"/>
      <c r="AC99" s="2482"/>
      <c r="AD99" s="2482"/>
    </row>
    <row r="100" spans="1:30">
      <c r="A100" s="878"/>
      <c r="B100" s="878"/>
      <c r="C100" s="878"/>
      <c r="D100" s="878"/>
      <c r="E100" s="878"/>
      <c r="F100" s="878"/>
      <c r="G100" s="878"/>
      <c r="H100" s="878"/>
      <c r="I100" s="878"/>
      <c r="J100" s="878"/>
      <c r="K100" s="879"/>
      <c r="L100" s="880"/>
      <c r="M100" s="878"/>
      <c r="N100" s="2482"/>
      <c r="O100" s="2482"/>
      <c r="P100" s="2482"/>
      <c r="Q100" s="2482"/>
      <c r="R100" s="2482"/>
      <c r="S100" s="2482"/>
      <c r="T100" s="2482"/>
      <c r="U100" s="2482"/>
      <c r="V100" s="2482"/>
      <c r="W100" s="2482"/>
      <c r="X100" s="2482"/>
      <c r="Y100" s="2482"/>
      <c r="Z100" s="2482"/>
      <c r="AA100" s="2482"/>
      <c r="AB100" s="2482"/>
      <c r="AC100" s="2482"/>
      <c r="AD100" s="2482"/>
    </row>
    <row r="101" spans="1:30">
      <c r="A101" s="878"/>
      <c r="B101" s="878"/>
      <c r="C101" s="878"/>
      <c r="D101" s="878"/>
      <c r="E101" s="878"/>
      <c r="F101" s="878"/>
      <c r="G101" s="878"/>
      <c r="H101" s="878"/>
      <c r="I101" s="878"/>
      <c r="J101" s="878"/>
      <c r="K101" s="879"/>
      <c r="L101" s="880"/>
      <c r="M101" s="878"/>
      <c r="N101" s="2482"/>
      <c r="O101" s="2482"/>
      <c r="P101" s="2482"/>
      <c r="Q101" s="2482"/>
      <c r="R101" s="2482"/>
      <c r="S101" s="2482"/>
      <c r="T101" s="2482"/>
      <c r="U101" s="2482"/>
      <c r="V101" s="2482"/>
      <c r="W101" s="2482"/>
      <c r="X101" s="2482"/>
      <c r="Y101" s="2482"/>
      <c r="Z101" s="2482"/>
      <c r="AA101" s="2482"/>
      <c r="AB101" s="2482"/>
      <c r="AC101" s="2482"/>
      <c r="AD101" s="2482"/>
    </row>
    <row r="102" spans="1:30">
      <c r="A102" s="878"/>
      <c r="B102" s="878"/>
      <c r="C102" s="878"/>
      <c r="D102" s="878"/>
      <c r="E102" s="878"/>
      <c r="F102" s="878"/>
      <c r="G102" s="878"/>
      <c r="H102" s="878"/>
      <c r="I102" s="878"/>
      <c r="J102" s="878"/>
      <c r="K102" s="879"/>
      <c r="L102" s="880"/>
      <c r="M102" s="878"/>
      <c r="N102" s="2482"/>
      <c r="O102" s="2482"/>
      <c r="P102" s="2482"/>
      <c r="Q102" s="2482"/>
      <c r="R102" s="2482"/>
      <c r="S102" s="2482"/>
      <c r="T102" s="2482"/>
      <c r="U102" s="2482"/>
      <c r="V102" s="2482"/>
      <c r="W102" s="2482"/>
      <c r="X102" s="2482"/>
      <c r="Y102" s="2482"/>
      <c r="Z102" s="2482"/>
      <c r="AA102" s="2482"/>
      <c r="AB102" s="2482"/>
      <c r="AC102" s="2482"/>
      <c r="AD102" s="2482"/>
    </row>
    <row r="103" spans="1:30">
      <c r="A103" s="878"/>
      <c r="B103" s="878"/>
      <c r="C103" s="878"/>
      <c r="D103" s="878"/>
      <c r="E103" s="878"/>
      <c r="F103" s="878"/>
      <c r="G103" s="878"/>
      <c r="H103" s="878"/>
      <c r="I103" s="878"/>
      <c r="J103" s="878"/>
      <c r="K103" s="879"/>
      <c r="L103" s="880"/>
      <c r="M103" s="878"/>
      <c r="N103" s="878"/>
      <c r="O103" s="878"/>
      <c r="P103" s="2482"/>
      <c r="Q103" s="2482"/>
      <c r="R103" s="2482"/>
      <c r="S103" s="2482"/>
      <c r="T103" s="2482"/>
      <c r="U103" s="2482"/>
      <c r="V103" s="2482"/>
      <c r="W103" s="2482"/>
      <c r="X103" s="2482"/>
      <c r="Y103" s="2482"/>
      <c r="Z103" s="2482"/>
      <c r="AA103" s="2482"/>
      <c r="AB103" s="2482"/>
      <c r="AC103" s="2482"/>
      <c r="AD103" s="2482"/>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7"/>
      <c r="E1" s="647"/>
      <c r="F1" s="646" t="s">
        <v>1767</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1462</v>
      </c>
      <c r="B2" s="589" t="e">
        <f>F65</f>
        <v>#DIV/0!</v>
      </c>
      <c r="C2" s="850"/>
      <c r="D2" s="850"/>
      <c r="E2" s="851"/>
      <c r="F2" s="852"/>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ROUND(IF(D3="",B2*10000/'数据-汇总表'!E3,B2*10000/D3),0)</f>
        <v>#DIV/0!</v>
      </c>
      <c r="C3" s="194" t="s">
        <v>1869</v>
      </c>
      <c r="D3" s="1107"/>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35" t="s">
        <v>1775</v>
      </c>
      <c r="Q4" s="3536"/>
      <c r="R4" s="3518" t="s">
        <v>1771</v>
      </c>
      <c r="S4" s="3519"/>
      <c r="T4" s="3518" t="s">
        <v>1772</v>
      </c>
      <c r="U4" s="3519"/>
      <c r="V4" s="3543" t="s">
        <v>1773</v>
      </c>
      <c r="W4" s="3543"/>
      <c r="X4" s="1261"/>
      <c r="Y4" s="3518" t="s">
        <v>1775</v>
      </c>
      <c r="Z4" s="3519"/>
      <c r="AA4" s="3513" t="s">
        <v>1771</v>
      </c>
      <c r="AB4" s="3514" t="s">
        <v>1772</v>
      </c>
      <c r="AC4" s="3513" t="s">
        <v>1773</v>
      </c>
    </row>
    <row r="5" spans="1:29" ht="15">
      <c r="A5" s="347"/>
      <c r="B5" s="348"/>
      <c r="C5" s="3524" t="s">
        <v>1673</v>
      </c>
      <c r="D5" s="3525"/>
      <c r="E5" s="3522" t="s">
        <v>1674</v>
      </c>
      <c r="F5" s="3523"/>
      <c r="G5" s="3524" t="s">
        <v>1675</v>
      </c>
      <c r="H5" s="3525"/>
      <c r="I5" s="3524" t="s">
        <v>1676</v>
      </c>
      <c r="J5" s="3525"/>
      <c r="K5" s="536"/>
      <c r="L5" s="2481"/>
      <c r="M5" s="2482"/>
      <c r="N5" s="2482"/>
      <c r="O5" s="2482"/>
      <c r="P5" s="3537"/>
      <c r="Q5" s="3538"/>
      <c r="R5" s="3520"/>
      <c r="S5" s="3521"/>
      <c r="T5" s="3520"/>
      <c r="U5" s="3521"/>
      <c r="V5" s="3543"/>
      <c r="W5" s="3543"/>
      <c r="X5" s="1261"/>
      <c r="Y5" s="3520"/>
      <c r="Z5" s="3521"/>
      <c r="AA5" s="3514"/>
      <c r="AB5" s="3514"/>
      <c r="AC5" s="3514"/>
    </row>
    <row r="6" spans="1:29" ht="15.75" thickBot="1">
      <c r="A6" s="349"/>
      <c r="B6" s="350"/>
      <c r="C6" s="3526" t="s">
        <v>1677</v>
      </c>
      <c r="D6" s="3527"/>
      <c r="E6" s="3528" t="s">
        <v>1677</v>
      </c>
      <c r="F6" s="3529"/>
      <c r="G6" s="3526" t="s">
        <v>1677</v>
      </c>
      <c r="H6" s="3527"/>
      <c r="I6" s="3526" t="s">
        <v>1677</v>
      </c>
      <c r="J6" s="3527"/>
      <c r="K6" s="536" t="s">
        <v>1678</v>
      </c>
      <c r="L6" s="2481"/>
      <c r="M6" s="2482"/>
      <c r="N6" s="2482"/>
      <c r="O6" s="2482"/>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516" t="s">
        <v>1680</v>
      </c>
      <c r="Q7" s="3544"/>
      <c r="R7" s="660" t="s">
        <v>14</v>
      </c>
      <c r="S7" s="661">
        <f t="shared" ref="S7:S15" si="0">F7</f>
        <v>0</v>
      </c>
      <c r="T7" s="660" t="s">
        <v>14</v>
      </c>
      <c r="U7" s="661">
        <f t="shared" ref="U7:U15" si="1">H7</f>
        <v>0</v>
      </c>
      <c r="V7" s="660" t="s">
        <v>14</v>
      </c>
      <c r="W7" s="661">
        <f t="shared" ref="W7:W15" si="2">J7</f>
        <v>0</v>
      </c>
      <c r="X7" s="662"/>
      <c r="Y7" s="3516" t="s">
        <v>1680</v>
      </c>
      <c r="Z7" s="351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516" t="s">
        <v>1683</v>
      </c>
      <c r="Q8" s="3517"/>
      <c r="R8" s="660" t="s">
        <v>14</v>
      </c>
      <c r="S8" s="661">
        <f t="shared" si="0"/>
        <v>0</v>
      </c>
      <c r="T8" s="660" t="s">
        <v>14</v>
      </c>
      <c r="U8" s="661">
        <f t="shared" si="1"/>
        <v>0</v>
      </c>
      <c r="V8" s="660" t="s">
        <v>14</v>
      </c>
      <c r="W8" s="661">
        <f t="shared" si="2"/>
        <v>0</v>
      </c>
      <c r="X8" s="662"/>
      <c r="Y8" s="3516" t="s">
        <v>1683</v>
      </c>
      <c r="Z8" s="3517"/>
      <c r="AA8" s="50" t="e">
        <f t="shared" ref="AA8:AA45" si="3">D8/F8</f>
        <v>#DIV/0!</v>
      </c>
      <c r="AB8" s="50" t="e">
        <f t="shared" ref="AB8:AB45" si="4">D8/H8</f>
        <v>#DIV/0!</v>
      </c>
      <c r="AC8" s="50" t="e">
        <f t="shared" ref="AC8:AC45" si="5">D8/J8</f>
        <v>#DIV/0!</v>
      </c>
    </row>
    <row r="9" spans="1:29" s="101" customFormat="1">
      <c r="A9" s="358" t="s">
        <v>1684</v>
      </c>
      <c r="B9" s="59" t="s">
        <v>1685</v>
      </c>
      <c r="C9" s="1820"/>
      <c r="D9" s="58">
        <v>100</v>
      </c>
      <c r="E9" s="1820"/>
      <c r="F9" s="58">
        <f>SUMIF(74:74,E9,75:75)-SUMIF(74:74,C9,75:75)+100</f>
        <v>100</v>
      </c>
      <c r="G9" s="1820"/>
      <c r="H9" s="58">
        <f>SUMIF(74:74,G9,75:75)-SUMIF(74:74,C9,75:75)+100</f>
        <v>100</v>
      </c>
      <c r="I9" s="1820"/>
      <c r="J9" s="58">
        <f>SUMIF(74:74,I9,75:75)-SUMIF(74:74,C9,75:75)+100</f>
        <v>100</v>
      </c>
      <c r="K9" s="38"/>
      <c r="L9" s="2483"/>
      <c r="M9" s="2434"/>
      <c r="N9" s="2434"/>
      <c r="O9" s="2535"/>
      <c r="P9" s="3548"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153</v>
      </c>
      <c r="G10" s="401"/>
      <c r="H10" s="118">
        <f>ROUND(100/'数据-取费表'!G16,0)</f>
        <v>153</v>
      </c>
      <c r="I10" s="401"/>
      <c r="J10" s="118">
        <f>ROUND(100/'数据-取费表'!G16,0)</f>
        <v>153</v>
      </c>
      <c r="K10" s="590"/>
      <c r="L10" s="2484"/>
      <c r="M10" s="2485"/>
      <c r="N10" s="2485"/>
      <c r="O10" s="2536"/>
      <c r="P10" s="3548"/>
      <c r="Q10" s="529" t="str">
        <f t="shared" si="6"/>
        <v>土地使用年限（年）</v>
      </c>
      <c r="R10" s="660" t="s">
        <v>14</v>
      </c>
      <c r="S10" s="661">
        <f t="shared" si="0"/>
        <v>153</v>
      </c>
      <c r="T10" s="660" t="s">
        <v>14</v>
      </c>
      <c r="U10" s="661">
        <f t="shared" si="1"/>
        <v>153</v>
      </c>
      <c r="V10" s="660" t="s">
        <v>14</v>
      </c>
      <c r="W10" s="661">
        <f t="shared" si="2"/>
        <v>153</v>
      </c>
      <c r="X10" s="662"/>
      <c r="Y10" s="3460"/>
      <c r="Z10" s="50" t="str">
        <f t="shared" si="7"/>
        <v>土地使用年限（年）</v>
      </c>
      <c r="AA10" s="50">
        <f t="shared" si="3"/>
        <v>0.65359477124183007</v>
      </c>
      <c r="AB10" s="50">
        <f t="shared" si="4"/>
        <v>0.65359477124183007</v>
      </c>
      <c r="AC10" s="50">
        <f t="shared" si="5"/>
        <v>0.65359477124183007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6"/>
      <c r="M11" s="2482"/>
      <c r="N11" s="2482"/>
      <c r="O11" s="2537"/>
      <c r="P11" s="3548"/>
      <c r="Q11" s="529" t="str">
        <f t="shared" si="6"/>
        <v>容积率</v>
      </c>
      <c r="R11" s="660" t="s">
        <v>14</v>
      </c>
      <c r="S11" s="661" t="e">
        <f t="shared" si="0"/>
        <v>#N/A</v>
      </c>
      <c r="T11" s="660" t="s">
        <v>14</v>
      </c>
      <c r="U11" s="661" t="e">
        <f t="shared" si="1"/>
        <v>#N/A</v>
      </c>
      <c r="V11" s="660" t="s">
        <v>14</v>
      </c>
      <c r="W11" s="661" t="e">
        <f t="shared" si="2"/>
        <v>#N/A</v>
      </c>
      <c r="X11" s="662"/>
      <c r="Y11" s="346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3"/>
      <c r="M12" s="2434"/>
      <c r="N12" s="2434"/>
      <c r="O12" s="2535"/>
      <c r="P12" s="3548"/>
      <c r="Q12" s="529" t="str">
        <f t="shared" si="6"/>
        <v>配建</v>
      </c>
      <c r="R12" s="660" t="s">
        <v>14</v>
      </c>
      <c r="S12" s="661">
        <f t="shared" si="0"/>
        <v>100</v>
      </c>
      <c r="T12" s="660" t="s">
        <v>14</v>
      </c>
      <c r="U12" s="661">
        <f t="shared" si="1"/>
        <v>100</v>
      </c>
      <c r="V12" s="660" t="s">
        <v>14</v>
      </c>
      <c r="W12" s="661">
        <f t="shared" si="2"/>
        <v>100</v>
      </c>
      <c r="X12" s="662"/>
      <c r="Y12" s="346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7"/>
      <c r="M13" s="2482"/>
      <c r="N13" s="2482"/>
      <c r="O13" s="2537"/>
      <c r="P13" s="3548"/>
      <c r="Q13" s="529">
        <f t="shared" si="6"/>
        <v>111</v>
      </c>
      <c r="R13" s="660" t="s">
        <v>14</v>
      </c>
      <c r="S13" s="661">
        <f t="shared" si="0"/>
        <v>100</v>
      </c>
      <c r="T13" s="660" t="s">
        <v>14</v>
      </c>
      <c r="U13" s="661">
        <f t="shared" si="1"/>
        <v>100</v>
      </c>
      <c r="V13" s="660" t="s">
        <v>14</v>
      </c>
      <c r="W13" s="661">
        <f t="shared" si="2"/>
        <v>100</v>
      </c>
      <c r="X13" s="662"/>
      <c r="Y13" s="3460"/>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7"/>
      <c r="M14" s="2482"/>
      <c r="N14" s="2482"/>
      <c r="O14" s="2537"/>
      <c r="P14" s="3548"/>
      <c r="Q14" s="529">
        <f t="shared" si="6"/>
        <v>111</v>
      </c>
      <c r="R14" s="660" t="s">
        <v>14</v>
      </c>
      <c r="S14" s="661">
        <f t="shared" si="0"/>
        <v>100</v>
      </c>
      <c r="T14" s="660" t="s">
        <v>14</v>
      </c>
      <c r="U14" s="661">
        <f t="shared" si="1"/>
        <v>100</v>
      </c>
      <c r="V14" s="660" t="s">
        <v>14</v>
      </c>
      <c r="W14" s="661">
        <f t="shared" si="2"/>
        <v>100</v>
      </c>
      <c r="X14" s="662"/>
      <c r="Y14" s="3460"/>
      <c r="Z14" s="50">
        <f t="shared" si="7"/>
        <v>111</v>
      </c>
      <c r="AA14" s="50">
        <f>D14/F14</f>
        <v>1</v>
      </c>
      <c r="AB14" s="50">
        <f>D14/H14</f>
        <v>1</v>
      </c>
      <c r="AC14" s="50">
        <f>D14/J14</f>
        <v>1</v>
      </c>
    </row>
    <row r="15" spans="1:29" ht="99.75">
      <c r="A15" s="378" t="s">
        <v>1690</v>
      </c>
      <c r="B15" s="57" t="s">
        <v>1257</v>
      </c>
      <c r="C15" s="1745"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1"/>
      <c r="L15" s="2487"/>
      <c r="M15" s="2482"/>
      <c r="N15" s="2482"/>
      <c r="O15" s="2537"/>
      <c r="P15" s="3549" t="s">
        <v>1691</v>
      </c>
      <c r="Q15" s="1259" t="str">
        <f t="shared" si="6"/>
        <v>居住社区成熟度</v>
      </c>
      <c r="R15" s="663" t="s">
        <v>14</v>
      </c>
      <c r="S15" s="664">
        <f t="shared" si="0"/>
        <v>100</v>
      </c>
      <c r="T15" s="663" t="s">
        <v>14</v>
      </c>
      <c r="U15" s="664">
        <f t="shared" si="1"/>
        <v>100</v>
      </c>
      <c r="V15" s="663" t="s">
        <v>14</v>
      </c>
      <c r="W15" s="664">
        <f t="shared" si="2"/>
        <v>100</v>
      </c>
      <c r="X15" s="1261"/>
      <c r="Y15" s="3549" t="s">
        <v>1691</v>
      </c>
      <c r="Z15" s="1260" t="str">
        <f t="shared" si="7"/>
        <v>居住社区成熟度</v>
      </c>
      <c r="AA15" s="1260">
        <f t="shared" si="3"/>
        <v>1</v>
      </c>
      <c r="AB15" s="1260">
        <f t="shared" si="4"/>
        <v>1</v>
      </c>
      <c r="AC15" s="1260">
        <f t="shared" si="5"/>
        <v>1</v>
      </c>
    </row>
    <row r="16" spans="1:29" ht="15">
      <c r="A16" s="366"/>
      <c r="B16" s="384"/>
      <c r="C16" s="385"/>
      <c r="D16" s="386"/>
      <c r="E16" s="1747"/>
      <c r="F16" s="386"/>
      <c r="G16" s="1747"/>
      <c r="H16" s="388"/>
      <c r="I16" s="1746"/>
      <c r="J16" s="386"/>
      <c r="K16" s="590"/>
      <c r="L16" s="2487"/>
      <c r="M16" s="2482"/>
      <c r="N16" s="2482"/>
      <c r="O16" s="2537"/>
      <c r="P16" s="3550"/>
      <c r="Q16" s="1259"/>
      <c r="R16" s="663"/>
      <c r="S16" s="664"/>
      <c r="T16" s="663"/>
      <c r="U16" s="664"/>
      <c r="V16" s="663"/>
      <c r="W16" s="664"/>
      <c r="X16" s="1261"/>
      <c r="Y16" s="3550"/>
      <c r="Z16" s="1260"/>
      <c r="AA16" s="1260">
        <v>1</v>
      </c>
      <c r="AB16" s="1260">
        <v>1</v>
      </c>
      <c r="AC16" s="1260">
        <v>1</v>
      </c>
    </row>
    <row r="17" spans="1:29" ht="99.75">
      <c r="A17" s="366"/>
      <c r="B17" s="389" t="s">
        <v>1777</v>
      </c>
      <c r="C17" s="1801" t="str">
        <f>估价对象房地状况!C16</f>
        <v>估价对象周边有世茂广场、太古里、三里屯SOHO以及住宅配套商业，人流量较大，商业繁华度较好。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1"/>
      <c r="L17" s="2487"/>
      <c r="M17" s="2482"/>
      <c r="N17" s="2482"/>
      <c r="O17" s="2537"/>
      <c r="P17" s="3550"/>
      <c r="Q17" s="1259" t="str">
        <f>B17</f>
        <v>商业繁华度</v>
      </c>
      <c r="R17" s="663" t="s">
        <v>14</v>
      </c>
      <c r="S17" s="664">
        <f>F17</f>
        <v>100</v>
      </c>
      <c r="T17" s="663" t="s">
        <v>14</v>
      </c>
      <c r="U17" s="664">
        <f>H17</f>
        <v>100</v>
      </c>
      <c r="V17" s="663" t="s">
        <v>14</v>
      </c>
      <c r="W17" s="664">
        <f>J17</f>
        <v>100</v>
      </c>
      <c r="X17" s="1261"/>
      <c r="Y17" s="3550"/>
      <c r="Z17" s="1260" t="str">
        <f>Q17</f>
        <v>商业繁华度</v>
      </c>
      <c r="AA17" s="1260">
        <f t="shared" si="3"/>
        <v>1</v>
      </c>
      <c r="AB17" s="1260">
        <f t="shared" si="4"/>
        <v>1</v>
      </c>
      <c r="AC17" s="1260">
        <f t="shared" si="5"/>
        <v>1</v>
      </c>
    </row>
    <row r="18" spans="1:29" ht="15">
      <c r="A18" s="366"/>
      <c r="B18" s="394"/>
      <c r="C18" s="1750"/>
      <c r="D18" s="388"/>
      <c r="E18" s="1752"/>
      <c r="F18" s="388"/>
      <c r="G18" s="1752"/>
      <c r="H18" s="386"/>
      <c r="I18" s="1751"/>
      <c r="J18" s="386"/>
      <c r="K18" s="590"/>
      <c r="L18" s="2487"/>
      <c r="M18" s="2482"/>
      <c r="N18" s="2482"/>
      <c r="O18" s="2537"/>
      <c r="P18" s="3550"/>
      <c r="Q18" s="1259"/>
      <c r="R18" s="663"/>
      <c r="S18" s="664"/>
      <c r="T18" s="663"/>
      <c r="U18" s="664"/>
      <c r="V18" s="663"/>
      <c r="W18" s="664"/>
      <c r="X18" s="1261"/>
      <c r="Y18" s="3550"/>
      <c r="Z18" s="1260"/>
      <c r="AA18" s="1260">
        <v>1</v>
      </c>
      <c r="AB18" s="1260">
        <v>1</v>
      </c>
      <c r="AC18" s="1260">
        <v>1</v>
      </c>
    </row>
    <row r="19" spans="1:29" ht="85.5">
      <c r="A19" s="366"/>
      <c r="B19" s="389" t="s">
        <v>1811</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1"/>
      <c r="L19" s="2487"/>
      <c r="M19" s="2482"/>
      <c r="N19" s="2482"/>
      <c r="O19" s="2537"/>
      <c r="P19" s="3550"/>
      <c r="Q19" s="1259" t="str">
        <f>B19</f>
        <v>办公集聚程度</v>
      </c>
      <c r="R19" s="663" t="s">
        <v>14</v>
      </c>
      <c r="S19" s="664">
        <f>F19</f>
        <v>100</v>
      </c>
      <c r="T19" s="663" t="s">
        <v>14</v>
      </c>
      <c r="U19" s="664">
        <f>H19</f>
        <v>100</v>
      </c>
      <c r="V19" s="663" t="s">
        <v>14</v>
      </c>
      <c r="W19" s="664">
        <f>J19</f>
        <v>100</v>
      </c>
      <c r="X19" s="1261"/>
      <c r="Y19" s="3550"/>
      <c r="Z19" s="1260" t="str">
        <f>Q19</f>
        <v>办公集聚程度</v>
      </c>
      <c r="AA19" s="1260">
        <f t="shared" si="3"/>
        <v>1</v>
      </c>
      <c r="AB19" s="1260">
        <f t="shared" si="4"/>
        <v>1</v>
      </c>
      <c r="AC19" s="1260">
        <f t="shared" si="5"/>
        <v>1</v>
      </c>
    </row>
    <row r="20" spans="1:29" ht="15">
      <c r="A20" s="366"/>
      <c r="B20" s="394"/>
      <c r="C20" s="385"/>
      <c r="D20" s="386"/>
      <c r="E20" s="1747"/>
      <c r="F20" s="386"/>
      <c r="G20" s="1747"/>
      <c r="H20" s="386"/>
      <c r="I20" s="1746"/>
      <c r="J20" s="386"/>
      <c r="K20" s="590"/>
      <c r="L20" s="2487"/>
      <c r="M20" s="2482"/>
      <c r="N20" s="2482"/>
      <c r="O20" s="2537"/>
      <c r="P20" s="3550"/>
      <c r="Q20" s="1259"/>
      <c r="R20" s="663"/>
      <c r="S20" s="664"/>
      <c r="T20" s="663"/>
      <c r="U20" s="664"/>
      <c r="V20" s="663"/>
      <c r="W20" s="664"/>
      <c r="X20" s="1261"/>
      <c r="Y20" s="3550"/>
      <c r="Z20" s="1260"/>
      <c r="AA20" s="1260">
        <v>1</v>
      </c>
      <c r="AB20" s="1260">
        <v>1</v>
      </c>
      <c r="AC20" s="1260">
        <v>1</v>
      </c>
    </row>
    <row r="21" spans="1:29" ht="199.5">
      <c r="A21" s="366"/>
      <c r="B21" s="389" t="s">
        <v>1833</v>
      </c>
      <c r="C21" s="1749" t="str">
        <f>估价对象房地状况!C18</f>
        <v>估价对象周边有3路、24路、110路、117路、120路、135路、403路等多条公交线路，距离地铁10号线农业展览馆站约1000米，周边道路网线较密集，通达度较好。综合评价交通便捷度较好。</v>
      </c>
      <c r="D21" s="388">
        <v>100</v>
      </c>
      <c r="E21" s="390"/>
      <c r="F21" s="393">
        <f>SUMIF(93:93,E22,94:94)-SUMIF(93:93,C22,94:94)+100</f>
        <v>100</v>
      </c>
      <c r="G21" s="390"/>
      <c r="H21" s="388">
        <f>SUMIF(93:93,G22,94:94)-SUMIF(93:93,C22,94:94)+100</f>
        <v>100</v>
      </c>
      <c r="I21" s="392"/>
      <c r="J21" s="388">
        <f>SUMIF(93:93,I22,94:94)-SUMIF(93:93,C22,94:94)+100</f>
        <v>100</v>
      </c>
      <c r="K21" s="591"/>
      <c r="L21" s="2487"/>
      <c r="M21" s="2482"/>
      <c r="N21" s="2482"/>
      <c r="O21" s="2537"/>
      <c r="P21" s="3550"/>
      <c r="Q21" s="1259" t="str">
        <f>B21</f>
        <v>交通便捷度</v>
      </c>
      <c r="R21" s="663" t="s">
        <v>14</v>
      </c>
      <c r="S21" s="664">
        <f>F21</f>
        <v>100</v>
      </c>
      <c r="T21" s="663" t="s">
        <v>14</v>
      </c>
      <c r="U21" s="664">
        <f>H21</f>
        <v>100</v>
      </c>
      <c r="V21" s="663" t="s">
        <v>14</v>
      </c>
      <c r="W21" s="664">
        <f>J21</f>
        <v>100</v>
      </c>
      <c r="X21" s="1261"/>
      <c r="Y21" s="3550"/>
      <c r="Z21" s="1260" t="str">
        <f>Q21</f>
        <v>交通便捷度</v>
      </c>
      <c r="AA21" s="1260">
        <f t="shared" si="3"/>
        <v>1</v>
      </c>
      <c r="AB21" s="1260">
        <f t="shared" si="4"/>
        <v>1</v>
      </c>
      <c r="AC21" s="1260">
        <f t="shared" si="5"/>
        <v>1</v>
      </c>
    </row>
    <row r="22" spans="1:29" ht="15">
      <c r="A22" s="366"/>
      <c r="B22" s="584"/>
      <c r="C22" s="385"/>
      <c r="D22" s="388"/>
      <c r="E22" s="1747"/>
      <c r="F22" s="386"/>
      <c r="G22" s="1747"/>
      <c r="H22" s="386"/>
      <c r="I22" s="1746"/>
      <c r="J22" s="386"/>
      <c r="K22" s="590"/>
      <c r="L22" s="2487"/>
      <c r="M22" s="2482"/>
      <c r="N22" s="2482"/>
      <c r="O22" s="2537"/>
      <c r="P22" s="3550"/>
      <c r="Q22" s="1259"/>
      <c r="R22" s="663"/>
      <c r="S22" s="664"/>
      <c r="T22" s="663"/>
      <c r="U22" s="664"/>
      <c r="V22" s="663"/>
      <c r="W22" s="664"/>
      <c r="X22" s="1261"/>
      <c r="Y22" s="3550"/>
      <c r="Z22" s="1260"/>
      <c r="AA22" s="1260">
        <v>1</v>
      </c>
      <c r="AB22" s="1260">
        <v>1</v>
      </c>
      <c r="AC22" s="1260">
        <v>1</v>
      </c>
    </row>
    <row r="23" spans="1:29" ht="15">
      <c r="A23" s="347"/>
      <c r="B23" s="389" t="s">
        <v>1871</v>
      </c>
      <c r="C23" s="1065">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7"/>
      <c r="M23" s="2482"/>
      <c r="N23" s="2482"/>
      <c r="O23" s="2537"/>
      <c r="P23" s="3550"/>
      <c r="Q23" s="1259" t="str">
        <f t="shared" ref="Q23:Q37" si="8">B23</f>
        <v>区域土地利用方向</v>
      </c>
      <c r="R23" s="663" t="s">
        <v>14</v>
      </c>
      <c r="S23" s="664">
        <f>F23</f>
        <v>100</v>
      </c>
      <c r="T23" s="663" t="s">
        <v>14</v>
      </c>
      <c r="U23" s="664">
        <f>H23</f>
        <v>100</v>
      </c>
      <c r="V23" s="663" t="s">
        <v>14</v>
      </c>
      <c r="W23" s="664">
        <f>J23</f>
        <v>100</v>
      </c>
      <c r="X23" s="1261"/>
      <c r="Y23" s="3550"/>
      <c r="Z23" s="1260" t="str">
        <f>Q23</f>
        <v>区域土地利用方向</v>
      </c>
      <c r="AA23" s="1260">
        <f t="shared" si="3"/>
        <v>1</v>
      </c>
      <c r="AB23" s="1260">
        <f t="shared" si="4"/>
        <v>1</v>
      </c>
      <c r="AC23" s="1260">
        <f t="shared" si="5"/>
        <v>1</v>
      </c>
    </row>
    <row r="24" spans="1:29" ht="15">
      <c r="A24" s="347"/>
      <c r="B24" s="394"/>
      <c r="C24" s="541"/>
      <c r="D24" s="386"/>
      <c r="E24" s="1747"/>
      <c r="F24" s="386"/>
      <c r="G24" s="1746"/>
      <c r="H24" s="386"/>
      <c r="I24" s="1746"/>
      <c r="J24" s="386"/>
      <c r="K24" s="694"/>
      <c r="L24" s="2487"/>
      <c r="M24" s="2482"/>
      <c r="N24" s="2482"/>
      <c r="O24" s="2537"/>
      <c r="P24" s="3550"/>
      <c r="Q24" s="1259"/>
      <c r="R24" s="663"/>
      <c r="S24" s="664"/>
      <c r="T24" s="663"/>
      <c r="U24" s="664"/>
      <c r="V24" s="663"/>
      <c r="W24" s="664"/>
      <c r="X24" s="1261"/>
      <c r="Y24" s="3550"/>
      <c r="Z24" s="1260"/>
      <c r="AA24" s="1260"/>
      <c r="AB24" s="1260"/>
      <c r="AC24" s="1260"/>
    </row>
    <row r="25" spans="1:29" ht="128.25">
      <c r="A25" s="347"/>
      <c r="B25" s="584" t="s">
        <v>1872</v>
      </c>
      <c r="C25" s="1801" t="str">
        <f>估价对象房地状况!C20</f>
        <v>估价对象周边有帽子公园、新中街城市森林公园等绿化景观，北京工人体育场、农业展览馆等人文场所，综合评价环境状况较好。</v>
      </c>
      <c r="D25" s="388">
        <v>100</v>
      </c>
      <c r="E25" s="390"/>
      <c r="F25" s="388">
        <f>SUMIF(97:97,E26,98:98)-SUMIF(97:97,C26,98:98)+100</f>
        <v>100</v>
      </c>
      <c r="G25" s="390"/>
      <c r="H25" s="388">
        <f>SUMIF(97:97,G26,98:98)-SUMIF(97:97,C26,98:98)+100</f>
        <v>100</v>
      </c>
      <c r="I25" s="392"/>
      <c r="J25" s="388">
        <f>SUMIF(97:97,I26,98:98)-SUMIF(97:97,C26,98:98)+100</f>
        <v>100</v>
      </c>
      <c r="K25" s="591"/>
      <c r="L25" s="2487"/>
      <c r="M25" s="2482"/>
      <c r="N25" s="2482"/>
      <c r="O25" s="2537"/>
      <c r="P25" s="3550"/>
      <c r="Q25" s="1259" t="str">
        <f t="shared" si="8"/>
        <v>自然及人文环境状况</v>
      </c>
      <c r="R25" s="663" t="s">
        <v>14</v>
      </c>
      <c r="S25" s="664">
        <f>F25</f>
        <v>100</v>
      </c>
      <c r="T25" s="663" t="s">
        <v>14</v>
      </c>
      <c r="U25" s="664">
        <f>H25</f>
        <v>100</v>
      </c>
      <c r="V25" s="663" t="s">
        <v>14</v>
      </c>
      <c r="W25" s="664">
        <f>J25</f>
        <v>100</v>
      </c>
      <c r="X25" s="1261"/>
      <c r="Y25" s="3550"/>
      <c r="Z25" s="1260" t="str">
        <f>Q25</f>
        <v>自然及人文环境状况</v>
      </c>
      <c r="AA25" s="1260">
        <f t="shared" si="3"/>
        <v>1</v>
      </c>
      <c r="AB25" s="1260">
        <f t="shared" si="4"/>
        <v>1</v>
      </c>
      <c r="AC25" s="1260">
        <f t="shared" si="5"/>
        <v>1</v>
      </c>
    </row>
    <row r="26" spans="1:29" ht="15">
      <c r="A26" s="347"/>
      <c r="B26" s="394"/>
      <c r="C26" s="385"/>
      <c r="D26" s="386"/>
      <c r="E26" s="1753"/>
      <c r="F26" s="386"/>
      <c r="G26" s="1753"/>
      <c r="H26" s="386"/>
      <c r="I26" s="385"/>
      <c r="J26" s="386"/>
      <c r="K26" s="590"/>
      <c r="L26" s="2487"/>
      <c r="M26" s="2482"/>
      <c r="N26" s="2482"/>
      <c r="O26" s="2537"/>
      <c r="P26" s="3550"/>
      <c r="Q26" s="1259"/>
      <c r="R26" s="663"/>
      <c r="S26" s="664"/>
      <c r="T26" s="663"/>
      <c r="U26" s="664"/>
      <c r="V26" s="663"/>
      <c r="W26" s="664"/>
      <c r="X26" s="1261"/>
      <c r="Y26" s="3550"/>
      <c r="Z26" s="1260"/>
      <c r="AA26" s="1260">
        <v>1</v>
      </c>
      <c r="AB26" s="1260">
        <v>1</v>
      </c>
      <c r="AC26" s="1260">
        <v>1</v>
      </c>
    </row>
    <row r="27" spans="1:29" s="101" customFormat="1" ht="384.75">
      <c r="A27" s="442"/>
      <c r="B27" s="584" t="s">
        <v>1778</v>
      </c>
      <c r="C27" s="1749"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1"/>
      <c r="L27" s="2483"/>
      <c r="M27" s="2434"/>
      <c r="N27" s="2434"/>
      <c r="O27" s="2535"/>
      <c r="P27" s="3550"/>
      <c r="Q27" s="529" t="str">
        <f t="shared" si="8"/>
        <v>公共配套设施</v>
      </c>
      <c r="R27" s="660" t="s">
        <v>14</v>
      </c>
      <c r="S27" s="661">
        <f>F27</f>
        <v>100</v>
      </c>
      <c r="T27" s="660" t="s">
        <v>14</v>
      </c>
      <c r="U27" s="661">
        <f>H27</f>
        <v>100</v>
      </c>
      <c r="V27" s="660" t="s">
        <v>14</v>
      </c>
      <c r="W27" s="661">
        <f>J27</f>
        <v>100</v>
      </c>
      <c r="X27" s="662"/>
      <c r="Y27" s="3550"/>
      <c r="Z27" s="50" t="str">
        <f>Q27</f>
        <v>公共配套设施</v>
      </c>
      <c r="AA27" s="1260">
        <f>D27/F27</f>
        <v>1</v>
      </c>
      <c r="AB27" s="1260">
        <f>D27/H27</f>
        <v>1</v>
      </c>
      <c r="AC27" s="1260">
        <f>D27/J27</f>
        <v>1</v>
      </c>
    </row>
    <row r="28" spans="1:29" s="101" customFormat="1" ht="15">
      <c r="A28" s="442"/>
      <c r="B28" s="394"/>
      <c r="C28" s="1821"/>
      <c r="D28" s="386"/>
      <c r="E28" s="1753"/>
      <c r="F28" s="386"/>
      <c r="G28" s="1753"/>
      <c r="H28" s="386"/>
      <c r="I28" s="385"/>
      <c r="J28" s="386"/>
      <c r="K28" s="590"/>
      <c r="L28" s="2483"/>
      <c r="M28" s="2434"/>
      <c r="N28" s="2434"/>
      <c r="O28" s="2535"/>
      <c r="P28" s="3550"/>
      <c r="Q28" s="529"/>
      <c r="R28" s="660"/>
      <c r="S28" s="661"/>
      <c r="T28" s="660"/>
      <c r="U28" s="661"/>
      <c r="V28" s="660"/>
      <c r="W28" s="661"/>
      <c r="X28" s="662"/>
      <c r="Y28" s="3550"/>
      <c r="Z28" s="50"/>
      <c r="AA28" s="1260">
        <v>1</v>
      </c>
      <c r="AB28" s="1260">
        <v>1</v>
      </c>
      <c r="AC28" s="1260">
        <v>1</v>
      </c>
    </row>
    <row r="29" spans="1:29" s="101" customFormat="1" ht="42.75">
      <c r="A29" s="442"/>
      <c r="B29" s="584" t="s">
        <v>1779</v>
      </c>
      <c r="C29" s="1749"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3"/>
      <c r="M29" s="2434"/>
      <c r="N29" s="2434"/>
      <c r="O29" s="2535"/>
      <c r="P29" s="3550"/>
      <c r="Q29" s="529" t="str">
        <f t="shared" ref="Q29" si="9">B29</f>
        <v>基础设施水平</v>
      </c>
      <c r="R29" s="660" t="s">
        <v>14</v>
      </c>
      <c r="S29" s="661">
        <f>F29</f>
        <v>100</v>
      </c>
      <c r="T29" s="660" t="s">
        <v>14</v>
      </c>
      <c r="U29" s="661">
        <f>H29</f>
        <v>100</v>
      </c>
      <c r="V29" s="660" t="s">
        <v>14</v>
      </c>
      <c r="W29" s="661">
        <f>J29</f>
        <v>100</v>
      </c>
      <c r="X29" s="662"/>
      <c r="Y29" s="3550"/>
      <c r="Z29" s="50" t="str">
        <f>Q29</f>
        <v>基础设施水平</v>
      </c>
      <c r="AA29" s="1260">
        <f>D29/F29</f>
        <v>1</v>
      </c>
      <c r="AB29" s="1260">
        <f>D29/H29</f>
        <v>1</v>
      </c>
      <c r="AC29" s="1260">
        <f>D29/J29</f>
        <v>1</v>
      </c>
    </row>
    <row r="30" spans="1:29" s="101" customFormat="1" ht="15">
      <c r="A30" s="442"/>
      <c r="B30" s="394"/>
      <c r="C30" s="1821"/>
      <c r="D30" s="386"/>
      <c r="E30" s="1822"/>
      <c r="F30" s="386"/>
      <c r="G30" s="1822"/>
      <c r="H30" s="386"/>
      <c r="I30" s="1822"/>
      <c r="J30" s="386"/>
      <c r="K30" s="590"/>
      <c r="L30" s="2483"/>
      <c r="M30" s="2434"/>
      <c r="N30" s="2434"/>
      <c r="O30" s="2535"/>
      <c r="P30" s="3550"/>
      <c r="Q30" s="529"/>
      <c r="R30" s="660"/>
      <c r="S30" s="661"/>
      <c r="T30" s="660"/>
      <c r="U30" s="661"/>
      <c r="V30" s="660"/>
      <c r="W30" s="661"/>
      <c r="X30" s="662"/>
      <c r="Y30" s="3550"/>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7"/>
      <c r="M31" s="2482"/>
      <c r="N31" s="2482"/>
      <c r="O31" s="2537"/>
      <c r="P31" s="3550"/>
      <c r="Q31" s="1259" t="str">
        <f t="shared" si="8"/>
        <v>临街状况</v>
      </c>
      <c r="R31" s="663" t="s">
        <v>14</v>
      </c>
      <c r="S31" s="664">
        <f t="shared" ref="S31:S45" si="10">F31</f>
        <v>100</v>
      </c>
      <c r="T31" s="663" t="s">
        <v>14</v>
      </c>
      <c r="U31" s="664">
        <f t="shared" ref="U31:U45" si="11">H31</f>
        <v>100</v>
      </c>
      <c r="V31" s="663" t="s">
        <v>14</v>
      </c>
      <c r="W31" s="664">
        <f t="shared" ref="W31:W45" si="12">J31</f>
        <v>100</v>
      </c>
      <c r="X31" s="1261"/>
      <c r="Y31" s="3550"/>
      <c r="Z31" s="1260" t="str">
        <f t="shared" ref="Z31:Z45" si="13">Q31</f>
        <v>临街状况</v>
      </c>
      <c r="AA31" s="1260">
        <f t="shared" si="3"/>
        <v>1</v>
      </c>
      <c r="AB31" s="1260">
        <f t="shared" si="4"/>
        <v>1</v>
      </c>
      <c r="AC31" s="1260">
        <f t="shared" si="5"/>
        <v>1</v>
      </c>
    </row>
    <row r="32" spans="1:29" ht="28.5">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7"/>
      <c r="M32" s="2482"/>
      <c r="N32" s="2482"/>
      <c r="O32" s="2537"/>
      <c r="P32" s="3550"/>
      <c r="Q32" s="1259" t="str">
        <f t="shared" si="8"/>
        <v>毗邻道路的类型与等级</v>
      </c>
      <c r="R32" s="663" t="s">
        <v>14</v>
      </c>
      <c r="S32" s="664">
        <f t="shared" si="10"/>
        <v>100</v>
      </c>
      <c r="T32" s="663" t="s">
        <v>14</v>
      </c>
      <c r="U32" s="664">
        <f t="shared" si="11"/>
        <v>100</v>
      </c>
      <c r="V32" s="663" t="s">
        <v>14</v>
      </c>
      <c r="W32" s="664">
        <f t="shared" si="12"/>
        <v>100</v>
      </c>
      <c r="X32" s="1261"/>
      <c r="Y32" s="3550"/>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7"/>
      <c r="M33" s="2482"/>
      <c r="N33" s="2482"/>
      <c r="O33" s="2537"/>
      <c r="P33" s="3550"/>
      <c r="Q33" s="1259"/>
      <c r="R33" s="663"/>
      <c r="S33" s="664"/>
      <c r="T33" s="663"/>
      <c r="U33" s="664"/>
      <c r="V33" s="663"/>
      <c r="W33" s="664"/>
      <c r="X33" s="1261"/>
      <c r="Y33" s="3550"/>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7"/>
      <c r="M34" s="2482"/>
      <c r="N34" s="2482"/>
      <c r="O34" s="2537"/>
      <c r="P34" s="3550"/>
      <c r="Q34" s="1259" t="str">
        <f t="shared" si="8"/>
        <v>土地级别</v>
      </c>
      <c r="R34" s="663" t="s">
        <v>14</v>
      </c>
      <c r="S34" s="664">
        <f t="shared" si="10"/>
        <v>100</v>
      </c>
      <c r="T34" s="663" t="s">
        <v>14</v>
      </c>
      <c r="U34" s="664">
        <f t="shared" si="11"/>
        <v>100</v>
      </c>
      <c r="V34" s="663" t="s">
        <v>14</v>
      </c>
      <c r="W34" s="664">
        <f t="shared" si="12"/>
        <v>100</v>
      </c>
      <c r="X34" s="1261"/>
      <c r="Y34" s="3550"/>
      <c r="Z34" s="1260" t="str">
        <f t="shared" si="13"/>
        <v>土地级别</v>
      </c>
      <c r="AA34" s="1260">
        <f t="shared" si="3"/>
        <v>1</v>
      </c>
      <c r="AB34" s="1260">
        <f t="shared" si="4"/>
        <v>1</v>
      </c>
      <c r="AC34" s="1260">
        <f t="shared" si="5"/>
        <v>1</v>
      </c>
    </row>
    <row r="35" spans="1:29" ht="15">
      <c r="A35" s="347"/>
      <c r="B35" s="1062">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7"/>
      <c r="M35" s="2482"/>
      <c r="N35" s="2482"/>
      <c r="O35" s="2537"/>
      <c r="P35" s="3550"/>
      <c r="Q35" s="1259">
        <f t="shared" si="8"/>
        <v>111</v>
      </c>
      <c r="R35" s="663" t="s">
        <v>14</v>
      </c>
      <c r="S35" s="664">
        <f t="shared" si="10"/>
        <v>100</v>
      </c>
      <c r="T35" s="663" t="s">
        <v>14</v>
      </c>
      <c r="U35" s="664">
        <f t="shared" si="11"/>
        <v>100</v>
      </c>
      <c r="V35" s="663" t="s">
        <v>14</v>
      </c>
      <c r="W35" s="664">
        <f t="shared" si="12"/>
        <v>100</v>
      </c>
      <c r="X35" s="1261"/>
      <c r="Y35" s="3550"/>
      <c r="Z35" s="1260">
        <f t="shared" si="13"/>
        <v>111</v>
      </c>
      <c r="AA35" s="1260">
        <f t="shared" si="3"/>
        <v>1</v>
      </c>
      <c r="AB35" s="1260">
        <f t="shared" si="4"/>
        <v>1</v>
      </c>
      <c r="AC35" s="1260">
        <f t="shared" si="5"/>
        <v>1</v>
      </c>
    </row>
    <row r="36" spans="1:29" ht="15">
      <c r="A36" s="593"/>
      <c r="B36" s="1063">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7"/>
      <c r="M36" s="2482"/>
      <c r="N36" s="2482"/>
      <c r="O36" s="2537"/>
      <c r="P36" s="3575" t="s">
        <v>1696</v>
      </c>
      <c r="Q36" s="1259">
        <f t="shared" si="8"/>
        <v>111</v>
      </c>
      <c r="R36" s="663" t="s">
        <v>14</v>
      </c>
      <c r="S36" s="664">
        <f t="shared" si="10"/>
        <v>100</v>
      </c>
      <c r="T36" s="663" t="s">
        <v>14</v>
      </c>
      <c r="U36" s="664">
        <f t="shared" si="11"/>
        <v>100</v>
      </c>
      <c r="V36" s="663" t="s">
        <v>14</v>
      </c>
      <c r="W36" s="664">
        <f t="shared" si="12"/>
        <v>100</v>
      </c>
      <c r="X36" s="1261"/>
      <c r="Y36" s="3554" t="s">
        <v>1696</v>
      </c>
      <c r="Z36" s="1260">
        <f t="shared" si="13"/>
        <v>111</v>
      </c>
      <c r="AA36" s="1260">
        <f t="shared" si="3"/>
        <v>1</v>
      </c>
      <c r="AB36" s="1260">
        <f t="shared" si="4"/>
        <v>1</v>
      </c>
      <c r="AC36" s="1260">
        <f t="shared" si="5"/>
        <v>1</v>
      </c>
    </row>
    <row r="37" spans="1:29" s="407" customFormat="1" ht="15.75" thickBot="1">
      <c r="A37" s="594"/>
      <c r="B37" s="1064">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6"/>
      <c r="M37" s="2488"/>
      <c r="N37" s="2488"/>
      <c r="O37" s="2538"/>
      <c r="P37" s="3554"/>
      <c r="Q37" s="1259">
        <f t="shared" si="8"/>
        <v>111</v>
      </c>
      <c r="R37" s="665" t="s">
        <v>14</v>
      </c>
      <c r="S37" s="666">
        <f t="shared" si="10"/>
        <v>100</v>
      </c>
      <c r="T37" s="665" t="s">
        <v>14</v>
      </c>
      <c r="U37" s="666">
        <f t="shared" si="11"/>
        <v>100</v>
      </c>
      <c r="V37" s="665" t="s">
        <v>14</v>
      </c>
      <c r="W37" s="666">
        <f t="shared" si="12"/>
        <v>100</v>
      </c>
      <c r="X37" s="667"/>
      <c r="Y37" s="3554"/>
      <c r="Z37" s="668">
        <f t="shared" si="13"/>
        <v>111</v>
      </c>
      <c r="AA37" s="1260">
        <f t="shared" si="3"/>
        <v>1</v>
      </c>
      <c r="AB37" s="1260">
        <f t="shared" si="4"/>
        <v>1</v>
      </c>
      <c r="AC37" s="1260">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7"/>
      <c r="M38" s="2482"/>
      <c r="N38" s="2482"/>
      <c r="O38" s="2537"/>
      <c r="P38" s="3554"/>
      <c r="Q38" s="1259" t="str">
        <f>B38</f>
        <v>宗地面积</v>
      </c>
      <c r="R38" s="663" t="s">
        <v>14</v>
      </c>
      <c r="S38" s="664" t="e">
        <f t="shared" si="10"/>
        <v>#N/A</v>
      </c>
      <c r="T38" s="663" t="s">
        <v>14</v>
      </c>
      <c r="U38" s="664" t="e">
        <f t="shared" si="11"/>
        <v>#N/A</v>
      </c>
      <c r="V38" s="663" t="s">
        <v>14</v>
      </c>
      <c r="W38" s="664" t="e">
        <f t="shared" si="12"/>
        <v>#N/A</v>
      </c>
      <c r="X38" s="1261"/>
      <c r="Y38" s="3554"/>
      <c r="Z38" s="1260" t="str">
        <f t="shared" si="13"/>
        <v>宗地面积</v>
      </c>
      <c r="AA38" s="1260" t="e">
        <f t="shared" si="3"/>
        <v>#N/A</v>
      </c>
      <c r="AB38" s="1260" t="e">
        <f t="shared" si="4"/>
        <v>#N/A</v>
      </c>
      <c r="AC38" s="1260" t="e">
        <f t="shared" si="5"/>
        <v>#N/A</v>
      </c>
    </row>
    <row r="39" spans="1:29" ht="15">
      <c r="A39" s="408"/>
      <c r="B39" s="363" t="s">
        <v>1875</v>
      </c>
      <c r="C39" s="1755"/>
      <c r="D39" s="373">
        <v>100</v>
      </c>
      <c r="E39" s="1755"/>
      <c r="F39" s="373">
        <f>SUMIF(118:118,E39,119:119)-SUMIF(118:118,C39,119:119)+100</f>
        <v>100</v>
      </c>
      <c r="G39" s="1755"/>
      <c r="H39" s="373">
        <f>SUMIF(118:118,G39,119:119)-SUMIF(118:118,C39,119:119)+100</f>
        <v>100</v>
      </c>
      <c r="I39" s="1755"/>
      <c r="J39" s="373">
        <f>SUMIF(118:118,I39,119:119)-SUMIF(118:118,C39,119:119)+100</f>
        <v>100</v>
      </c>
      <c r="K39" s="537"/>
      <c r="L39" s="2487"/>
      <c r="M39" s="2482"/>
      <c r="N39" s="2482"/>
      <c r="O39" s="2537"/>
      <c r="P39" s="3554"/>
      <c r="Q39" s="1259" t="str">
        <f t="shared" ref="Q39:Q45" si="14">B39</f>
        <v>宗地形状</v>
      </c>
      <c r="R39" s="663" t="s">
        <v>14</v>
      </c>
      <c r="S39" s="664">
        <f t="shared" si="10"/>
        <v>100</v>
      </c>
      <c r="T39" s="663" t="s">
        <v>14</v>
      </c>
      <c r="U39" s="664">
        <f t="shared" si="11"/>
        <v>100</v>
      </c>
      <c r="V39" s="663" t="s">
        <v>14</v>
      </c>
      <c r="W39" s="664">
        <f t="shared" si="12"/>
        <v>100</v>
      </c>
      <c r="X39" s="1261"/>
      <c r="Y39" s="3554"/>
      <c r="Z39" s="1260" t="str">
        <f t="shared" si="13"/>
        <v>宗地形状</v>
      </c>
      <c r="AA39" s="1260">
        <f t="shared" si="3"/>
        <v>1</v>
      </c>
      <c r="AB39" s="1260">
        <f t="shared" si="4"/>
        <v>1</v>
      </c>
      <c r="AC39" s="1260">
        <f t="shared" si="5"/>
        <v>1</v>
      </c>
    </row>
    <row r="40" spans="1:29" ht="15">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7"/>
      <c r="M40" s="2482"/>
      <c r="N40" s="2482"/>
      <c r="O40" s="2537"/>
      <c r="P40" s="3554"/>
      <c r="Q40" s="1259" t="str">
        <f t="shared" si="14"/>
        <v>临街宽度及深度</v>
      </c>
      <c r="R40" s="663" t="s">
        <v>14</v>
      </c>
      <c r="S40" s="664">
        <f t="shared" si="10"/>
        <v>100</v>
      </c>
      <c r="T40" s="663" t="s">
        <v>14</v>
      </c>
      <c r="U40" s="664">
        <f t="shared" si="11"/>
        <v>100</v>
      </c>
      <c r="V40" s="663" t="s">
        <v>14</v>
      </c>
      <c r="W40" s="664">
        <f t="shared" si="12"/>
        <v>100</v>
      </c>
      <c r="X40" s="1261"/>
      <c r="Y40" s="3554"/>
      <c r="Z40" s="1260" t="str">
        <f t="shared" si="13"/>
        <v>临街宽度及深度</v>
      </c>
      <c r="AA40" s="1260">
        <f t="shared" si="3"/>
        <v>1</v>
      </c>
      <c r="AB40" s="1260">
        <f t="shared" si="4"/>
        <v>1</v>
      </c>
      <c r="AC40" s="1260">
        <f t="shared" si="5"/>
        <v>1</v>
      </c>
    </row>
    <row r="41" spans="1:29" s="101" customFormat="1" ht="15">
      <c r="A41" s="409"/>
      <c r="B41" s="363" t="s">
        <v>1877</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554"/>
      <c r="Q41" s="1259" t="str">
        <f t="shared" si="14"/>
        <v>宗地开发程度</v>
      </c>
      <c r="R41" s="660" t="s">
        <v>14</v>
      </c>
      <c r="S41" s="661">
        <f t="shared" si="10"/>
        <v>100</v>
      </c>
      <c r="T41" s="660" t="s">
        <v>14</v>
      </c>
      <c r="U41" s="661">
        <f t="shared" si="11"/>
        <v>100</v>
      </c>
      <c r="V41" s="660" t="s">
        <v>14</v>
      </c>
      <c r="W41" s="661">
        <f t="shared" si="12"/>
        <v>100</v>
      </c>
      <c r="X41" s="662"/>
      <c r="Y41" s="3554"/>
      <c r="Z41" s="50" t="str">
        <f t="shared" si="13"/>
        <v>宗地开发程度</v>
      </c>
      <c r="AA41" s="50">
        <f t="shared" si="3"/>
        <v>1</v>
      </c>
      <c r="AB41" s="50">
        <f t="shared" si="4"/>
        <v>1</v>
      </c>
      <c r="AC41" s="50">
        <f t="shared" si="5"/>
        <v>1</v>
      </c>
    </row>
    <row r="42" spans="1:29" ht="15">
      <c r="A42" s="408"/>
      <c r="B42" s="363" t="s">
        <v>1878</v>
      </c>
      <c r="C42" s="1755"/>
      <c r="D42" s="373">
        <v>100</v>
      </c>
      <c r="E42" s="1755"/>
      <c r="F42" s="373">
        <f>SUMIF(124:124,E42,125:125)-SUMIF(124:124,C42,125:125)+100</f>
        <v>100</v>
      </c>
      <c r="G42" s="1755"/>
      <c r="H42" s="373">
        <f>SUMIF(124:124,G42,125:125)-SUMIF(124:124,C42,125:125)+100</f>
        <v>100</v>
      </c>
      <c r="I42" s="1755"/>
      <c r="J42" s="373">
        <f>SUMIF(124:124,I42,125:125)-SUMIF(124:124,C42,125:125)+100</f>
        <v>100</v>
      </c>
      <c r="K42" s="537"/>
      <c r="L42" s="2487"/>
      <c r="M42" s="2482"/>
      <c r="N42" s="2482"/>
      <c r="O42" s="2537"/>
      <c r="P42" s="3554" t="s">
        <v>1696</v>
      </c>
      <c r="Q42" s="1259" t="str">
        <f t="shared" si="14"/>
        <v>工程地质条件</v>
      </c>
      <c r="R42" s="663" t="s">
        <v>14</v>
      </c>
      <c r="S42" s="664">
        <f t="shared" si="10"/>
        <v>100</v>
      </c>
      <c r="T42" s="663" t="s">
        <v>14</v>
      </c>
      <c r="U42" s="664">
        <f t="shared" si="11"/>
        <v>100</v>
      </c>
      <c r="V42" s="663" t="s">
        <v>14</v>
      </c>
      <c r="W42" s="664">
        <f t="shared" si="12"/>
        <v>100</v>
      </c>
      <c r="X42" s="1261"/>
      <c r="Y42" s="3554" t="s">
        <v>1696</v>
      </c>
      <c r="Z42" s="1260" t="str">
        <f t="shared" si="13"/>
        <v>工程地质条件</v>
      </c>
      <c r="AA42" s="1260">
        <f t="shared" si="3"/>
        <v>1</v>
      </c>
      <c r="AB42" s="1260">
        <f t="shared" si="4"/>
        <v>1</v>
      </c>
      <c r="AC42" s="1260">
        <f t="shared" si="5"/>
        <v>1</v>
      </c>
    </row>
    <row r="43" spans="1:29" ht="15">
      <c r="A43" s="408"/>
      <c r="B43" s="1063">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7"/>
      <c r="M43" s="2482"/>
      <c r="N43" s="2482"/>
      <c r="O43" s="2537"/>
      <c r="P43" s="3554"/>
      <c r="Q43" s="1259">
        <f t="shared" si="14"/>
        <v>111</v>
      </c>
      <c r="R43" s="663" t="s">
        <v>14</v>
      </c>
      <c r="S43" s="664">
        <f t="shared" si="10"/>
        <v>100</v>
      </c>
      <c r="T43" s="663" t="s">
        <v>14</v>
      </c>
      <c r="U43" s="664">
        <f t="shared" si="11"/>
        <v>100</v>
      </c>
      <c r="V43" s="663" t="s">
        <v>14</v>
      </c>
      <c r="W43" s="664">
        <f t="shared" si="12"/>
        <v>100</v>
      </c>
      <c r="X43" s="1261"/>
      <c r="Y43" s="3554"/>
      <c r="Z43" s="1260">
        <f t="shared" si="13"/>
        <v>111</v>
      </c>
      <c r="AA43" s="1260">
        <f t="shared" si="3"/>
        <v>1</v>
      </c>
      <c r="AB43" s="1260">
        <f t="shared" si="4"/>
        <v>1</v>
      </c>
      <c r="AC43" s="1260">
        <f t="shared" si="5"/>
        <v>1</v>
      </c>
    </row>
    <row r="44" spans="1:29" ht="15">
      <c r="A44" s="408"/>
      <c r="B44" s="1063">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7"/>
      <c r="M44" s="2482"/>
      <c r="N44" s="2482"/>
      <c r="O44" s="2537"/>
      <c r="P44" s="3554"/>
      <c r="Q44" s="1259">
        <f t="shared" si="14"/>
        <v>111</v>
      </c>
      <c r="R44" s="663" t="s">
        <v>14</v>
      </c>
      <c r="S44" s="664">
        <f t="shared" si="10"/>
        <v>100</v>
      </c>
      <c r="T44" s="663" t="s">
        <v>14</v>
      </c>
      <c r="U44" s="664">
        <f t="shared" si="11"/>
        <v>100</v>
      </c>
      <c r="V44" s="663" t="s">
        <v>14</v>
      </c>
      <c r="W44" s="664">
        <f t="shared" si="12"/>
        <v>100</v>
      </c>
      <c r="X44" s="1261"/>
      <c r="Y44" s="3554"/>
      <c r="Z44" s="1260">
        <f t="shared" si="13"/>
        <v>111</v>
      </c>
      <c r="AA44" s="1260">
        <f t="shared" si="3"/>
        <v>1</v>
      </c>
      <c r="AB44" s="1260">
        <f t="shared" si="4"/>
        <v>1</v>
      </c>
      <c r="AC44" s="1260">
        <f t="shared" si="5"/>
        <v>1</v>
      </c>
    </row>
    <row r="45" spans="1:29" s="407" customFormat="1" ht="15.75" thickBot="1">
      <c r="A45" s="405"/>
      <c r="B45" s="1063">
        <v>111</v>
      </c>
      <c r="C45" s="1824"/>
      <c r="D45" s="598">
        <v>100</v>
      </c>
      <c r="E45" s="592"/>
      <c r="F45" s="376">
        <f>SUMIF(130:130,E45,131:131)-SUMIF(130:130,C45,131:131)+100</f>
        <v>100</v>
      </c>
      <c r="G45" s="592"/>
      <c r="H45" s="376">
        <f>SUMIF(130:130,G45,131:131)-SUMIF(130:130,C45,131:131)+100</f>
        <v>100</v>
      </c>
      <c r="I45" s="592"/>
      <c r="J45" s="376">
        <f>SUMIF(130:130,I45,131:131)-SUMIF(130:130,C45,131:131)+100</f>
        <v>100</v>
      </c>
      <c r="K45" s="599"/>
      <c r="L45" s="2486"/>
      <c r="M45" s="2488"/>
      <c r="N45" s="2488"/>
      <c r="O45" s="2538"/>
      <c r="P45" s="3554"/>
      <c r="Q45" s="1259">
        <f t="shared" si="14"/>
        <v>111</v>
      </c>
      <c r="R45" s="665" t="s">
        <v>14</v>
      </c>
      <c r="S45" s="666">
        <f t="shared" si="10"/>
        <v>100</v>
      </c>
      <c r="T45" s="665" t="s">
        <v>14</v>
      </c>
      <c r="U45" s="666">
        <f t="shared" si="11"/>
        <v>100</v>
      </c>
      <c r="V45" s="665" t="s">
        <v>14</v>
      </c>
      <c r="W45" s="666">
        <f t="shared" si="12"/>
        <v>100</v>
      </c>
      <c r="X45" s="667"/>
      <c r="Y45" s="3554"/>
      <c r="Z45" s="668">
        <f t="shared" si="13"/>
        <v>111</v>
      </c>
      <c r="AA45" s="1260">
        <f t="shared" si="3"/>
        <v>1</v>
      </c>
      <c r="AB45" s="1260">
        <f t="shared" si="4"/>
        <v>1</v>
      </c>
      <c r="AC45" s="1260">
        <f t="shared" si="5"/>
        <v>1</v>
      </c>
    </row>
    <row r="46" spans="1:29" ht="15">
      <c r="A46" s="415" t="s">
        <v>1844</v>
      </c>
      <c r="B46" s="1825" t="s">
        <v>1879</v>
      </c>
      <c r="C46" s="600" t="s">
        <v>0</v>
      </c>
      <c r="D46" s="417"/>
      <c r="E46" s="418"/>
      <c r="F46" s="419"/>
      <c r="G46" s="420"/>
      <c r="H46" s="421"/>
      <c r="I46" s="418"/>
      <c r="J46" s="421"/>
      <c r="K46" s="670"/>
      <c r="L46" s="2489"/>
      <c r="M46" s="2482"/>
      <c r="N46" s="2482"/>
      <c r="O46" s="2482"/>
      <c r="P46" s="3548" t="str">
        <f>A46</f>
        <v>成交单价</v>
      </c>
      <c r="Q46" s="3548"/>
      <c r="R46" s="3543">
        <f>E46</f>
        <v>0</v>
      </c>
      <c r="S46" s="3543"/>
      <c r="T46" s="3543">
        <f>G46</f>
        <v>0</v>
      </c>
      <c r="U46" s="3543"/>
      <c r="V46" s="3543">
        <f>I46</f>
        <v>0</v>
      </c>
      <c r="W46" s="3543"/>
      <c r="X46" s="384"/>
      <c r="Y46" s="669"/>
      <c r="Z46" s="384"/>
      <c r="AA46" s="384"/>
      <c r="AB46" s="384"/>
      <c r="AC46" s="384"/>
    </row>
    <row r="47" spans="1:29" ht="15.75" thickBot="1">
      <c r="A47" s="422" t="s">
        <v>1793</v>
      </c>
      <c r="B47" s="601"/>
      <c r="C47" s="425" t="e">
        <f>R48</f>
        <v>#DIV/0!</v>
      </c>
      <c r="D47" s="2136" t="s">
        <v>2135</v>
      </c>
      <c r="E47" s="425" t="e">
        <f>R47</f>
        <v>#DIV/0!</v>
      </c>
      <c r="F47" s="2137"/>
      <c r="G47" s="424" t="e">
        <f>T47</f>
        <v>#DIV/0!</v>
      </c>
      <c r="H47" s="2137"/>
      <c r="I47" s="425" t="e">
        <f>V47</f>
        <v>#DIV/0!</v>
      </c>
      <c r="J47" s="2137"/>
      <c r="K47" s="2139">
        <f>F47+H47+J47</f>
        <v>0</v>
      </c>
      <c r="L47" s="2489"/>
      <c r="M47" s="2482"/>
      <c r="N47" s="2482"/>
      <c r="O47" s="2482"/>
      <c r="P47" s="3548" t="str">
        <f>A47</f>
        <v>比较价值（元/平方米）</v>
      </c>
      <c r="Q47" s="3548"/>
      <c r="R47" s="3577" t="e">
        <f>ROUND(PRODUCT(R46,AA7:AA45),0)</f>
        <v>#DIV/0!</v>
      </c>
      <c r="S47" s="3577"/>
      <c r="T47" s="3577" t="e">
        <f>ROUND(PRODUCT(T46,AB7:AB45),0)</f>
        <v>#DIV/0!</v>
      </c>
      <c r="U47" s="3577"/>
      <c r="V47" s="3577" t="e">
        <f>ROUND(PRODUCT(V46,AC7:AC45),0)</f>
        <v>#DIV/0!</v>
      </c>
      <c r="W47" s="3577"/>
      <c r="X47" s="384"/>
      <c r="Y47" s="384"/>
      <c r="Z47" s="384"/>
      <c r="AA47" s="384"/>
      <c r="AB47" s="384"/>
      <c r="AC47" s="384"/>
    </row>
    <row r="48" spans="1:29" ht="15.75" thickBot="1">
      <c r="A48" s="426" t="s">
        <v>1880</v>
      </c>
      <c r="B48" s="427"/>
      <c r="C48" s="428" t="e">
        <f>R48</f>
        <v>#DIV/0!</v>
      </c>
      <c r="D48" s="428"/>
      <c r="E48" s="428"/>
      <c r="F48" s="428"/>
      <c r="G48" s="428"/>
      <c r="H48" s="428"/>
      <c r="I48" s="428"/>
      <c r="J48" s="428"/>
      <c r="K48" s="671"/>
      <c r="L48" s="2489"/>
      <c r="M48" s="2482"/>
      <c r="N48" s="2482"/>
      <c r="O48" s="2482"/>
      <c r="P48" s="3545" t="str">
        <f>A48</f>
        <v>估价对象XX用房的比较价值（楼面单价，元/平方米）</v>
      </c>
      <c r="Q48" s="3546"/>
      <c r="R48" s="3578" t="e">
        <f>ROUND(IF(D47="简单平均",AVERAGE(R47:W47),R47*F47+T47*H47+V47*J47),0)</f>
        <v>#DIV/0!</v>
      </c>
      <c r="S48" s="3578"/>
      <c r="T48" s="3578"/>
      <c r="U48" s="3578"/>
      <c r="V48" s="3578"/>
      <c r="W48" s="357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3"/>
      <c r="D54" s="651"/>
      <c r="E54" s="651"/>
      <c r="F54" s="651"/>
      <c r="G54" s="651"/>
      <c r="H54" s="651"/>
      <c r="I54" s="651"/>
      <c r="J54" s="651"/>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6" t="s">
        <v>1883</v>
      </c>
      <c r="D55" s="1827" t="s">
        <v>1884</v>
      </c>
      <c r="E55" s="604" t="s">
        <v>1885</v>
      </c>
      <c r="F55" s="833" t="s">
        <v>1886</v>
      </c>
      <c r="G55" s="3531" t="s">
        <v>1887</v>
      </c>
      <c r="H55" s="3579"/>
      <c r="I55" s="126" t="s">
        <v>1888</v>
      </c>
      <c r="J55" s="1828">
        <f>项目基本情况!F35</f>
        <v>0</v>
      </c>
      <c r="K55" s="1829"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6">
        <v>1</v>
      </c>
      <c r="E56" s="608">
        <f>'数据-汇总表'!E8+'数据-汇总表'!E9</f>
        <v>1279.97</v>
      </c>
      <c r="F56" s="829" t="e">
        <f t="shared" ref="F56:F64" si="15">ROUND(B56*E56/10000,0)</f>
        <v>#DIV/0!</v>
      </c>
      <c r="G56" s="3530"/>
      <c r="H56" s="3548"/>
      <c r="I56" s="834">
        <v>1</v>
      </c>
      <c r="J56" s="837">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9" t="e">
        <f>ROUND($C$48*C57*D57,0)</f>
        <v>#DIV/0!</v>
      </c>
      <c r="C57" s="162">
        <f t="shared" ref="C57:C64" si="16">IF($C$55="北京市系数",I57,J57)</f>
        <v>0.7</v>
      </c>
      <c r="D57" s="887">
        <v>0.25</v>
      </c>
      <c r="E57" s="612"/>
      <c r="F57" s="829" t="e">
        <f t="shared" si="15"/>
        <v>#DIV/0!</v>
      </c>
      <c r="G57" s="2745" t="s">
        <v>1892</v>
      </c>
      <c r="H57" s="830" t="str">
        <f>项目基本情况!B37</f>
        <v>二级</v>
      </c>
      <c r="I57" s="834">
        <f>SUMIF(修正!A57:A68,H57,修正!B57:B68)</f>
        <v>0.7</v>
      </c>
      <c r="J57" s="838"/>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9" t="e">
        <f t="shared" ref="B58:B64" si="17">ROUND($C$48*C58*D58,0)</f>
        <v>#DIV/0!</v>
      </c>
      <c r="C58" s="162">
        <f t="shared" si="16"/>
        <v>0.4</v>
      </c>
      <c r="D58" s="887">
        <v>0.25</v>
      </c>
      <c r="E58" s="612"/>
      <c r="F58" s="829" t="e">
        <f t="shared" si="15"/>
        <v>#DIV/0!</v>
      </c>
      <c r="G58" s="2746"/>
      <c r="H58" s="830" t="str">
        <f>项目基本情况!B37</f>
        <v>二级</v>
      </c>
      <c r="I58" s="834">
        <f>SUMIF(修正!A57:A68,H58,修正!C57:C68)</f>
        <v>0.4</v>
      </c>
      <c r="J58" s="838"/>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9" t="e">
        <f t="shared" si="17"/>
        <v>#DIV/0!</v>
      </c>
      <c r="C59" s="162">
        <f t="shared" si="16"/>
        <v>0.3</v>
      </c>
      <c r="D59" s="887">
        <v>0.25</v>
      </c>
      <c r="E59" s="612"/>
      <c r="F59" s="829" t="e">
        <f t="shared" si="15"/>
        <v>#DIV/0!</v>
      </c>
      <c r="G59" s="2746"/>
      <c r="H59" s="830" t="str">
        <f>项目基本情况!B37</f>
        <v>二级</v>
      </c>
      <c r="I59" s="834">
        <f>SUMIF(修正!A57:A68,H59,修正!D57:D68)</f>
        <v>0.3</v>
      </c>
      <c r="J59" s="838"/>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9" t="e">
        <f t="shared" si="17"/>
        <v>#DIV/0!</v>
      </c>
      <c r="C60" s="162">
        <f t="shared" si="16"/>
        <v>0</v>
      </c>
      <c r="D60" s="887">
        <v>0.25</v>
      </c>
      <c r="E60" s="208">
        <f>'数据-汇总表'!E11</f>
        <v>0</v>
      </c>
      <c r="F60" s="829" t="e">
        <f t="shared" si="15"/>
        <v>#DIV/0!</v>
      </c>
      <c r="G60" s="1830" t="s">
        <v>1896</v>
      </c>
      <c r="H60" s="830">
        <f>项目基本情况!C37</f>
        <v>0</v>
      </c>
      <c r="I60" s="834">
        <f>SUMIF(修正!A57:A68,H60,修正!E57:E68)</f>
        <v>0</v>
      </c>
      <c r="J60" s="838"/>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9" t="e">
        <f t="shared" si="17"/>
        <v>#DIV/0!</v>
      </c>
      <c r="C61" s="162">
        <f t="shared" si="16"/>
        <v>0</v>
      </c>
      <c r="D61" s="887">
        <v>0.25</v>
      </c>
      <c r="E61" s="208">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9" t="e">
        <f t="shared" si="17"/>
        <v>#DIV/0!</v>
      </c>
      <c r="C62" s="162">
        <f t="shared" si="16"/>
        <v>0</v>
      </c>
      <c r="D62" s="887">
        <v>0.25</v>
      </c>
      <c r="E62" s="208">
        <f>'数据-汇总表'!E13</f>
        <v>0</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9" t="e">
        <f t="shared" si="17"/>
        <v>#DIV/0!</v>
      </c>
      <c r="C63" s="162">
        <f t="shared" si="16"/>
        <v>0.2</v>
      </c>
      <c r="D63" s="887">
        <v>0.25</v>
      </c>
      <c r="E63" s="208">
        <f>'数据-汇总表'!E14</f>
        <v>0</v>
      </c>
      <c r="F63" s="829" t="e">
        <f t="shared" si="15"/>
        <v>#DIV/0!</v>
      </c>
      <c r="G63" s="1830" t="s">
        <v>1892</v>
      </c>
      <c r="H63" s="830" t="str">
        <f>项目基本情况!B37</f>
        <v>二级</v>
      </c>
      <c r="I63" s="834">
        <f>SUMIF(修正!A57:A68,H63,修正!G57:G68)</f>
        <v>0.2</v>
      </c>
      <c r="J63" s="838"/>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9" t="e">
        <f t="shared" si="17"/>
        <v>#DIV/0!</v>
      </c>
      <c r="C64" s="162">
        <f t="shared" si="16"/>
        <v>0</v>
      </c>
      <c r="D64" s="887">
        <v>0.25</v>
      </c>
      <c r="E64" s="208">
        <f>'数据-汇总表'!E15</f>
        <v>0</v>
      </c>
      <c r="F64" s="829" t="e">
        <f t="shared" si="15"/>
        <v>#DIV/0!</v>
      </c>
      <c r="G64" s="1831" t="s">
        <v>1896</v>
      </c>
      <c r="H64" s="840">
        <f>项目基本情况!C37</f>
        <v>0</v>
      </c>
      <c r="I64" s="836">
        <f>SUMIF(修正!A57:A68,H64,修正!G57:G68)</f>
        <v>0</v>
      </c>
      <c r="J64" s="839"/>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1279.97</v>
      </c>
      <c r="F65" s="615" t="e">
        <f>IF(B46="楼面地价",SUM(F56:F64),ROUND(C48*E65/10000,0))</f>
        <v>#DIV/0!</v>
      </c>
      <c r="G65" s="673"/>
      <c r="H65" s="673"/>
      <c r="I65" s="673"/>
      <c r="J65" s="673"/>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2"/>
      <c r="C66" s="653"/>
      <c r="D66" s="384"/>
      <c r="E66" s="384"/>
      <c r="F66" s="384"/>
      <c r="G66" s="384"/>
      <c r="H66" s="384"/>
      <c r="I66" s="384"/>
      <c r="J66" s="857"/>
      <c r="K66" s="831"/>
      <c r="L66" s="832"/>
      <c r="M66" s="857"/>
      <c r="N66" s="857"/>
      <c r="O66" s="857"/>
      <c r="P66" s="2482"/>
      <c r="Q66" s="2482"/>
      <c r="R66" s="2482"/>
      <c r="S66" s="2482"/>
      <c r="T66" s="2482"/>
      <c r="U66" s="2482"/>
      <c r="V66" s="2482"/>
      <c r="W66" s="2482"/>
      <c r="X66" s="2482"/>
      <c r="Y66" s="2482"/>
      <c r="Z66" s="2482"/>
      <c r="AA66" s="2482"/>
      <c r="AB66" s="2482"/>
      <c r="AC66" s="2482"/>
    </row>
    <row r="67" spans="1:29">
      <c r="A67" s="384"/>
      <c r="B67" s="652"/>
      <c r="C67" s="652" t="str">
        <f>YEAR(C7)&amp;"-"&amp;MONTH(C7)&amp;"-1"</f>
        <v>2024-6-1</v>
      </c>
      <c r="D67" s="652">
        <f>EDATE(C67,-3)</f>
        <v>45352</v>
      </c>
      <c r="E67" s="652">
        <f>EDATE(D67,-3)</f>
        <v>45261</v>
      </c>
      <c r="F67" s="652">
        <f t="shared" ref="F67:O67" si="18">EDATE(E67,-3)</f>
        <v>45170</v>
      </c>
      <c r="G67" s="652">
        <f t="shared" si="18"/>
        <v>45078</v>
      </c>
      <c r="H67" s="652">
        <f t="shared" si="18"/>
        <v>44986</v>
      </c>
      <c r="I67" s="652">
        <f t="shared" si="18"/>
        <v>44896</v>
      </c>
      <c r="J67" s="652">
        <f t="shared" si="18"/>
        <v>44805</v>
      </c>
      <c r="K67" s="652">
        <f t="shared" si="18"/>
        <v>44713</v>
      </c>
      <c r="L67" s="652">
        <f t="shared" si="18"/>
        <v>44621</v>
      </c>
      <c r="M67" s="652">
        <f t="shared" si="18"/>
        <v>44531</v>
      </c>
      <c r="N67" s="652">
        <f t="shared" si="18"/>
        <v>44440</v>
      </c>
      <c r="O67" s="652">
        <f t="shared" si="18"/>
        <v>44348</v>
      </c>
      <c r="P67" s="2482"/>
      <c r="Q67" s="2482"/>
      <c r="R67" s="2482"/>
      <c r="S67" s="2482"/>
      <c r="T67" s="2482"/>
      <c r="U67" s="2482"/>
      <c r="V67" s="2482"/>
      <c r="W67" s="2482"/>
      <c r="X67" s="2482"/>
      <c r="Y67" s="2482"/>
      <c r="Z67" s="2482"/>
      <c r="AA67" s="2482"/>
      <c r="AB67" s="2482"/>
      <c r="AC67" s="2482"/>
    </row>
    <row r="68" spans="1:29" ht="21.75" thickBot="1">
      <c r="A68" s="654" t="s">
        <v>1798</v>
      </c>
      <c r="B68" s="384"/>
      <c r="C68" s="655"/>
      <c r="D68" s="655"/>
      <c r="E68" s="655"/>
      <c r="F68" s="656"/>
      <c r="G68" s="656"/>
      <c r="H68" s="655"/>
      <c r="I68" s="655"/>
      <c r="J68" s="882"/>
      <c r="K68" s="883"/>
      <c r="L68" s="884"/>
      <c r="M68" s="882"/>
      <c r="N68" s="2532"/>
      <c r="O68" s="2532"/>
      <c r="P68" s="2532"/>
      <c r="Q68" s="2503"/>
      <c r="R68" s="2482"/>
      <c r="S68" s="2482"/>
      <c r="T68" s="2482"/>
      <c r="U68" s="2482"/>
      <c r="V68" s="2482"/>
      <c r="W68" s="2482"/>
      <c r="X68" s="2482"/>
      <c r="Y68" s="2482"/>
      <c r="Z68" s="2482"/>
      <c r="AA68" s="2482"/>
      <c r="AB68" s="2482"/>
      <c r="AC68" s="2482"/>
    </row>
    <row r="69" spans="1:29" s="441" customFormat="1" ht="15">
      <c r="A69" s="1625" t="s">
        <v>1904</v>
      </c>
      <c r="B69" s="1042"/>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5"/>
      <c r="Q69" s="2505"/>
      <c r="R69" s="2505"/>
      <c r="S69" s="2505"/>
      <c r="T69" s="2505"/>
      <c r="U69" s="2505"/>
      <c r="V69" s="2505"/>
      <c r="W69" s="2505"/>
      <c r="X69" s="2505"/>
      <c r="Y69" s="2505"/>
      <c r="Z69" s="2505"/>
      <c r="AA69" s="2505"/>
      <c r="AB69" s="2505"/>
      <c r="AC69" s="2505"/>
    </row>
    <row r="70" spans="1:29" s="101" customFormat="1" ht="30" customHeight="1">
      <c r="A70" s="1832" t="s">
        <v>1905</v>
      </c>
      <c r="B70" s="279" t="str">
        <f>"北京市平均增长率"&amp;TEXT(SUMIF(基准地价修正!N25:N29,A70,基准地价修正!P25:P29),"0.00%")</f>
        <v>北京市平均增长率0.00%</v>
      </c>
      <c r="C70" s="529">
        <v>100</v>
      </c>
      <c r="D70" s="6"/>
      <c r="E70" s="6"/>
      <c r="F70" s="6"/>
      <c r="G70" s="6"/>
      <c r="H70" s="6"/>
      <c r="I70" s="6"/>
      <c r="J70" s="6"/>
      <c r="K70" s="6"/>
      <c r="L70" s="6"/>
      <c r="M70" s="1062"/>
      <c r="N70" s="6"/>
      <c r="O70" s="1094"/>
      <c r="P70" s="2503"/>
      <c r="Q70" s="2434"/>
      <c r="R70" s="2434"/>
      <c r="S70" s="2434"/>
      <c r="T70" s="2434"/>
      <c r="U70" s="2434"/>
      <c r="V70" s="2434"/>
      <c r="W70" s="2434"/>
      <c r="X70" s="2434"/>
      <c r="Y70" s="2434"/>
      <c r="Z70" s="2434"/>
      <c r="AA70" s="2434"/>
      <c r="AB70" s="2434"/>
      <c r="AC70" s="2434"/>
    </row>
    <row r="71" spans="1:29" s="101" customFormat="1" ht="15.75" thickBot="1">
      <c r="A71" s="448" t="s">
        <v>1716</v>
      </c>
      <c r="B71" s="449"/>
      <c r="C71" s="450"/>
      <c r="D71" s="451"/>
      <c r="E71" s="451"/>
      <c r="F71" s="451"/>
      <c r="G71" s="451"/>
      <c r="H71" s="451"/>
      <c r="I71" s="451"/>
      <c r="J71" s="451"/>
      <c r="K71" s="451"/>
      <c r="L71" s="451"/>
      <c r="M71" s="452"/>
      <c r="N71" s="451"/>
      <c r="O71" s="885"/>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1776</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1">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1719</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1906</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1"/>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1914</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1915</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1916</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1917</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8"/>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7"/>
      <c r="E1" s="647"/>
      <c r="F1" s="646" t="s">
        <v>1767</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1462</v>
      </c>
      <c r="B2" s="589" t="e">
        <f>F61</f>
        <v>#DIV/0!</v>
      </c>
      <c r="C2" s="851"/>
      <c r="D2" s="851"/>
      <c r="E2" s="851"/>
      <c r="F2" s="852"/>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ROUND(IF(D3="",B2*10000/'数据-汇总表'!E3,B2*10000/D3),0)</f>
        <v>#DIV/0!</v>
      </c>
      <c r="C3" s="194" t="s">
        <v>1869</v>
      </c>
      <c r="D3" s="1107"/>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1" t="s">
        <v>1770</v>
      </c>
      <c r="D4" s="3532"/>
      <c r="E4" s="3533" t="s">
        <v>1771</v>
      </c>
      <c r="F4" s="3534"/>
      <c r="G4" s="3531" t="s">
        <v>1772</v>
      </c>
      <c r="H4" s="3532"/>
      <c r="I4" s="3531" t="s">
        <v>1773</v>
      </c>
      <c r="J4" s="3532"/>
      <c r="K4" s="536" t="s">
        <v>1774</v>
      </c>
      <c r="L4" s="2481"/>
      <c r="M4" s="2482"/>
      <c r="N4" s="2482"/>
      <c r="O4" s="2482"/>
      <c r="P4" s="3535" t="s">
        <v>1775</v>
      </c>
      <c r="Q4" s="3536"/>
      <c r="R4" s="3518" t="s">
        <v>1771</v>
      </c>
      <c r="S4" s="3519"/>
      <c r="T4" s="3518" t="s">
        <v>1772</v>
      </c>
      <c r="U4" s="3519"/>
      <c r="V4" s="3543" t="s">
        <v>1773</v>
      </c>
      <c r="W4" s="3543"/>
      <c r="X4" s="1261"/>
      <c r="Y4" s="3518" t="s">
        <v>1775</v>
      </c>
      <c r="Z4" s="3519"/>
      <c r="AA4" s="3513" t="s">
        <v>1771</v>
      </c>
      <c r="AB4" s="3514" t="s">
        <v>1772</v>
      </c>
      <c r="AC4" s="3513" t="s">
        <v>1773</v>
      </c>
    </row>
    <row r="5" spans="1:29" ht="15">
      <c r="A5" s="347"/>
      <c r="B5" s="348"/>
      <c r="C5" s="3524" t="s">
        <v>1673</v>
      </c>
      <c r="D5" s="3525"/>
      <c r="E5" s="3522" t="s">
        <v>1674</v>
      </c>
      <c r="F5" s="3523"/>
      <c r="G5" s="3524" t="s">
        <v>1675</v>
      </c>
      <c r="H5" s="3525"/>
      <c r="I5" s="3524" t="s">
        <v>1676</v>
      </c>
      <c r="J5" s="3525"/>
      <c r="K5" s="536"/>
      <c r="L5" s="2481"/>
      <c r="M5" s="2482"/>
      <c r="N5" s="2482"/>
      <c r="O5" s="2482"/>
      <c r="P5" s="3537"/>
      <c r="Q5" s="3538"/>
      <c r="R5" s="3520"/>
      <c r="S5" s="3521"/>
      <c r="T5" s="3520"/>
      <c r="U5" s="3521"/>
      <c r="V5" s="3543"/>
      <c r="W5" s="3543"/>
      <c r="X5" s="1261"/>
      <c r="Y5" s="3520"/>
      <c r="Z5" s="3521"/>
      <c r="AA5" s="3514"/>
      <c r="AB5" s="3514"/>
      <c r="AC5" s="3514"/>
    </row>
    <row r="6" spans="1:29" ht="15.75" thickBot="1">
      <c r="A6" s="349"/>
      <c r="B6" s="350"/>
      <c r="C6" s="3580" t="s">
        <v>1919</v>
      </c>
      <c r="D6" s="3581"/>
      <c r="E6" s="3582" t="s">
        <v>1919</v>
      </c>
      <c r="F6" s="3583"/>
      <c r="G6" s="3580" t="s">
        <v>1919</v>
      </c>
      <c r="H6" s="3581"/>
      <c r="I6" s="3580" t="s">
        <v>1919</v>
      </c>
      <c r="J6" s="3581"/>
      <c r="K6" s="536" t="s">
        <v>1678</v>
      </c>
      <c r="L6" s="2481"/>
      <c r="M6" s="2482"/>
      <c r="N6" s="2482"/>
      <c r="O6" s="2482"/>
      <c r="P6" s="3539"/>
      <c r="Q6" s="3540"/>
      <c r="R6" s="3520"/>
      <c r="S6" s="3521"/>
      <c r="T6" s="3541"/>
      <c r="U6" s="3542"/>
      <c r="V6" s="3543"/>
      <c r="W6" s="3543"/>
      <c r="X6" s="1261"/>
      <c r="Y6" s="3541"/>
      <c r="Z6" s="3542"/>
      <c r="AA6" s="3515"/>
      <c r="AB6" s="3515"/>
      <c r="AC6" s="3515"/>
    </row>
    <row r="7" spans="1:29" s="101" customFormat="1" ht="15.75" thickBot="1">
      <c r="A7" s="351" t="s">
        <v>1679</v>
      </c>
      <c r="B7" s="352"/>
      <c r="C7" s="353">
        <f>'数据-取费表'!B2</f>
        <v>45467</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516" t="s">
        <v>1680</v>
      </c>
      <c r="Q7" s="3544"/>
      <c r="R7" s="660" t="s">
        <v>14</v>
      </c>
      <c r="S7" s="661">
        <f t="shared" ref="S7:S15" si="0">F7</f>
        <v>0</v>
      </c>
      <c r="T7" s="660" t="s">
        <v>14</v>
      </c>
      <c r="U7" s="661">
        <f t="shared" ref="U7:U15" si="1">H7</f>
        <v>0</v>
      </c>
      <c r="V7" s="660" t="s">
        <v>14</v>
      </c>
      <c r="W7" s="661">
        <f t="shared" ref="W7:W15" si="2">J7</f>
        <v>0</v>
      </c>
      <c r="X7" s="662"/>
      <c r="Y7" s="3516" t="s">
        <v>1680</v>
      </c>
      <c r="Z7" s="351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516" t="s">
        <v>1683</v>
      </c>
      <c r="Q8" s="3517"/>
      <c r="R8" s="660" t="s">
        <v>14</v>
      </c>
      <c r="S8" s="661">
        <f t="shared" si="0"/>
        <v>0</v>
      </c>
      <c r="T8" s="660" t="s">
        <v>14</v>
      </c>
      <c r="U8" s="661">
        <f t="shared" si="1"/>
        <v>0</v>
      </c>
      <c r="V8" s="660" t="s">
        <v>14</v>
      </c>
      <c r="W8" s="661">
        <f t="shared" si="2"/>
        <v>0</v>
      </c>
      <c r="X8" s="662"/>
      <c r="Y8" s="3516" t="s">
        <v>1683</v>
      </c>
      <c r="Z8" s="3517"/>
      <c r="AA8" s="50" t="e">
        <f t="shared" ref="AA8:AA40" si="3">D8/F8</f>
        <v>#DIV/0!</v>
      </c>
      <c r="AB8" s="50" t="e">
        <f t="shared" ref="AB8:AB40" si="4">D8/H8</f>
        <v>#DIV/0!</v>
      </c>
      <c r="AC8" s="50" t="e">
        <f t="shared" ref="AC8:AC40" si="5">D8/J8</f>
        <v>#DIV/0!</v>
      </c>
    </row>
    <row r="9" spans="1:29" s="101" customFormat="1">
      <c r="A9" s="358" t="s">
        <v>1684</v>
      </c>
      <c r="B9" s="59" t="s">
        <v>1685</v>
      </c>
      <c r="C9" s="1820"/>
      <c r="D9" s="58">
        <v>100</v>
      </c>
      <c r="E9" s="1820"/>
      <c r="F9" s="58">
        <f>SUMIF(70:70,E9,71:71)-SUMIF(70:70,C9,71:71)+100</f>
        <v>100</v>
      </c>
      <c r="G9" s="1820"/>
      <c r="H9" s="58">
        <f>SUMIF(70:70,G9,71:71)-SUMIF(70:70,C9,71:71)+100</f>
        <v>100</v>
      </c>
      <c r="I9" s="1820"/>
      <c r="J9" s="58">
        <f>SUMIF(70:70,I9,71:71)-SUMIF(70:70,C9,71:71)+100</f>
        <v>100</v>
      </c>
      <c r="K9" s="38"/>
      <c r="L9" s="2483"/>
      <c r="M9" s="2434"/>
      <c r="N9" s="2434"/>
      <c r="O9" s="2535"/>
      <c r="P9" s="3548" t="s">
        <v>1686</v>
      </c>
      <c r="Q9" s="529" t="str">
        <f t="shared" ref="Q9:Q15" si="6">B9</f>
        <v>用途</v>
      </c>
      <c r="R9" s="660" t="s">
        <v>14</v>
      </c>
      <c r="S9" s="661">
        <f t="shared" si="0"/>
        <v>100</v>
      </c>
      <c r="T9" s="660" t="s">
        <v>14</v>
      </c>
      <c r="U9" s="661">
        <f t="shared" si="1"/>
        <v>100</v>
      </c>
      <c r="V9" s="660" t="s">
        <v>14</v>
      </c>
      <c r="W9" s="661">
        <f t="shared" si="2"/>
        <v>100</v>
      </c>
      <c r="X9" s="662"/>
      <c r="Y9" s="346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153</v>
      </c>
      <c r="G10" s="370"/>
      <c r="H10" s="118">
        <f>ROUND(100/'数据-取费表'!G16,0)</f>
        <v>153</v>
      </c>
      <c r="I10" s="370"/>
      <c r="J10" s="118">
        <f>ROUND(100/'数据-取费表'!G16,0)</f>
        <v>153</v>
      </c>
      <c r="K10" s="590"/>
      <c r="L10" s="2484"/>
      <c r="M10" s="2485"/>
      <c r="N10" s="2485"/>
      <c r="O10" s="2536"/>
      <c r="P10" s="3548"/>
      <c r="Q10" s="529" t="str">
        <f t="shared" si="6"/>
        <v>土地使用年限（年）</v>
      </c>
      <c r="R10" s="660" t="s">
        <v>14</v>
      </c>
      <c r="S10" s="661">
        <f t="shared" si="0"/>
        <v>153</v>
      </c>
      <c r="T10" s="660" t="s">
        <v>14</v>
      </c>
      <c r="U10" s="661">
        <f t="shared" si="1"/>
        <v>153</v>
      </c>
      <c r="V10" s="660" t="s">
        <v>14</v>
      </c>
      <c r="W10" s="661">
        <f t="shared" si="2"/>
        <v>153</v>
      </c>
      <c r="X10" s="662"/>
      <c r="Y10" s="3460"/>
      <c r="Z10" s="50" t="str">
        <f t="shared" si="7"/>
        <v>土地使用年限（年）</v>
      </c>
      <c r="AA10" s="50">
        <f t="shared" si="3"/>
        <v>0.65359477124183007</v>
      </c>
      <c r="AB10" s="50">
        <f t="shared" si="4"/>
        <v>0.65359477124183007</v>
      </c>
      <c r="AC10" s="50">
        <f t="shared" si="5"/>
        <v>0.65359477124183007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6"/>
      <c r="M11" s="2482"/>
      <c r="N11" s="2482"/>
      <c r="O11" s="2537"/>
      <c r="P11" s="3548"/>
      <c r="Q11" s="529" t="str">
        <f t="shared" si="6"/>
        <v>容积率</v>
      </c>
      <c r="R11" s="660" t="s">
        <v>14</v>
      </c>
      <c r="S11" s="661" t="e">
        <f t="shared" si="0"/>
        <v>#N/A</v>
      </c>
      <c r="T11" s="660" t="s">
        <v>14</v>
      </c>
      <c r="U11" s="661" t="e">
        <f t="shared" si="1"/>
        <v>#N/A</v>
      </c>
      <c r="V11" s="660" t="s">
        <v>14</v>
      </c>
      <c r="W11" s="661" t="e">
        <f t="shared" si="2"/>
        <v>#N/A</v>
      </c>
      <c r="X11" s="662"/>
      <c r="Y11" s="346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3"/>
      <c r="M12" s="2434"/>
      <c r="N12" s="2434"/>
      <c r="O12" s="2535"/>
      <c r="P12" s="3548"/>
      <c r="Q12" s="529">
        <f t="shared" si="6"/>
        <v>111</v>
      </c>
      <c r="R12" s="660" t="s">
        <v>14</v>
      </c>
      <c r="S12" s="661">
        <f t="shared" si="0"/>
        <v>100</v>
      </c>
      <c r="T12" s="660" t="s">
        <v>14</v>
      </c>
      <c r="U12" s="661">
        <f t="shared" si="1"/>
        <v>100</v>
      </c>
      <c r="V12" s="660" t="s">
        <v>14</v>
      </c>
      <c r="W12" s="661">
        <f t="shared" si="2"/>
        <v>100</v>
      </c>
      <c r="X12" s="662"/>
      <c r="Y12" s="346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7"/>
      <c r="M13" s="2482"/>
      <c r="N13" s="2482"/>
      <c r="O13" s="2537"/>
      <c r="P13" s="3548"/>
      <c r="Q13" s="529">
        <f t="shared" si="6"/>
        <v>111</v>
      </c>
      <c r="R13" s="660" t="s">
        <v>14</v>
      </c>
      <c r="S13" s="661">
        <f t="shared" si="0"/>
        <v>100</v>
      </c>
      <c r="T13" s="660" t="s">
        <v>14</v>
      </c>
      <c r="U13" s="661">
        <f t="shared" si="1"/>
        <v>100</v>
      </c>
      <c r="V13" s="660" t="s">
        <v>14</v>
      </c>
      <c r="W13" s="661">
        <f t="shared" si="2"/>
        <v>100</v>
      </c>
      <c r="X13" s="662"/>
      <c r="Y13" s="3460"/>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7"/>
      <c r="M14" s="2482"/>
      <c r="N14" s="2482"/>
      <c r="O14" s="2537"/>
      <c r="P14" s="3548"/>
      <c r="Q14" s="529">
        <f t="shared" si="6"/>
        <v>111</v>
      </c>
      <c r="R14" s="660" t="s">
        <v>14</v>
      </c>
      <c r="S14" s="661">
        <f t="shared" si="0"/>
        <v>100</v>
      </c>
      <c r="T14" s="660" t="s">
        <v>14</v>
      </c>
      <c r="U14" s="661">
        <f t="shared" si="1"/>
        <v>100</v>
      </c>
      <c r="V14" s="660" t="s">
        <v>14</v>
      </c>
      <c r="W14" s="661">
        <f t="shared" si="2"/>
        <v>100</v>
      </c>
      <c r="X14" s="662"/>
      <c r="Y14" s="3460"/>
      <c r="Z14" s="50">
        <f t="shared" si="7"/>
        <v>111</v>
      </c>
      <c r="AA14" s="50">
        <f t="shared" si="3"/>
        <v>1</v>
      </c>
      <c r="AB14" s="50">
        <f t="shared" si="4"/>
        <v>1</v>
      </c>
      <c r="AC14" s="50">
        <f t="shared" si="5"/>
        <v>1</v>
      </c>
    </row>
    <row r="15" spans="1:29" ht="71.25">
      <c r="A15" s="378" t="s">
        <v>1690</v>
      </c>
      <c r="B15" s="552" t="s">
        <v>1920</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7"/>
      <c r="M15" s="2482"/>
      <c r="N15" s="2482"/>
      <c r="O15" s="2537"/>
      <c r="P15" s="3549" t="s">
        <v>1691</v>
      </c>
      <c r="Q15" s="1259" t="str">
        <f t="shared" si="6"/>
        <v>产业集聚程度</v>
      </c>
      <c r="R15" s="663" t="s">
        <v>14</v>
      </c>
      <c r="S15" s="664">
        <f t="shared" si="0"/>
        <v>100</v>
      </c>
      <c r="T15" s="663" t="s">
        <v>14</v>
      </c>
      <c r="U15" s="664">
        <f t="shared" si="1"/>
        <v>100</v>
      </c>
      <c r="V15" s="663" t="s">
        <v>14</v>
      </c>
      <c r="W15" s="664">
        <f t="shared" si="2"/>
        <v>100</v>
      </c>
      <c r="X15" s="1261"/>
      <c r="Y15" s="3549"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7"/>
      <c r="M16" s="2482"/>
      <c r="N16" s="2482"/>
      <c r="O16" s="2537"/>
      <c r="P16" s="3550"/>
      <c r="Q16" s="1259"/>
      <c r="R16" s="663"/>
      <c r="S16" s="664"/>
      <c r="T16" s="663"/>
      <c r="U16" s="664"/>
      <c r="V16" s="663"/>
      <c r="W16" s="664"/>
      <c r="X16" s="1261"/>
      <c r="Y16" s="3550"/>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7"/>
      <c r="M17" s="2482"/>
      <c r="N17" s="2482"/>
      <c r="O17" s="2537"/>
      <c r="P17" s="3550"/>
      <c r="Q17" s="1259" t="str">
        <f>B17</f>
        <v>交通便捷度</v>
      </c>
      <c r="R17" s="663" t="s">
        <v>14</v>
      </c>
      <c r="S17" s="664">
        <f>F17</f>
        <v>100</v>
      </c>
      <c r="T17" s="663" t="s">
        <v>14</v>
      </c>
      <c r="U17" s="664">
        <f>H17</f>
        <v>100</v>
      </c>
      <c r="V17" s="663" t="s">
        <v>14</v>
      </c>
      <c r="W17" s="664">
        <f>J17</f>
        <v>100</v>
      </c>
      <c r="X17" s="1261"/>
      <c r="Y17" s="3550"/>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7"/>
      <c r="M18" s="2482"/>
      <c r="N18" s="2482"/>
      <c r="O18" s="2537"/>
      <c r="P18" s="3550"/>
      <c r="Q18" s="1259"/>
      <c r="R18" s="663"/>
      <c r="S18" s="664"/>
      <c r="T18" s="663"/>
      <c r="U18" s="664"/>
      <c r="V18" s="663"/>
      <c r="W18" s="664"/>
      <c r="X18" s="1261"/>
      <c r="Y18" s="3550"/>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7"/>
      <c r="M19" s="2482"/>
      <c r="N19" s="2482"/>
      <c r="O19" s="2537"/>
      <c r="P19" s="3550"/>
      <c r="Q19" s="1259" t="str">
        <f t="shared" ref="Q19:Q33" si="8">B19</f>
        <v>区域土地利用方向</v>
      </c>
      <c r="R19" s="663" t="s">
        <v>14</v>
      </c>
      <c r="S19" s="664">
        <f>F19</f>
        <v>100</v>
      </c>
      <c r="T19" s="663" t="s">
        <v>14</v>
      </c>
      <c r="U19" s="664">
        <f>H19</f>
        <v>100</v>
      </c>
      <c r="V19" s="663" t="s">
        <v>14</v>
      </c>
      <c r="W19" s="664">
        <f>J19</f>
        <v>100</v>
      </c>
      <c r="X19" s="1261"/>
      <c r="Y19" s="3550"/>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4"/>
      <c r="L20" s="2487"/>
      <c r="M20" s="2482"/>
      <c r="N20" s="2482"/>
      <c r="O20" s="2537"/>
      <c r="P20" s="3550"/>
      <c r="Q20" s="1259"/>
      <c r="R20" s="663"/>
      <c r="S20" s="664"/>
      <c r="T20" s="663"/>
      <c r="U20" s="664"/>
      <c r="V20" s="663"/>
      <c r="W20" s="664"/>
      <c r="X20" s="1261"/>
      <c r="Y20" s="3550"/>
      <c r="Z20" s="1260"/>
      <c r="AA20" s="1260"/>
      <c r="AB20" s="1260"/>
      <c r="AC20" s="1260"/>
    </row>
    <row r="21" spans="1:29" ht="71.25">
      <c r="A21" s="347"/>
      <c r="B21" s="554" t="s">
        <v>1921</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7"/>
      <c r="M21" s="2482"/>
      <c r="N21" s="2482"/>
      <c r="O21" s="2537"/>
      <c r="P21" s="3550"/>
      <c r="Q21" s="1259" t="str">
        <f t="shared" si="8"/>
        <v>环境状况</v>
      </c>
      <c r="R21" s="663" t="s">
        <v>14</v>
      </c>
      <c r="S21" s="664">
        <f>F21</f>
        <v>100</v>
      </c>
      <c r="T21" s="663" t="s">
        <v>14</v>
      </c>
      <c r="U21" s="664">
        <f>H21</f>
        <v>100</v>
      </c>
      <c r="V21" s="663" t="s">
        <v>14</v>
      </c>
      <c r="W21" s="664">
        <f>J21</f>
        <v>100</v>
      </c>
      <c r="X21" s="1261"/>
      <c r="Y21" s="3550"/>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7"/>
      <c r="M22" s="2482"/>
      <c r="N22" s="2482"/>
      <c r="O22" s="2537"/>
      <c r="P22" s="3550"/>
      <c r="Q22" s="1259"/>
      <c r="R22" s="663"/>
      <c r="S22" s="664"/>
      <c r="T22" s="663"/>
      <c r="U22" s="664"/>
      <c r="V22" s="663"/>
      <c r="W22" s="664"/>
      <c r="X22" s="1261"/>
      <c r="Y22" s="3550"/>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83"/>
      <c r="M23" s="2434"/>
      <c r="N23" s="2434"/>
      <c r="O23" s="2535"/>
      <c r="P23" s="3550"/>
      <c r="Q23" s="529" t="str">
        <f t="shared" si="8"/>
        <v>公共配套设施</v>
      </c>
      <c r="R23" s="660" t="s">
        <v>14</v>
      </c>
      <c r="S23" s="661">
        <f>F23</f>
        <v>100</v>
      </c>
      <c r="T23" s="660" t="s">
        <v>14</v>
      </c>
      <c r="U23" s="661">
        <f>H23</f>
        <v>100</v>
      </c>
      <c r="V23" s="660" t="s">
        <v>14</v>
      </c>
      <c r="W23" s="661">
        <f>J23</f>
        <v>100</v>
      </c>
      <c r="X23" s="662"/>
      <c r="Y23" s="3550"/>
      <c r="Z23" s="50" t="str">
        <f>Q23</f>
        <v>公共配套设施</v>
      </c>
      <c r="AA23" s="1260">
        <f>D23/F23</f>
        <v>1</v>
      </c>
      <c r="AB23" s="1260">
        <f>D23/H23</f>
        <v>1</v>
      </c>
      <c r="AC23" s="1260">
        <f>D23/J23</f>
        <v>1</v>
      </c>
    </row>
    <row r="24" spans="1:29" s="101" customFormat="1" ht="15">
      <c r="A24" s="442"/>
      <c r="B24" s="400"/>
      <c r="C24" s="1821"/>
      <c r="D24" s="386"/>
      <c r="E24" s="1753"/>
      <c r="F24" s="386"/>
      <c r="G24" s="1753"/>
      <c r="H24" s="386"/>
      <c r="I24" s="385"/>
      <c r="J24" s="386"/>
      <c r="K24" s="590"/>
      <c r="L24" s="2483"/>
      <c r="M24" s="2434"/>
      <c r="N24" s="2434"/>
      <c r="O24" s="2535"/>
      <c r="P24" s="3550"/>
      <c r="Q24" s="529"/>
      <c r="R24" s="660"/>
      <c r="S24" s="661"/>
      <c r="T24" s="660"/>
      <c r="U24" s="661"/>
      <c r="V24" s="660"/>
      <c r="W24" s="661"/>
      <c r="X24" s="662"/>
      <c r="Y24" s="3550"/>
      <c r="Z24" s="50"/>
      <c r="AA24" s="50">
        <v>1</v>
      </c>
      <c r="AB24" s="50">
        <v>1</v>
      </c>
      <c r="AC24" s="50">
        <v>1</v>
      </c>
    </row>
    <row r="25" spans="1:29" s="101" customFormat="1" ht="42.7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83"/>
      <c r="M25" s="2434"/>
      <c r="N25" s="2434"/>
      <c r="O25" s="2535"/>
      <c r="P25" s="3550"/>
      <c r="Q25" s="529" t="str">
        <f t="shared" ref="Q25" si="9">B25</f>
        <v>基础设施水平</v>
      </c>
      <c r="R25" s="660" t="s">
        <v>14</v>
      </c>
      <c r="S25" s="661">
        <f>F25</f>
        <v>100</v>
      </c>
      <c r="T25" s="660" t="s">
        <v>14</v>
      </c>
      <c r="U25" s="661">
        <f>H25</f>
        <v>100</v>
      </c>
      <c r="V25" s="660" t="s">
        <v>14</v>
      </c>
      <c r="W25" s="661">
        <f>J25</f>
        <v>100</v>
      </c>
      <c r="X25" s="662"/>
      <c r="Y25" s="3550"/>
      <c r="Z25" s="50" t="str">
        <f>Q25</f>
        <v>基础设施水平</v>
      </c>
      <c r="AA25" s="1260">
        <f>D25/F25</f>
        <v>1</v>
      </c>
      <c r="AB25" s="1260">
        <f>D25/H25</f>
        <v>1</v>
      </c>
      <c r="AC25" s="1260">
        <f>D25/J25</f>
        <v>1</v>
      </c>
    </row>
    <row r="26" spans="1:29" s="101" customFormat="1" ht="15">
      <c r="A26" s="442"/>
      <c r="B26" s="400"/>
      <c r="C26" s="1821"/>
      <c r="D26" s="386"/>
      <c r="E26" s="1822"/>
      <c r="F26" s="386"/>
      <c r="G26" s="1822"/>
      <c r="H26" s="386"/>
      <c r="I26" s="1822"/>
      <c r="J26" s="386"/>
      <c r="K26" s="590"/>
      <c r="L26" s="2483"/>
      <c r="M26" s="2434"/>
      <c r="N26" s="2434"/>
      <c r="O26" s="2535"/>
      <c r="P26" s="3550"/>
      <c r="Q26" s="529"/>
      <c r="R26" s="660"/>
      <c r="S26" s="661"/>
      <c r="T26" s="660"/>
      <c r="U26" s="661"/>
      <c r="V26" s="660"/>
      <c r="W26" s="661"/>
      <c r="X26" s="662"/>
      <c r="Y26" s="3550"/>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7"/>
      <c r="M27" s="2482"/>
      <c r="N27" s="2482"/>
      <c r="O27" s="2537"/>
      <c r="P27" s="3550"/>
      <c r="Q27" s="1259" t="str">
        <f t="shared" si="8"/>
        <v>临街状况</v>
      </c>
      <c r="R27" s="663" t="s">
        <v>14</v>
      </c>
      <c r="S27" s="664">
        <f t="shared" ref="S27:S40" si="10">F27</f>
        <v>100</v>
      </c>
      <c r="T27" s="663" t="s">
        <v>14</v>
      </c>
      <c r="U27" s="664">
        <f t="shared" ref="U27:U40" si="11">H27</f>
        <v>100</v>
      </c>
      <c r="V27" s="663" t="s">
        <v>14</v>
      </c>
      <c r="W27" s="664">
        <f t="shared" ref="W27:W40" si="12">J27</f>
        <v>100</v>
      </c>
      <c r="X27" s="1261"/>
      <c r="Y27" s="3550"/>
      <c r="Z27" s="1260" t="str">
        <f t="shared" ref="Z27:Z40" si="13">Q27</f>
        <v>临街状况</v>
      </c>
      <c r="AA27" s="1260">
        <f t="shared" si="3"/>
        <v>1</v>
      </c>
      <c r="AB27" s="1260">
        <f t="shared" si="4"/>
        <v>1</v>
      </c>
      <c r="AC27" s="1260">
        <f t="shared" si="5"/>
        <v>1</v>
      </c>
    </row>
    <row r="28" spans="1:29" ht="28.5">
      <c r="A28" s="366"/>
      <c r="B28" s="555" t="s">
        <v>1815</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7"/>
      <c r="M28" s="2482"/>
      <c r="N28" s="2482"/>
      <c r="O28" s="2537"/>
      <c r="P28" s="3550"/>
      <c r="Q28" s="1259" t="str">
        <f t="shared" si="8"/>
        <v>毗邻道路的类型与等级</v>
      </c>
      <c r="R28" s="663" t="s">
        <v>14</v>
      </c>
      <c r="S28" s="664">
        <f t="shared" si="10"/>
        <v>100</v>
      </c>
      <c r="T28" s="663" t="s">
        <v>14</v>
      </c>
      <c r="U28" s="664">
        <f t="shared" si="11"/>
        <v>100</v>
      </c>
      <c r="V28" s="663" t="s">
        <v>14</v>
      </c>
      <c r="W28" s="664">
        <f t="shared" si="12"/>
        <v>100</v>
      </c>
      <c r="X28" s="1261"/>
      <c r="Y28" s="3550"/>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7"/>
      <c r="M29" s="2482"/>
      <c r="N29" s="2482"/>
      <c r="O29" s="2537"/>
      <c r="P29" s="3550"/>
      <c r="Q29" s="1259"/>
      <c r="R29" s="663"/>
      <c r="S29" s="664"/>
      <c r="T29" s="663"/>
      <c r="U29" s="664"/>
      <c r="V29" s="663"/>
      <c r="W29" s="664"/>
      <c r="X29" s="1261"/>
      <c r="Y29" s="3550"/>
      <c r="Z29" s="1260"/>
      <c r="AA29" s="1260">
        <v>1</v>
      </c>
      <c r="AB29" s="1260">
        <v>1</v>
      </c>
      <c r="AC29" s="1260">
        <v>1</v>
      </c>
    </row>
    <row r="30" spans="1:29" ht="15">
      <c r="A30" s="366"/>
      <c r="B30" s="118" t="s">
        <v>1873</v>
      </c>
      <c r="C30" s="1065">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7"/>
      <c r="M30" s="2482"/>
      <c r="N30" s="2482"/>
      <c r="O30" s="2537"/>
      <c r="P30" s="3550"/>
      <c r="Q30" s="1259" t="str">
        <f t="shared" si="8"/>
        <v>土地级别</v>
      </c>
      <c r="R30" s="663" t="s">
        <v>14</v>
      </c>
      <c r="S30" s="664">
        <f t="shared" si="10"/>
        <v>100</v>
      </c>
      <c r="T30" s="663" t="s">
        <v>14</v>
      </c>
      <c r="U30" s="664">
        <f t="shared" si="11"/>
        <v>100</v>
      </c>
      <c r="V30" s="663" t="s">
        <v>14</v>
      </c>
      <c r="W30" s="664">
        <f t="shared" si="12"/>
        <v>100</v>
      </c>
      <c r="X30" s="1261"/>
      <c r="Y30" s="3550"/>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550"/>
      <c r="Q31" s="1259">
        <f t="shared" si="8"/>
        <v>111</v>
      </c>
      <c r="R31" s="663" t="s">
        <v>14</v>
      </c>
      <c r="S31" s="664">
        <f t="shared" si="10"/>
        <v>100</v>
      </c>
      <c r="T31" s="663" t="s">
        <v>14</v>
      </c>
      <c r="U31" s="664">
        <f t="shared" si="11"/>
        <v>100</v>
      </c>
      <c r="V31" s="663" t="s">
        <v>14</v>
      </c>
      <c r="W31" s="664">
        <f t="shared" si="12"/>
        <v>100</v>
      </c>
      <c r="X31" s="1261"/>
      <c r="Y31" s="3550"/>
      <c r="Z31" s="1260">
        <f t="shared" si="13"/>
        <v>111</v>
      </c>
      <c r="AA31" s="1260">
        <f t="shared" si="3"/>
        <v>1</v>
      </c>
      <c r="AB31" s="1260">
        <f t="shared" si="4"/>
        <v>1</v>
      </c>
      <c r="AC31" s="1260">
        <f t="shared" si="5"/>
        <v>1</v>
      </c>
    </row>
    <row r="32" spans="1:29" ht="15">
      <c r="A32" s="593"/>
      <c r="B32" s="1834">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7"/>
      <c r="M32" s="2482"/>
      <c r="N32" s="2482"/>
      <c r="O32" s="2537"/>
      <c r="P32" s="3575" t="s">
        <v>1696</v>
      </c>
      <c r="Q32" s="1259">
        <f t="shared" si="8"/>
        <v>111</v>
      </c>
      <c r="R32" s="663" t="s">
        <v>14</v>
      </c>
      <c r="S32" s="664">
        <f t="shared" si="10"/>
        <v>100</v>
      </c>
      <c r="T32" s="663" t="s">
        <v>14</v>
      </c>
      <c r="U32" s="664">
        <f t="shared" si="11"/>
        <v>100</v>
      </c>
      <c r="V32" s="663" t="s">
        <v>14</v>
      </c>
      <c r="W32" s="664">
        <f t="shared" si="12"/>
        <v>100</v>
      </c>
      <c r="X32" s="1261"/>
      <c r="Y32" s="3554" t="s">
        <v>1696</v>
      </c>
      <c r="Z32" s="1260">
        <f t="shared" si="13"/>
        <v>111</v>
      </c>
      <c r="AA32" s="1260">
        <f t="shared" si="3"/>
        <v>1</v>
      </c>
      <c r="AB32" s="1260">
        <f t="shared" si="4"/>
        <v>1</v>
      </c>
      <c r="AC32" s="1260">
        <f t="shared" si="5"/>
        <v>1</v>
      </c>
    </row>
    <row r="33" spans="1:31" s="407" customFormat="1" ht="15.75" thickBot="1">
      <c r="A33" s="594"/>
      <c r="B33" s="1835">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6"/>
      <c r="M33" s="2488"/>
      <c r="N33" s="2488"/>
      <c r="O33" s="2538"/>
      <c r="P33" s="3554"/>
      <c r="Q33" s="1259">
        <f t="shared" si="8"/>
        <v>111</v>
      </c>
      <c r="R33" s="665" t="s">
        <v>14</v>
      </c>
      <c r="S33" s="666">
        <f t="shared" si="10"/>
        <v>100</v>
      </c>
      <c r="T33" s="665" t="s">
        <v>14</v>
      </c>
      <c r="U33" s="666">
        <f t="shared" si="11"/>
        <v>100</v>
      </c>
      <c r="V33" s="665" t="s">
        <v>14</v>
      </c>
      <c r="W33" s="666">
        <f t="shared" si="12"/>
        <v>100</v>
      </c>
      <c r="X33" s="667"/>
      <c r="Y33" s="3554"/>
      <c r="Z33" s="668">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7"/>
      <c r="M34" s="2482"/>
      <c r="N34" s="2482"/>
      <c r="O34" s="2537"/>
      <c r="P34" s="3554"/>
      <c r="Q34" s="1259" t="str">
        <f>B34</f>
        <v>宗地面积</v>
      </c>
      <c r="R34" s="663" t="s">
        <v>14</v>
      </c>
      <c r="S34" s="664" t="e">
        <f t="shared" si="10"/>
        <v>#N/A</v>
      </c>
      <c r="T34" s="663" t="s">
        <v>14</v>
      </c>
      <c r="U34" s="664" t="e">
        <f t="shared" si="11"/>
        <v>#N/A</v>
      </c>
      <c r="V34" s="663" t="s">
        <v>14</v>
      </c>
      <c r="W34" s="664" t="e">
        <f t="shared" si="12"/>
        <v>#N/A</v>
      </c>
      <c r="X34" s="1261"/>
      <c r="Y34" s="3554"/>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7"/>
      <c r="M35" s="2482"/>
      <c r="N35" s="2482"/>
      <c r="O35" s="2537"/>
      <c r="P35" s="3554"/>
      <c r="Q35" s="1259" t="str">
        <f t="shared" ref="Q35:Q40" si="14">B35</f>
        <v>宗地形状</v>
      </c>
      <c r="R35" s="663" t="s">
        <v>14</v>
      </c>
      <c r="S35" s="664">
        <f t="shared" si="10"/>
        <v>100</v>
      </c>
      <c r="T35" s="663" t="s">
        <v>14</v>
      </c>
      <c r="U35" s="664">
        <f t="shared" si="11"/>
        <v>100</v>
      </c>
      <c r="V35" s="663" t="s">
        <v>14</v>
      </c>
      <c r="W35" s="664">
        <f t="shared" si="12"/>
        <v>100</v>
      </c>
      <c r="X35" s="1261"/>
      <c r="Y35" s="3554"/>
      <c r="Z35" s="1260" t="str">
        <f t="shared" si="13"/>
        <v>宗地形状</v>
      </c>
      <c r="AA35" s="1260">
        <f t="shared" si="3"/>
        <v>1</v>
      </c>
      <c r="AB35" s="1260">
        <f t="shared" si="4"/>
        <v>1</v>
      </c>
      <c r="AC35" s="1260">
        <f t="shared" si="5"/>
        <v>1</v>
      </c>
    </row>
    <row r="36" spans="1:31" s="101" customFormat="1" ht="15">
      <c r="A36" s="409"/>
      <c r="B36" s="363" t="s">
        <v>1877</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554"/>
      <c r="Q36" s="1259" t="str">
        <f t="shared" si="14"/>
        <v>宗地开发程度</v>
      </c>
      <c r="R36" s="660" t="s">
        <v>14</v>
      </c>
      <c r="S36" s="661">
        <f t="shared" si="10"/>
        <v>100</v>
      </c>
      <c r="T36" s="660" t="s">
        <v>14</v>
      </c>
      <c r="U36" s="661">
        <f t="shared" si="11"/>
        <v>100</v>
      </c>
      <c r="V36" s="660" t="s">
        <v>14</v>
      </c>
      <c r="W36" s="661">
        <f t="shared" si="12"/>
        <v>100</v>
      </c>
      <c r="X36" s="662"/>
      <c r="Y36" s="3554"/>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7"/>
      <c r="M37" s="2482"/>
      <c r="N37" s="2482"/>
      <c r="O37" s="2537"/>
      <c r="P37" s="3554" t="s">
        <v>1696</v>
      </c>
      <c r="Q37" s="1259" t="str">
        <f t="shared" si="14"/>
        <v>工程地质条件</v>
      </c>
      <c r="R37" s="663" t="s">
        <v>14</v>
      </c>
      <c r="S37" s="664">
        <f t="shared" si="10"/>
        <v>100</v>
      </c>
      <c r="T37" s="663" t="s">
        <v>14</v>
      </c>
      <c r="U37" s="664">
        <f t="shared" si="11"/>
        <v>100</v>
      </c>
      <c r="V37" s="663" t="s">
        <v>14</v>
      </c>
      <c r="W37" s="664">
        <f t="shared" si="12"/>
        <v>100</v>
      </c>
      <c r="X37" s="1261"/>
      <c r="Y37" s="3554" t="s">
        <v>1696</v>
      </c>
      <c r="Z37" s="1260" t="str">
        <f t="shared" si="13"/>
        <v>工程地质条件</v>
      </c>
      <c r="AA37" s="1260">
        <f t="shared" si="3"/>
        <v>1</v>
      </c>
      <c r="AB37" s="1260">
        <f t="shared" si="4"/>
        <v>1</v>
      </c>
      <c r="AC37" s="1260">
        <f t="shared" si="5"/>
        <v>1</v>
      </c>
    </row>
    <row r="38" spans="1:31" ht="15">
      <c r="A38" s="408"/>
      <c r="B38" s="1063">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7"/>
      <c r="M38" s="2482"/>
      <c r="N38" s="2482"/>
      <c r="O38" s="2537"/>
      <c r="P38" s="3554"/>
      <c r="Q38" s="1259">
        <f t="shared" si="14"/>
        <v>111</v>
      </c>
      <c r="R38" s="663" t="s">
        <v>14</v>
      </c>
      <c r="S38" s="664">
        <f t="shared" si="10"/>
        <v>100</v>
      </c>
      <c r="T38" s="663" t="s">
        <v>14</v>
      </c>
      <c r="U38" s="664">
        <f t="shared" si="11"/>
        <v>100</v>
      </c>
      <c r="V38" s="663" t="s">
        <v>14</v>
      </c>
      <c r="W38" s="664">
        <f t="shared" si="12"/>
        <v>100</v>
      </c>
      <c r="X38" s="1261"/>
      <c r="Y38" s="3554"/>
      <c r="Z38" s="1260">
        <f t="shared" si="13"/>
        <v>111</v>
      </c>
      <c r="AA38" s="1260">
        <f t="shared" si="3"/>
        <v>1</v>
      </c>
      <c r="AB38" s="1260">
        <f t="shared" si="4"/>
        <v>1</v>
      </c>
      <c r="AC38" s="1260">
        <f t="shared" si="5"/>
        <v>1</v>
      </c>
    </row>
    <row r="39" spans="1:31" ht="15">
      <c r="A39" s="408"/>
      <c r="B39" s="1063">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7"/>
      <c r="M39" s="2482"/>
      <c r="N39" s="2482"/>
      <c r="O39" s="2537"/>
      <c r="P39" s="3554"/>
      <c r="Q39" s="1259">
        <f t="shared" si="14"/>
        <v>111</v>
      </c>
      <c r="R39" s="663" t="s">
        <v>14</v>
      </c>
      <c r="S39" s="664">
        <f t="shared" si="10"/>
        <v>100</v>
      </c>
      <c r="T39" s="663" t="s">
        <v>14</v>
      </c>
      <c r="U39" s="664">
        <f t="shared" si="11"/>
        <v>100</v>
      </c>
      <c r="V39" s="663" t="s">
        <v>14</v>
      </c>
      <c r="W39" s="664">
        <f t="shared" si="12"/>
        <v>100</v>
      </c>
      <c r="X39" s="1261"/>
      <c r="Y39" s="3554"/>
      <c r="Z39" s="1260">
        <f t="shared" si="13"/>
        <v>111</v>
      </c>
      <c r="AA39" s="1260">
        <f t="shared" si="3"/>
        <v>1</v>
      </c>
      <c r="AB39" s="1260">
        <f t="shared" si="4"/>
        <v>1</v>
      </c>
      <c r="AC39" s="1260">
        <f t="shared" si="5"/>
        <v>1</v>
      </c>
    </row>
    <row r="40" spans="1:31" s="407" customFormat="1" ht="15.75" thickBot="1">
      <c r="A40" s="405"/>
      <c r="B40" s="1063">
        <v>111</v>
      </c>
      <c r="C40" s="1824"/>
      <c r="D40" s="119">
        <v>100</v>
      </c>
      <c r="E40" s="592"/>
      <c r="F40" s="376">
        <f>SUMIF(120:120,E40,121:121)-SUMIF(120:120,C40,121:121)+100</f>
        <v>100</v>
      </c>
      <c r="G40" s="592"/>
      <c r="H40" s="376">
        <f>SUMIF(120:120,G40,121:121)-SUMIF(120:120,C40,121:121)+100</f>
        <v>100</v>
      </c>
      <c r="I40" s="479"/>
      <c r="J40" s="376">
        <f>SUMIF(120:120,I40,121:121)-SUMIF(120:120,C40,121:121)+100</f>
        <v>100</v>
      </c>
      <c r="K40" s="599"/>
      <c r="L40" s="2486"/>
      <c r="M40" s="2488"/>
      <c r="N40" s="2488"/>
      <c r="O40" s="2538"/>
      <c r="P40" s="3554"/>
      <c r="Q40" s="1259">
        <f t="shared" si="14"/>
        <v>111</v>
      </c>
      <c r="R40" s="665" t="s">
        <v>14</v>
      </c>
      <c r="S40" s="666">
        <f t="shared" si="10"/>
        <v>100</v>
      </c>
      <c r="T40" s="665" t="s">
        <v>14</v>
      </c>
      <c r="U40" s="666">
        <f t="shared" si="11"/>
        <v>100</v>
      </c>
      <c r="V40" s="665" t="s">
        <v>14</v>
      </c>
      <c r="W40" s="666">
        <f t="shared" si="12"/>
        <v>100</v>
      </c>
      <c r="X40" s="667"/>
      <c r="Y40" s="3554"/>
      <c r="Z40" s="668">
        <f t="shared" si="13"/>
        <v>111</v>
      </c>
      <c r="AA40" s="1260">
        <f t="shared" si="3"/>
        <v>1</v>
      </c>
      <c r="AB40" s="1260">
        <f t="shared" si="4"/>
        <v>1</v>
      </c>
      <c r="AC40" s="1260">
        <f t="shared" si="5"/>
        <v>1</v>
      </c>
    </row>
    <row r="41" spans="1:31" ht="15">
      <c r="A41" s="415" t="s">
        <v>1844</v>
      </c>
      <c r="B41" s="1825" t="s">
        <v>1922</v>
      </c>
      <c r="C41" s="600" t="s">
        <v>0</v>
      </c>
      <c r="D41" s="417"/>
      <c r="E41" s="418"/>
      <c r="F41" s="419"/>
      <c r="G41" s="420"/>
      <c r="H41" s="421"/>
      <c r="I41" s="418"/>
      <c r="J41" s="421"/>
      <c r="K41" s="670"/>
      <c r="L41" s="2489"/>
      <c r="M41" s="2482"/>
      <c r="N41" s="2482"/>
      <c r="O41" s="2482"/>
      <c r="P41" s="3548" t="str">
        <f>A41</f>
        <v>成交单价</v>
      </c>
      <c r="Q41" s="3548"/>
      <c r="R41" s="3543">
        <f>E41</f>
        <v>0</v>
      </c>
      <c r="S41" s="3543"/>
      <c r="T41" s="3543">
        <f>G41</f>
        <v>0</v>
      </c>
      <c r="U41" s="3543"/>
      <c r="V41" s="3543">
        <f>I41</f>
        <v>0</v>
      </c>
      <c r="W41" s="3543"/>
      <c r="X41" s="384"/>
      <c r="Y41" s="669"/>
      <c r="Z41" s="384"/>
      <c r="AA41" s="384"/>
      <c r="AB41" s="384"/>
      <c r="AC41" s="384"/>
    </row>
    <row r="42" spans="1:31" ht="15.75" thickBot="1">
      <c r="A42" s="422" t="s">
        <v>1793</v>
      </c>
      <c r="B42" s="601"/>
      <c r="C42" s="425" t="e">
        <f>R43</f>
        <v>#DIV/0!</v>
      </c>
      <c r="D42" s="2136" t="s">
        <v>2135</v>
      </c>
      <c r="E42" s="425" t="e">
        <f>R42</f>
        <v>#DIV/0!</v>
      </c>
      <c r="F42" s="2137"/>
      <c r="G42" s="424" t="e">
        <f>T42</f>
        <v>#DIV/0!</v>
      </c>
      <c r="H42" s="2137"/>
      <c r="I42" s="425" t="e">
        <f>V42</f>
        <v>#DIV/0!</v>
      </c>
      <c r="J42" s="2137"/>
      <c r="K42" s="2139">
        <f>F42+H42+J42</f>
        <v>0</v>
      </c>
      <c r="L42" s="2489"/>
      <c r="M42" s="2482"/>
      <c r="N42" s="2482"/>
      <c r="O42" s="2482"/>
      <c r="P42" s="3548" t="str">
        <f>A42</f>
        <v>比较价值（元/平方米）</v>
      </c>
      <c r="Q42" s="3548"/>
      <c r="R42" s="3577" t="e">
        <f>ROUND(PRODUCT(R41,AA7:AA40),0)</f>
        <v>#DIV/0!</v>
      </c>
      <c r="S42" s="3577"/>
      <c r="T42" s="3577" t="e">
        <f>ROUND(PRODUCT(T41,AB7:AB40),0)</f>
        <v>#DIV/0!</v>
      </c>
      <c r="U42" s="3577"/>
      <c r="V42" s="3577" t="e">
        <f>ROUND(PRODUCT(V41,AC7:AC40),0)</f>
        <v>#DIV/0!</v>
      </c>
      <c r="W42" s="3577"/>
      <c r="X42" s="384"/>
      <c r="Y42" s="384"/>
      <c r="Z42" s="384"/>
      <c r="AA42" s="384"/>
      <c r="AB42" s="384"/>
      <c r="AC42" s="384"/>
    </row>
    <row r="43" spans="1:31" ht="15.75" thickBot="1">
      <c r="A43" s="426" t="s">
        <v>1794</v>
      </c>
      <c r="B43" s="427"/>
      <c r="C43" s="428" t="e">
        <f>R43</f>
        <v>#DIV/0!</v>
      </c>
      <c r="D43" s="428"/>
      <c r="E43" s="428"/>
      <c r="F43" s="428"/>
      <c r="G43" s="428"/>
      <c r="H43" s="428"/>
      <c r="I43" s="428"/>
      <c r="J43" s="428"/>
      <c r="K43" s="671"/>
      <c r="L43" s="2489"/>
      <c r="M43" s="2482"/>
      <c r="N43" s="2482"/>
      <c r="O43" s="2482"/>
      <c r="P43" s="3545" t="str">
        <f>A43</f>
        <v>估价对象XX用房的比较价值（楼面单价，元/平方米）</v>
      </c>
      <c r="Q43" s="3546"/>
      <c r="R43" s="3578" t="e">
        <f>ROUND(IF(D42="简单平均",AVERAGE(R42:W42),R42*F42+T42*H42+V42*J42),0)</f>
        <v>#DIV/0!</v>
      </c>
      <c r="S43" s="3578"/>
      <c r="T43" s="3578"/>
      <c r="U43" s="3578"/>
      <c r="V43" s="3578"/>
      <c r="W43" s="357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3"/>
      <c r="D49" s="651"/>
      <c r="E49" s="651"/>
      <c r="F49" s="651"/>
      <c r="G49" s="651"/>
      <c r="H49" s="651"/>
      <c r="I49" s="651"/>
      <c r="J49" s="651"/>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6" t="s">
        <v>1883</v>
      </c>
      <c r="D50" s="1827" t="s">
        <v>1884</v>
      </c>
      <c r="E50" s="604" t="s">
        <v>1885</v>
      </c>
      <c r="F50" s="605" t="s">
        <v>1886</v>
      </c>
      <c r="G50" s="3531" t="s">
        <v>1887</v>
      </c>
      <c r="H50" s="3579"/>
      <c r="I50" s="1260" t="s">
        <v>1923</v>
      </c>
      <c r="J50" s="1260">
        <f>项目基本情况!F35</f>
        <v>0</v>
      </c>
      <c r="K50" s="1829"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6">
        <v>1</v>
      </c>
      <c r="E51" s="608">
        <f>'数据-汇总表'!E8+'数据-汇总表'!E9</f>
        <v>1279.97</v>
      </c>
      <c r="F51" s="609" t="e">
        <f t="shared" ref="F51:F60" si="15">ROUND(B51*E51/10000,0)</f>
        <v>#DIV/0!</v>
      </c>
      <c r="G51" s="3530"/>
      <c r="H51" s="3548"/>
      <c r="I51" s="723">
        <v>1</v>
      </c>
      <c r="J51" s="723">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9" t="e">
        <f>ROUND($C$43*C52*D52,0)</f>
        <v>#DIV/0!</v>
      </c>
      <c r="C52" s="162">
        <f t="shared" ref="C52:C60" si="16">IF($C$50="北京市系数",I52,J52)</f>
        <v>0.7</v>
      </c>
      <c r="D52" s="887">
        <v>0.25</v>
      </c>
      <c r="E52" s="612"/>
      <c r="F52" s="609" t="e">
        <f t="shared" si="15"/>
        <v>#DIV/0!</v>
      </c>
      <c r="G52" s="2745" t="s">
        <v>1892</v>
      </c>
      <c r="H52" s="830" t="str">
        <f>项目基本情况!B37</f>
        <v>二级</v>
      </c>
      <c r="I52" s="723">
        <f>SUMIF(修正!A57:A68,H52,修正!B57:B68)</f>
        <v>0.7</v>
      </c>
      <c r="J52" s="724"/>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9" t="e">
        <f t="shared" ref="B53:B60" si="17">ROUND($C$43*C53*D53,0)</f>
        <v>#DIV/0!</v>
      </c>
      <c r="C53" s="162">
        <f t="shared" si="16"/>
        <v>0.4</v>
      </c>
      <c r="D53" s="887">
        <v>0.25</v>
      </c>
      <c r="E53" s="612"/>
      <c r="F53" s="609" t="e">
        <f t="shared" si="15"/>
        <v>#DIV/0!</v>
      </c>
      <c r="G53" s="2746"/>
      <c r="H53" s="830" t="str">
        <f>项目基本情况!B37</f>
        <v>二级</v>
      </c>
      <c r="I53" s="723">
        <f>SUMIF(修正!A57:A68,H53,修正!C57:C68)</f>
        <v>0.4</v>
      </c>
      <c r="J53" s="724"/>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9" t="e">
        <f t="shared" si="17"/>
        <v>#DIV/0!</v>
      </c>
      <c r="C54" s="162">
        <f t="shared" si="16"/>
        <v>0.3</v>
      </c>
      <c r="D54" s="887">
        <v>0.25</v>
      </c>
      <c r="E54" s="612"/>
      <c r="F54" s="609" t="e">
        <f t="shared" si="15"/>
        <v>#DIV/0!</v>
      </c>
      <c r="G54" s="2746"/>
      <c r="H54" s="830" t="str">
        <f>项目基本情况!B37</f>
        <v>二级</v>
      </c>
      <c r="I54" s="723">
        <f>SUMIF(修正!A57:A68,H54,修正!D57:D68)</f>
        <v>0.3</v>
      </c>
      <c r="J54" s="724"/>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9"/>
      <c r="C55" s="162"/>
      <c r="D55" s="887"/>
      <c r="E55" s="612"/>
      <c r="F55" s="609"/>
      <c r="G55" s="2747"/>
      <c r="H55" s="830"/>
      <c r="I55" s="723"/>
      <c r="J55" s="724"/>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9" t="e">
        <f t="shared" si="17"/>
        <v>#DIV/0!</v>
      </c>
      <c r="C56" s="162">
        <f t="shared" si="16"/>
        <v>0</v>
      </c>
      <c r="D56" s="887">
        <v>0.25</v>
      </c>
      <c r="E56" s="208">
        <f>'数据-汇总表'!E11</f>
        <v>0</v>
      </c>
      <c r="F56" s="609" t="e">
        <f t="shared" si="15"/>
        <v>#DIV/0!</v>
      </c>
      <c r="G56" s="1830" t="s">
        <v>1896</v>
      </c>
      <c r="H56" s="830">
        <f>项目基本情况!C37</f>
        <v>0</v>
      </c>
      <c r="I56" s="723">
        <f>SUMIF(修正!A57:A68,H56,修正!E57:E68)</f>
        <v>0</v>
      </c>
      <c r="J56" s="724"/>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9" t="e">
        <f t="shared" si="17"/>
        <v>#DIV/0!</v>
      </c>
      <c r="C57" s="162">
        <f t="shared" si="16"/>
        <v>0</v>
      </c>
      <c r="D57" s="887">
        <v>0.25</v>
      </c>
      <c r="E57" s="208">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9" t="e">
        <f t="shared" si="17"/>
        <v>#DIV/0!</v>
      </c>
      <c r="C58" s="162">
        <f t="shared" si="16"/>
        <v>0</v>
      </c>
      <c r="D58" s="887">
        <v>0.25</v>
      </c>
      <c r="E58" s="208">
        <f>'数据-汇总表'!E13</f>
        <v>0</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9" t="e">
        <f t="shared" si="17"/>
        <v>#DIV/0!</v>
      </c>
      <c r="C59" s="162">
        <f t="shared" si="16"/>
        <v>0.2</v>
      </c>
      <c r="D59" s="887">
        <v>0.25</v>
      </c>
      <c r="E59" s="208">
        <f>'数据-汇总表'!E14</f>
        <v>0</v>
      </c>
      <c r="F59" s="609" t="e">
        <f t="shared" si="15"/>
        <v>#DIV/0!</v>
      </c>
      <c r="G59" s="1830" t="s">
        <v>1892</v>
      </c>
      <c r="H59" s="830" t="str">
        <f>项目基本情况!B37</f>
        <v>二级</v>
      </c>
      <c r="I59" s="723">
        <f>SUMIF(修正!A57:A68,H59,修正!G57:G68)</f>
        <v>0.2</v>
      </c>
      <c r="J59" s="724"/>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9" t="e">
        <f t="shared" si="17"/>
        <v>#DIV/0!</v>
      </c>
      <c r="C60" s="162">
        <f t="shared" si="16"/>
        <v>0</v>
      </c>
      <c r="D60" s="887">
        <v>0.25</v>
      </c>
      <c r="E60" s="208">
        <f>'数据-汇总表'!E15</f>
        <v>0</v>
      </c>
      <c r="F60" s="609" t="e">
        <f t="shared" si="15"/>
        <v>#DIV/0!</v>
      </c>
      <c r="G60" s="1831" t="s">
        <v>1896</v>
      </c>
      <c r="H60" s="840">
        <f>项目基本情况!C37</f>
        <v>0</v>
      </c>
      <c r="I60" s="723">
        <f>SUMIF(修正!A57:A68,H60,修正!G57:G68)</f>
        <v>0</v>
      </c>
      <c r="J60" s="724"/>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t="e">
        <f>IF(B41="楼面地价",SUM(E51:E60),'数据-汇总表'!D3)</f>
        <v>#REF!</v>
      </c>
      <c r="F61" s="615" t="e">
        <f>IF(B41="楼面地价",SUM(F51:F60),ROUND(C43*E61/10000,0))</f>
        <v>#DIV/0!</v>
      </c>
      <c r="G61" s="881"/>
      <c r="H61" s="881"/>
      <c r="I61" s="881"/>
      <c r="J61" s="881"/>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7"/>
      <c r="B62" s="871"/>
      <c r="C62" s="873"/>
      <c r="D62" s="857"/>
      <c r="E62" s="857"/>
      <c r="F62" s="857"/>
      <c r="G62" s="857"/>
      <c r="H62" s="857"/>
      <c r="I62" s="857"/>
      <c r="J62" s="857"/>
      <c r="K62" s="831"/>
      <c r="L62" s="832"/>
      <c r="M62" s="857"/>
      <c r="N62" s="857"/>
      <c r="O62" s="857"/>
      <c r="P62" s="2482"/>
      <c r="Q62" s="2482"/>
      <c r="R62" s="2482"/>
      <c r="S62" s="2482"/>
      <c r="T62" s="2482"/>
      <c r="U62" s="2482"/>
      <c r="V62" s="2482"/>
      <c r="W62" s="2482"/>
      <c r="X62" s="2482"/>
      <c r="Y62" s="2482"/>
      <c r="Z62" s="2482"/>
      <c r="AA62" s="2482"/>
      <c r="AB62" s="2482"/>
      <c r="AC62" s="2482"/>
      <c r="AD62" s="2482"/>
      <c r="AE62" s="2482"/>
    </row>
    <row r="63" spans="1:31">
      <c r="A63" s="857"/>
      <c r="B63" s="871"/>
      <c r="C63" s="652" t="str">
        <f>YEAR(C7)&amp;"-"&amp;MONTH(C7)&amp;"-1"</f>
        <v>2024-6-1</v>
      </c>
      <c r="D63" s="652">
        <f>EDATE(C63,-3)</f>
        <v>45352</v>
      </c>
      <c r="E63" s="652">
        <f>EDATE(D63,-3)</f>
        <v>45261</v>
      </c>
      <c r="F63" s="652">
        <f t="shared" ref="F63:O63" si="18">EDATE(E63,-3)</f>
        <v>45170</v>
      </c>
      <c r="G63" s="652">
        <f t="shared" si="18"/>
        <v>45078</v>
      </c>
      <c r="H63" s="652">
        <f t="shared" si="18"/>
        <v>44986</v>
      </c>
      <c r="I63" s="652">
        <f t="shared" si="18"/>
        <v>44896</v>
      </c>
      <c r="J63" s="652">
        <f t="shared" si="18"/>
        <v>44805</v>
      </c>
      <c r="K63" s="652">
        <f t="shared" si="18"/>
        <v>44713</v>
      </c>
      <c r="L63" s="652">
        <f t="shared" si="18"/>
        <v>44621</v>
      </c>
      <c r="M63" s="652">
        <f t="shared" si="18"/>
        <v>44531</v>
      </c>
      <c r="N63" s="652">
        <f t="shared" si="18"/>
        <v>44440</v>
      </c>
      <c r="O63" s="652">
        <f t="shared" si="18"/>
        <v>44348</v>
      </c>
      <c r="P63" s="2482"/>
      <c r="Q63" s="2482"/>
      <c r="R63" s="2482"/>
      <c r="S63" s="2482"/>
      <c r="T63" s="2482"/>
      <c r="U63" s="2482"/>
      <c r="V63" s="2482"/>
      <c r="W63" s="2482"/>
      <c r="X63" s="2482"/>
      <c r="Y63" s="2482"/>
      <c r="Z63" s="2482"/>
      <c r="AA63" s="2482"/>
      <c r="AB63" s="2482"/>
      <c r="AC63" s="2482"/>
      <c r="AD63" s="2482"/>
      <c r="AE63" s="2482"/>
    </row>
    <row r="64" spans="1:31" ht="21.75" thickBot="1">
      <c r="A64" s="654" t="s">
        <v>1798</v>
      </c>
      <c r="B64" s="384"/>
      <c r="C64" s="655"/>
      <c r="D64" s="655"/>
      <c r="E64" s="655"/>
      <c r="F64" s="656"/>
      <c r="G64" s="656"/>
      <c r="H64" s="655"/>
      <c r="I64" s="655"/>
      <c r="J64" s="655"/>
      <c r="K64" s="657"/>
      <c r="L64" s="658"/>
      <c r="M64" s="655"/>
      <c r="N64" s="655"/>
      <c r="O64" s="882"/>
      <c r="P64" s="2532"/>
      <c r="Q64" s="2503"/>
      <c r="R64" s="2482"/>
      <c r="S64" s="2482"/>
      <c r="T64" s="2482"/>
      <c r="U64" s="2482"/>
      <c r="V64" s="2482"/>
      <c r="W64" s="2482"/>
      <c r="X64" s="2482"/>
      <c r="Y64" s="2482"/>
      <c r="Z64" s="2482"/>
      <c r="AA64" s="2482"/>
      <c r="AB64" s="2482"/>
      <c r="AC64" s="2482"/>
      <c r="AD64" s="2482"/>
      <c r="AE64" s="2482"/>
    </row>
    <row r="65" spans="1:31" s="441" customFormat="1" ht="15">
      <c r="A65" s="1625" t="s">
        <v>1904</v>
      </c>
      <c r="B65" s="1042"/>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1924</v>
      </c>
      <c r="B66" s="279" t="str">
        <f>"北京市平均增长率"&amp;TEXT(基准地价修正!P28,"0.00%")</f>
        <v>北京市平均增长率0.00%</v>
      </c>
      <c r="C66" s="529">
        <v>100</v>
      </c>
      <c r="D66" s="6"/>
      <c r="E66" s="6"/>
      <c r="F66" s="6"/>
      <c r="G66" s="6"/>
      <c r="H66" s="6"/>
      <c r="I66" s="6"/>
      <c r="J66" s="6"/>
      <c r="K66" s="6"/>
      <c r="L66" s="6"/>
      <c r="M66" s="1062"/>
      <c r="N66" s="1062"/>
      <c r="O66" s="1095"/>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1716</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1776</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1">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1914</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1916</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1917</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8"/>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0" t="s">
        <v>2081</v>
      </c>
      <c r="B1" s="4"/>
      <c r="C1" s="4"/>
      <c r="D1" s="4"/>
      <c r="E1" s="4"/>
      <c r="F1" s="2539"/>
      <c r="G1" s="2539"/>
      <c r="H1" s="2539"/>
      <c r="I1" s="2539"/>
      <c r="J1" s="2539"/>
      <c r="K1" s="2539"/>
      <c r="L1" s="2539"/>
      <c r="M1" s="2539"/>
      <c r="N1" s="2539"/>
      <c r="O1" s="2539"/>
      <c r="P1" s="2539"/>
    </row>
    <row r="2" spans="1:16" ht="15.75">
      <c r="A2" s="1979" t="s">
        <v>2073</v>
      </c>
      <c r="B2" s="2382">
        <f ca="1">SUMIF(B6:B13,"&lt;&gt;#ref!",B6:B13)</f>
        <v>0</v>
      </c>
      <c r="C2" s="1979" t="s">
        <v>2074</v>
      </c>
      <c r="D2" s="1979" t="s">
        <v>2075</v>
      </c>
      <c r="E2" s="2392">
        <f ca="1">SUMIF(E6:E13,"&lt;&gt;#ref!",E6:E13)</f>
        <v>0</v>
      </c>
      <c r="F2" s="2539"/>
      <c r="G2" s="2539"/>
      <c r="H2" s="2539"/>
      <c r="I2" s="2539"/>
      <c r="J2" s="2539"/>
      <c r="K2" s="2539"/>
      <c r="L2" s="2539"/>
      <c r="M2" s="2539"/>
      <c r="N2" s="2539"/>
      <c r="O2" s="2539"/>
      <c r="P2" s="2539"/>
    </row>
    <row r="3" spans="1:16" ht="15.75">
      <c r="A3" s="1979" t="s">
        <v>2076</v>
      </c>
      <c r="B3" s="2382" t="e">
        <f ca="1">ROUND(B2*10000/E2,0)</f>
        <v>#DIV/0!</v>
      </c>
      <c r="C3" s="1979"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2077</v>
      </c>
      <c r="B5" s="2390" t="s">
        <v>2078</v>
      </c>
      <c r="C5" s="1980"/>
      <c r="D5" s="2539"/>
      <c r="E5" s="2391" t="s">
        <v>2079</v>
      </c>
      <c r="F5" s="2539"/>
      <c r="G5" s="2539"/>
      <c r="H5" s="2539"/>
      <c r="I5" s="2539"/>
      <c r="J5" s="2539"/>
      <c r="K5" s="2539"/>
      <c r="L5" s="2539"/>
      <c r="M5" s="2539"/>
      <c r="N5" s="2539"/>
      <c r="O5" s="2539"/>
      <c r="P5" s="2539"/>
    </row>
    <row r="6" spans="1:16" ht="15.75">
      <c r="A6" s="2389" t="s">
        <v>2080</v>
      </c>
      <c r="B6" s="2382">
        <f ca="1">SUMIF(INDIRECT("'"&amp;A6&amp;"'"&amp;"!A:A"),"总价",INDIRECT("'"&amp;A6&amp;"'"&amp;"!B:B"))</f>
        <v>0</v>
      </c>
      <c r="C6" s="1979" t="s">
        <v>2074</v>
      </c>
      <c r="D6" s="2539"/>
      <c r="E6" s="2392" t="e">
        <f ca="1">SUMIF(INDIRECT("'"&amp;A6&amp;"'"&amp;"!C:C"),"建筑面积",INDIRECT("'"&amp;A6&amp;"'"&amp;"!D:D"))</f>
        <v>#REF!</v>
      </c>
      <c r="F6" s="2539"/>
      <c r="G6" s="2539"/>
      <c r="H6" s="2539"/>
      <c r="I6" s="2539"/>
      <c r="J6" s="2539"/>
      <c r="K6" s="2539"/>
      <c r="L6" s="2539"/>
      <c r="M6" s="2539"/>
      <c r="N6" s="2539"/>
      <c r="O6" s="2539"/>
      <c r="P6" s="2539"/>
    </row>
    <row r="7" spans="1:16" ht="15.75">
      <c r="A7" s="2389"/>
      <c r="B7" s="2382" t="e">
        <f ca="1">SUMIF(INDIRECT("'"&amp;A7&amp;"'"&amp;"!A:A"),"总价",INDIRECT("'"&amp;A7&amp;"'"&amp;"!B:B"))</f>
        <v>#REF!</v>
      </c>
      <c r="C7" s="1979" t="s">
        <v>2074</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2074</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2074</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2074</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2074</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2074</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2074</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4" zoomScale="90" zoomScaleNormal="70" zoomScaleSheetLayoutView="90" workbookViewId="0">
      <selection activeCell="G8" sqref="G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c r="C1" s="1712" t="s">
        <v>1563</v>
      </c>
      <c r="D1" s="189"/>
      <c r="E1" s="189"/>
      <c r="F1" s="189"/>
      <c r="G1" s="1058">
        <f>MATCH(B1,'数据-取费表'!A6:A16,0)+5</f>
        <v>7</v>
      </c>
      <c r="H1" s="994" t="str">
        <f>IF(ISERROR(FIND("住宅",B1)),"非住宅","住宅")</f>
        <v>非住宅</v>
      </c>
    </row>
    <row r="2" spans="1:8" s="191" customFormat="1" ht="18" customHeight="1">
      <c r="A2" s="192" t="s">
        <v>1462</v>
      </c>
      <c r="B2" s="3117" t="e">
        <f ca="1">ROUND(IF(D2="——",C52/10000,C52/10000-E2),4)</f>
        <v>#REF!</v>
      </c>
      <c r="C2" s="190" t="s">
        <v>1463</v>
      </c>
      <c r="D2" s="1706" t="s">
        <v>43</v>
      </c>
      <c r="E2" s="1085" t="e">
        <f ca="1">SUMIF(INDIRECT("'"&amp;G2&amp;"'"&amp;"!A:A"),"承租人权益价值",INDIRECT("'"&amp;G2&amp;"'"&amp;"!c:c"))</f>
        <v>#REF!</v>
      </c>
      <c r="F2" s="1707" t="s">
        <v>1463</v>
      </c>
      <c r="G2" s="1708"/>
    </row>
    <row r="3" spans="1:8" s="191" customFormat="1" ht="18" customHeight="1" thickBot="1">
      <c r="A3" s="194" t="s">
        <v>1464</v>
      </c>
      <c r="B3" s="195" t="e">
        <f ca="1">ROUND(B2*10000/(IF(B1="",'数据-汇总表'!E3,INDIRECT("'数据-取费表'!k"&amp;$G$1))),0)</f>
        <v>#REF!</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#REF!</v>
      </c>
      <c r="D5" s="202" t="s">
        <v>1469</v>
      </c>
      <c r="E5" s="203" t="s">
        <v>1470</v>
      </c>
      <c r="F5" s="203" t="s">
        <v>1471</v>
      </c>
      <c r="G5" s="204"/>
    </row>
    <row r="6" spans="1:8" s="205" customFormat="1" ht="13.5" customHeight="1">
      <c r="A6" s="728" t="s">
        <v>1472</v>
      </c>
      <c r="B6" s="206" t="s">
        <v>1473</v>
      </c>
      <c r="C6" s="207" t="e">
        <f>ROUND(基准地价修正!C33*基准地价修正!D33,0)</f>
        <v>#REF!</v>
      </c>
      <c r="D6" s="208"/>
      <c r="E6" s="209"/>
      <c r="F6" s="209"/>
      <c r="G6" s="210"/>
    </row>
    <row r="7" spans="1:8" s="205" customFormat="1" ht="13.5" customHeight="1">
      <c r="A7" s="728" t="s">
        <v>1474</v>
      </c>
      <c r="B7" s="206" t="s">
        <v>1475</v>
      </c>
      <c r="C7" s="211" t="e">
        <f>ROUND(C6*F7,0)</f>
        <v>#REF!</v>
      </c>
      <c r="D7" s="211"/>
      <c r="E7" s="209"/>
      <c r="F7" s="212">
        <f>IF(项目基本情况!B8="出让",0,'数据-取费表'!B48+'数据-取费表'!B49)</f>
        <v>3.0499999999999999E-2</v>
      </c>
      <c r="G7" s="210"/>
    </row>
    <row r="8" spans="1:8" s="214" customFormat="1">
      <c r="A8" s="728" t="s">
        <v>1476</v>
      </c>
      <c r="B8" s="206" t="s">
        <v>1477</v>
      </c>
      <c r="C8" s="211">
        <f ca="1">IF(G8="已包含在土地购买价格中",0,C9+C10)</f>
        <v>255994</v>
      </c>
      <c r="D8" s="213"/>
      <c r="E8" s="211"/>
      <c r="F8" s="212"/>
      <c r="G8" s="1709" t="s">
        <v>3587</v>
      </c>
    </row>
    <row r="9" spans="1:8" s="205" customFormat="1" ht="13.5" customHeight="1">
      <c r="A9" s="729" t="s">
        <v>355</v>
      </c>
      <c r="B9" s="215" t="s">
        <v>1478</v>
      </c>
      <c r="C9" s="216">
        <f ca="1">ROUND(D9*E9,0)</f>
        <v>0</v>
      </c>
      <c r="D9" s="791">
        <f ca="1">IF(B1="",'数据-汇总表'!E5,IF(INDIRECT("'数据-取费表'!c"&amp;$G$1)="住宅",INDIRECT("'数据-取费表'!k"&amp;$G$1),0))</f>
        <v>0</v>
      </c>
      <c r="E9" s="216">
        <f>'数据-取费表'!B27</f>
        <v>160</v>
      </c>
      <c r="F9" s="212"/>
      <c r="G9" s="217"/>
    </row>
    <row r="10" spans="1:8" s="205" customFormat="1" ht="13.5" customHeight="1">
      <c r="A10" s="729" t="s">
        <v>356</v>
      </c>
      <c r="B10" s="215" t="s">
        <v>1480</v>
      </c>
      <c r="C10" s="216">
        <f ca="1">ROUND(D10*E10,0)</f>
        <v>255994</v>
      </c>
      <c r="D10" s="791">
        <f ca="1">IF(B1="",'数据-汇总表'!E6,IF(INDIRECT("'数据-取费表'!c"&amp;$G$1)="住宅",INDIRECT("'数据-取费表'!s"&amp;$G$1),INDIRECT("'数据-取费表'!k"&amp;$G$1)+INDIRECT("'数据-取费表'!s"&amp;$G$1)))</f>
        <v>1279.97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1279.97</v>
      </c>
      <c r="E19" s="202">
        <f>'数据-取费表'!B31</f>
        <v>200</v>
      </c>
      <c r="F19" s="222"/>
      <c r="G19" s="1709" t="s">
        <v>3586</v>
      </c>
    </row>
    <row r="20" spans="1:7" s="205" customFormat="1" ht="13.5" customHeight="1">
      <c r="A20" s="246" t="s">
        <v>1574</v>
      </c>
      <c r="B20" s="201" t="s">
        <v>1575</v>
      </c>
      <c r="C20" s="223" t="e">
        <f ca="1">ROUND((C5+C19)*F20,0)</f>
        <v>#REF!</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#REF!</v>
      </c>
      <c r="D22" s="226">
        <f ca="1">C26</f>
        <v>1E-3</v>
      </c>
      <c r="E22" s="227" t="s">
        <v>1579</v>
      </c>
      <c r="F22" s="228">
        <f ca="1">'数据-取费表'!B40</f>
        <v>4.7500000000000001E-2</v>
      </c>
      <c r="G22" s="225" t="str">
        <f>IF('数据-取费表'!B22&lt;=1,"单利计息","复利计息")</f>
        <v>复利计息</v>
      </c>
    </row>
    <row r="23" spans="1:7" s="205" customFormat="1" ht="13.5" customHeight="1">
      <c r="A23" s="730" t="s">
        <v>1472</v>
      </c>
      <c r="B23" s="206" t="s">
        <v>1583</v>
      </c>
      <c r="C23" s="229" t="e">
        <f ca="1">ROUND(IF('数据-取费表'!B22&lt;=1,C5*F22*'数据-取费表'!B22,C5*(POWER((1+F22),'数据-取费表'!B22)-1)),0)</f>
        <v>#REF!</v>
      </c>
      <c r="D23" s="229"/>
      <c r="E23" s="229"/>
      <c r="F23" s="230"/>
      <c r="G23" s="231" t="s">
        <v>1584</v>
      </c>
    </row>
    <row r="24" spans="1:7" s="205" customFormat="1" ht="13.5" customHeight="1">
      <c r="A24" s="730"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0" t="s">
        <v>1476</v>
      </c>
      <c r="B25" s="206" t="s">
        <v>1587</v>
      </c>
      <c r="C25" s="229" t="e">
        <f ca="1">ROUND(IF('数据-取费表'!B22&lt;=1,C20*F22*'数据-取费表'!B22/2,C20*(POWER((1+F22),'数据-取费表'!B22/2)-1)),0)</f>
        <v>#REF!</v>
      </c>
      <c r="D25" s="229"/>
      <c r="E25" s="232"/>
      <c r="F25" s="230"/>
      <c r="G25" s="233" t="s">
        <v>1588</v>
      </c>
    </row>
    <row r="26" spans="1:7" s="205" customFormat="1">
      <c r="A26" s="730"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t="e">
        <f ca="1">C28</f>
        <v>#REF!</v>
      </c>
      <c r="D27" s="226">
        <f ca="1">C29</f>
        <v>4.0000000000000001E-3</v>
      </c>
      <c r="E27" s="227" t="s">
        <v>1514</v>
      </c>
      <c r="F27" s="237">
        <f ca="1">IF(B1="",'数据-取费表'!Q16,INDIRECT("'数据-取费表'!q"&amp;$G$1))</f>
        <v>0.2</v>
      </c>
      <c r="G27" s="238" t="s">
        <v>1515</v>
      </c>
    </row>
    <row r="28" spans="1:7" s="205" customFormat="1" ht="13.5" customHeight="1">
      <c r="A28" s="730" t="s">
        <v>346</v>
      </c>
      <c r="B28" s="239" t="s">
        <v>1516</v>
      </c>
      <c r="C28" s="240" t="e">
        <f ca="1">ROUND((C5+C19+C20)*F27,0)</f>
        <v>#REF!</v>
      </c>
      <c r="D28" s="226"/>
      <c r="E28" s="227"/>
      <c r="F28" s="237"/>
      <c r="G28" s="238"/>
    </row>
    <row r="29" spans="1:7" s="205" customFormat="1" ht="13.5" customHeight="1">
      <c r="A29" s="730"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603054</v>
      </c>
      <c r="D33" s="223"/>
      <c r="E33" s="203"/>
      <c r="F33" s="232"/>
      <c r="G33" s="225"/>
    </row>
    <row r="34" spans="1:7" s="249" customFormat="1" ht="13.5" customHeight="1">
      <c r="A34" s="730" t="s">
        <v>346</v>
      </c>
      <c r="B34" s="206" t="s">
        <v>1525</v>
      </c>
      <c r="C34" s="211">
        <f ca="1">ROUND(IF(B1="",SUMPRODUCT('数据-取费表'!K6:K14,'数据-取费表'!L6:L14),INDIRECT("'数据-取费表'!l"&amp;$G$1)*INDIRECT("'数据-取费表'!k"&amp;$G$1)+'数据-取费表'!L14*INDIRECT("'数据-取费表'!S"&amp;$G$1)),0)</f>
        <v>332115</v>
      </c>
      <c r="D34" s="208"/>
      <c r="E34" s="211"/>
      <c r="F34" s="248"/>
      <c r="G34" s="210"/>
    </row>
    <row r="35" spans="1:7" ht="13.5" customHeight="1">
      <c r="A35" s="730" t="s">
        <v>351</v>
      </c>
      <c r="B35" s="206" t="s">
        <v>1527</v>
      </c>
      <c r="C35" s="211">
        <f ca="1">ROUND(C34*F35,0)</f>
        <v>9963</v>
      </c>
      <c r="D35" s="211"/>
      <c r="E35" s="211"/>
      <c r="F35" s="250">
        <f>'数据-取费表'!B33</f>
        <v>0.03</v>
      </c>
      <c r="G35" s="210" t="s">
        <v>1528</v>
      </c>
    </row>
    <row r="36" spans="1:7" ht="24">
      <c r="A36" s="730"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0" t="s">
        <v>353</v>
      </c>
      <c r="B37" s="206" t="s">
        <v>1531</v>
      </c>
      <c r="C37" s="240">
        <f ca="1">ROUND(E37*D37,0)</f>
        <v>255994</v>
      </c>
      <c r="D37" s="208">
        <f ca="1">D19</f>
        <v>1279.97</v>
      </c>
      <c r="E37" s="240">
        <f>'数据-取费表'!B35</f>
        <v>200</v>
      </c>
      <c r="F37" s="250"/>
      <c r="G37" s="252"/>
    </row>
    <row r="38" spans="1:7" ht="13.5" customHeight="1">
      <c r="A38" s="730" t="s">
        <v>354</v>
      </c>
      <c r="B38" s="206" t="s">
        <v>1533</v>
      </c>
      <c r="C38" s="211">
        <f ca="1">ROUND(C34*F38,0)</f>
        <v>4982</v>
      </c>
      <c r="D38" s="211"/>
      <c r="E38" s="211"/>
      <c r="F38" s="250">
        <f>'数据-取费表'!B36</f>
        <v>1.4999999999999999E-2</v>
      </c>
      <c r="G38" s="210" t="s">
        <v>1528</v>
      </c>
    </row>
    <row r="39" spans="1:7" s="205" customFormat="1" ht="13.5" customHeight="1">
      <c r="A39" s="246" t="s">
        <v>1534</v>
      </c>
      <c r="B39" s="201" t="s">
        <v>1535</v>
      </c>
      <c r="C39" s="223">
        <f ca="1">ROUND(C33*F20,0)</f>
        <v>12061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29218</v>
      </c>
      <c r="D41" s="226">
        <f ca="1">C44</f>
        <v>1E-3</v>
      </c>
      <c r="E41" s="227" t="s">
        <v>1539</v>
      </c>
      <c r="F41" s="228">
        <f ca="1">F22</f>
        <v>4.7500000000000001E-2</v>
      </c>
      <c r="G41" s="225" t="str">
        <f>IF('数据-取费表'!B22&lt;=1,"单利计息","复利计息")</f>
        <v>复利计息</v>
      </c>
    </row>
    <row r="42" spans="1:7" ht="13.5" customHeight="1">
      <c r="A42" s="730" t="s">
        <v>346</v>
      </c>
      <c r="B42" s="206" t="s">
        <v>1543</v>
      </c>
      <c r="C42" s="229">
        <f ca="1">ROUND(IF('数据-取费表'!B22&lt;=1,C33*F22*'数据-取费表'!B20/2,C33*(POWER((1+F22),'数据-取费表'!B20/2)-1)),0)</f>
        <v>28645</v>
      </c>
      <c r="D42" s="229"/>
      <c r="E42" s="229"/>
      <c r="F42" s="230"/>
      <c r="G42" s="3484" t="s">
        <v>1591</v>
      </c>
    </row>
    <row r="43" spans="1:7" ht="13.5" customHeight="1">
      <c r="A43" s="730" t="s">
        <v>347</v>
      </c>
      <c r="B43" s="206" t="s">
        <v>1545</v>
      </c>
      <c r="C43" s="229">
        <f ca="1">ROUND(IF('数据-取费表'!B22&lt;=1,C39*F22*'数据-取费表'!B20/2,C39*(POWER((1+F22),'数据-取费表'!B20/2)-1)),0)</f>
        <v>573</v>
      </c>
      <c r="D43" s="229"/>
      <c r="E43" s="229"/>
      <c r="F43" s="230"/>
      <c r="G43" s="3485"/>
    </row>
    <row r="44" spans="1:7" ht="13.5" customHeight="1">
      <c r="A44" s="730" t="s">
        <v>348</v>
      </c>
      <c r="B44" s="206" t="s">
        <v>1546</v>
      </c>
      <c r="C44" s="229">
        <f ca="1">ROUND(IF('数据-取费表'!B22&lt;=1,C40*F22*'数据-取费表'!B20/2,C40*(POWER((1+F22),'数据-取费表'!B20/2)-1)),4)</f>
        <v>1E-3</v>
      </c>
      <c r="D44" s="229"/>
      <c r="E44" s="229"/>
      <c r="F44" s="230"/>
      <c r="G44" s="3486"/>
    </row>
    <row r="45" spans="1:7" s="205" customFormat="1" ht="13.5" customHeight="1">
      <c r="A45" s="246" t="s">
        <v>1547</v>
      </c>
      <c r="B45" s="235" t="s">
        <v>1513</v>
      </c>
      <c r="C45" s="236">
        <f ca="1">C46</f>
        <v>123023</v>
      </c>
      <c r="D45" s="226">
        <f ca="1">C47</f>
        <v>4.0000000000000001E-3</v>
      </c>
      <c r="E45" s="227" t="s">
        <v>1539</v>
      </c>
      <c r="F45" s="237">
        <f ca="1">F27</f>
        <v>0.2</v>
      </c>
      <c r="G45" s="238" t="s">
        <v>1548</v>
      </c>
    </row>
    <row r="46" spans="1:7" s="205" customFormat="1" ht="13.5" customHeight="1">
      <c r="A46" s="730" t="s">
        <v>346</v>
      </c>
      <c r="B46" s="239" t="s">
        <v>1549</v>
      </c>
      <c r="C46" s="240">
        <f ca="1">ROUND((C33+C39)*F27,0)</f>
        <v>123023</v>
      </c>
      <c r="D46" s="254"/>
      <c r="E46" s="227"/>
      <c r="F46" s="237"/>
      <c r="G46" s="238"/>
    </row>
    <row r="47" spans="1:7" s="205" customFormat="1" ht="13.5" customHeight="1">
      <c r="A47" s="730"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832544</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649384</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估价结果一览表（市场价值不需“结果表-1”）</v>
      </c>
      <c r="B3" s="3255"/>
      <c r="C3" s="3255"/>
      <c r="D3" s="3255"/>
      <c r="E3" s="3255"/>
    </row>
    <row r="4" spans="1:5" ht="19.5" thickBot="1">
      <c r="A4" s="1387"/>
      <c r="B4" s="3253" t="s">
        <v>917</v>
      </c>
      <c r="C4" s="3253"/>
      <c r="D4" s="3253"/>
      <c r="E4" s="1387"/>
    </row>
    <row r="5" spans="1:5" ht="16.5" thickTop="1">
      <c r="B5" s="3251" t="s">
        <v>909</v>
      </c>
      <c r="C5" s="1388" t="s">
        <v>910</v>
      </c>
      <c r="D5" s="793" t="e">
        <f ca="1">结果表!H101</f>
        <v>#REF!</v>
      </c>
    </row>
    <row r="6" spans="1:5" ht="15.75">
      <c r="B6" s="3251"/>
      <c r="C6" s="1388" t="s">
        <v>911</v>
      </c>
      <c r="D6" s="793" t="e">
        <f ca="1">NUMBERSTRING(INT(D5*10000),2)&amp;"元整"</f>
        <v>#REF!</v>
      </c>
    </row>
    <row r="7" spans="1:5" ht="15.75">
      <c r="B7" s="3256"/>
      <c r="C7" s="1389" t="s">
        <v>912</v>
      </c>
      <c r="D7" s="794" t="e">
        <f ca="1">结果表!H102</f>
        <v>#REF!</v>
      </c>
    </row>
    <row r="8" spans="1:5" ht="15.75">
      <c r="B8" s="3257" t="str">
        <f>结果表!E103</f>
        <v>2.估价师知悉的法定优先受偿款</v>
      </c>
      <c r="C8" s="1390" t="s">
        <v>913</v>
      </c>
      <c r="D8" s="794">
        <f>结果表!H103</f>
        <v>0</v>
      </c>
    </row>
    <row r="9" spans="1:5" ht="15.75">
      <c r="B9" s="3259"/>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250" t="str">
        <f>结果表!E107</f>
        <v>3.房地产抵押价值</v>
      </c>
      <c r="C13" s="1393" t="s">
        <v>910</v>
      </c>
      <c r="D13" s="796" t="e">
        <f ca="1">结果表!H107</f>
        <v>#REF!</v>
      </c>
    </row>
    <row r="14" spans="1:5" ht="15.75">
      <c r="B14" s="3251"/>
      <c r="C14" s="1388" t="s">
        <v>911</v>
      </c>
      <c r="D14" s="793" t="e">
        <f ca="1">NUMBERSTRING(INT(D13*10000),2)&amp;"元整"</f>
        <v>#REF!</v>
      </c>
    </row>
    <row r="15" spans="1:5" ht="15">
      <c r="B15" s="3256"/>
      <c r="C15" s="1389" t="s">
        <v>921</v>
      </c>
      <c r="D15" s="802" t="e">
        <f ca="1">结果表!H108</f>
        <v>#REF!</v>
      </c>
    </row>
    <row r="16" spans="1:5" ht="15">
      <c r="B16" s="3257" t="str">
        <f>结果表!E109</f>
        <v>——</v>
      </c>
      <c r="C16" s="1393" t="s">
        <v>922</v>
      </c>
      <c r="D16" s="1394" t="str">
        <f>结果表!H109</f>
        <v>——</v>
      </c>
    </row>
    <row r="17" spans="1:5" ht="15.75">
      <c r="B17" s="3258"/>
      <c r="C17" s="1388" t="s">
        <v>923</v>
      </c>
      <c r="D17" s="793" t="e">
        <f>NUMBERSTRING(INT(D16*10000),2)&amp;"元整"</f>
        <v>#VALUE!</v>
      </c>
    </row>
    <row r="18" spans="1:5" ht="15">
      <c r="B18" s="3259"/>
      <c r="C18" s="1389" t="s">
        <v>912</v>
      </c>
      <c r="D18" s="802" t="str">
        <f>结果表!H110</f>
        <v>——</v>
      </c>
    </row>
    <row r="19" spans="1:5" ht="15.75">
      <c r="B19" s="3250" t="str">
        <f>结果表!E111</f>
        <v>——</v>
      </c>
      <c r="C19" s="1393" t="s">
        <v>910</v>
      </c>
      <c r="D19" s="794" t="str">
        <f>结果表!H111</f>
        <v>——</v>
      </c>
    </row>
    <row r="20" spans="1:5" ht="15.75">
      <c r="B20" s="3251"/>
      <c r="C20" s="1388" t="s">
        <v>923</v>
      </c>
      <c r="D20" s="793" t="e">
        <f>NUMBERSTRING(INT(D19*10000),2)&amp;"元整"</f>
        <v>#VALUE!</v>
      </c>
    </row>
    <row r="21" spans="1:5" ht="15.75" thickBot="1">
      <c r="B21" s="3252"/>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E48" sqref="E48"/>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7" t="s">
        <v>1926</v>
      </c>
      <c r="B1" s="188"/>
      <c r="C1" s="192" t="s">
        <v>1927</v>
      </c>
      <c r="D1" s="332" t="e">
        <f>SUM(D33:D34,D37:D42)</f>
        <v>#REF!</v>
      </c>
      <c r="E1" s="1837"/>
      <c r="F1" s="1837"/>
      <c r="G1" s="1837"/>
      <c r="H1" s="1837"/>
      <c r="I1" s="1837"/>
      <c r="J1" s="1837"/>
      <c r="K1" s="1052"/>
      <c r="L1" s="1838" t="s">
        <v>1928</v>
      </c>
      <c r="M1" s="806">
        <f>SUMPRODUCT((区片价!B5:B9=I2)*(区片价!C3:G3=E2)*(区片价!C5:G9))</f>
        <v>0</v>
      </c>
      <c r="N1" s="809">
        <f>SUMPRODUCT((因素修正幅度!B5:B9=I2)*(因素修正幅度!C3:G3=E2)*(因素修正幅度!C5:G9))</f>
        <v>0</v>
      </c>
      <c r="O1" s="1839"/>
      <c r="P1" s="1839"/>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2" t="s">
        <v>1934</v>
      </c>
      <c r="B2" s="195">
        <f>C30</f>
        <v>0</v>
      </c>
      <c r="C2" s="1841" t="s">
        <v>1935</v>
      </c>
      <c r="D2" s="161" t="s">
        <v>1936</v>
      </c>
      <c r="E2" s="3115"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Ⅱ—13</v>
      </c>
      <c r="J2" s="1837"/>
      <c r="K2" s="1052"/>
      <c r="L2" s="1842" t="s">
        <v>1939</v>
      </c>
      <c r="M2" s="807">
        <f>SUMPRODUCT((区片价!B10:B29=I2)*(区片价!C3:G3=E2)*(区片价!C10:G29))</f>
        <v>29830</v>
      </c>
      <c r="N2" s="809">
        <f>SUMPRODUCT((因素修正幅度!B10:B29=I2)*(因素修正幅度!C3:G3=E2)*(因素修正幅度!C10:G29))</f>
        <v>9.5000000000000001E-2</v>
      </c>
      <c r="O2" s="1052"/>
      <c r="P2" s="1052"/>
      <c r="Q2" s="1052"/>
      <c r="R2" s="1125">
        <v>1</v>
      </c>
      <c r="S2" s="3058">
        <f>ROUND(SUMPRODUCT((B106:B110=R2)*(C105:N105=G2)*(C106:N110)),4)</f>
        <v>1.5206</v>
      </c>
      <c r="T2" s="3058">
        <f t="shared" ref="T2:T16" si="0">ROUND($C$5*$C$22*$C$23*$C$24*S2*$C$28,0)</f>
        <v>0</v>
      </c>
      <c r="U2" s="1126"/>
      <c r="V2" s="3058">
        <f>ROUND(T2*U2/10000,0)</f>
        <v>0</v>
      </c>
      <c r="W2" s="1129"/>
      <c r="X2" s="1129"/>
      <c r="Y2" s="1129"/>
      <c r="Z2" s="1129"/>
      <c r="AA2" s="1129"/>
      <c r="AB2" s="1129"/>
      <c r="AC2" s="1130"/>
      <c r="AD2" s="1131"/>
      <c r="AE2" s="1131"/>
      <c r="AF2" s="1131"/>
      <c r="AG2" s="1131"/>
      <c r="AH2" s="1131"/>
      <c r="AI2" s="1131"/>
      <c r="AJ2" s="1132"/>
    </row>
    <row r="3" spans="1:36" ht="15.75">
      <c r="A3" s="194" t="s">
        <v>1940</v>
      </c>
      <c r="B3" s="195" t="e">
        <f>ROUND(B2*10000/D1,0)</f>
        <v>#REF!</v>
      </c>
      <c r="C3" s="1841" t="s">
        <v>1941</v>
      </c>
      <c r="D3" s="161" t="s">
        <v>1942</v>
      </c>
      <c r="E3" s="3113" t="s">
        <v>2436</v>
      </c>
      <c r="F3" s="1843" t="s">
        <v>3573</v>
      </c>
      <c r="G3" s="704">
        <f>IF(F3="宗地容积率",'数据-汇总表'!I4,IF(F3="估价对象容积率",'数据-汇总表'!I6,'数据-汇总表'!I7))</f>
        <v>0</v>
      </c>
      <c r="H3" s="161" t="s">
        <v>1943</v>
      </c>
      <c r="I3" s="725">
        <v>1</v>
      </c>
      <c r="J3" s="1837" t="s">
        <v>1944</v>
      </c>
      <c r="K3" s="1052"/>
      <c r="L3" s="1842" t="s">
        <v>1945</v>
      </c>
      <c r="M3" s="807">
        <f>SUMPRODUCT((区片价!B30:B54=I2)*(区片价!C3:G3=E2)*(区片价!C30:G54))</f>
        <v>0</v>
      </c>
      <c r="N3" s="809">
        <f>SUMPRODUCT((因素修正幅度!B30:B54=I2)*(因素修正幅度!C3:G3=E2)*(因素修正幅度!C30:G54))</f>
        <v>0</v>
      </c>
      <c r="O3" s="1052"/>
      <c r="P3" s="1052"/>
      <c r="Q3" s="1052"/>
      <c r="R3" s="1125">
        <v>2</v>
      </c>
      <c r="S3" s="3058">
        <f>ROUND(SUMPRODUCT((B106:B110=R3)*(C105:N105=G2)*(C106:N110)),4)</f>
        <v>1.2072000000000001</v>
      </c>
      <c r="T3" s="3058">
        <f t="shared" si="0"/>
        <v>0</v>
      </c>
      <c r="U3" s="1126"/>
      <c r="V3" s="3058">
        <f t="shared" ref="V3:V16" si="1">ROUND(T3*U3/10000,0)</f>
        <v>0</v>
      </c>
      <c r="W3" s="1129"/>
      <c r="X3" s="1129"/>
      <c r="Y3" s="1129"/>
      <c r="Z3" s="1129"/>
      <c r="AA3" s="1129"/>
      <c r="AB3" s="1129"/>
      <c r="AC3" s="1130"/>
      <c r="AD3" s="1131"/>
      <c r="AE3" s="1131"/>
      <c r="AF3" s="1131"/>
      <c r="AG3" s="1131"/>
      <c r="AH3" s="1131"/>
      <c r="AI3" s="1131"/>
      <c r="AJ3" s="1132"/>
    </row>
    <row r="4" spans="1:36" ht="15.75">
      <c r="A4" s="3591"/>
      <c r="B4" s="3592"/>
      <c r="C4" s="3592"/>
      <c r="D4" s="3593"/>
      <c r="E4" s="3593"/>
      <c r="F4" s="3593"/>
      <c r="G4" s="3593"/>
      <c r="H4" s="3593"/>
      <c r="I4" s="3593"/>
      <c r="J4" s="3594"/>
      <c r="K4" s="1052"/>
      <c r="L4" s="1842" t="s">
        <v>1946</v>
      </c>
      <c r="M4" s="807">
        <f>SUMPRODUCT((区片价!B55:B86=I2)*(区片价!C3:G3=E2)*(区片价!C55:G86))</f>
        <v>0</v>
      </c>
      <c r="N4" s="809">
        <f>SUMPRODUCT((因素修正幅度!B55:B86=I2)*(因素修正幅度!C3:G3=E2)*(因素修正幅度!C55:G86))</f>
        <v>0</v>
      </c>
      <c r="O4" s="1052"/>
      <c r="P4" s="1052"/>
      <c r="Q4" s="1052"/>
      <c r="R4" s="1125">
        <v>3</v>
      </c>
      <c r="S4" s="3058">
        <f>ROUND(SUMPRODUCT((B106:B110=R4)*(C105:N105=G2)*(C106:N110)),4)</f>
        <v>1.0430999999999999</v>
      </c>
      <c r="T4" s="3058">
        <f t="shared" si="0"/>
        <v>0</v>
      </c>
      <c r="U4" s="1126"/>
      <c r="V4" s="3058">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1947</v>
      </c>
      <c r="C5" s="705">
        <f>ROUND(IF(E2="商业",C6*C7*C17+C20,(IF(E2="住宅",C6*C13*C17+C20,IF(E2="办公",C6*C12*C17+C20,C6+C20)))),0)</f>
        <v>29830</v>
      </c>
      <c r="D5" s="1248">
        <f>ROUND(C6*C17+C20,0)</f>
        <v>29830</v>
      </c>
      <c r="E5" s="1248"/>
      <c r="F5" s="1846"/>
      <c r="G5" s="1847"/>
      <c r="H5" s="1847"/>
      <c r="I5" s="1847"/>
      <c r="J5" s="1848"/>
      <c r="K5" s="1849"/>
      <c r="L5" s="1842" t="s">
        <v>1948</v>
      </c>
      <c r="M5" s="807">
        <f>SUMPRODUCT((区片价!B87:B126=I2)*(区片价!C3:G3=E2)*(区片价!C87:G126))</f>
        <v>0</v>
      </c>
      <c r="N5" s="809">
        <f>SUMPRODUCT((因素修正幅度!B87:B126=I2)*(因素修正幅度!C3:G3=E2)*(因素修正幅度!C87:G126))</f>
        <v>0</v>
      </c>
      <c r="O5" s="1052"/>
      <c r="P5" s="1052"/>
      <c r="Q5" s="1052"/>
      <c r="R5" s="1125">
        <v>4</v>
      </c>
      <c r="S5" s="3058">
        <f>ROUND(SUMPRODUCT((B106:B110=R5)*(C105:N105=G2)*(C106:N110)),4)</f>
        <v>0.94389999999999996</v>
      </c>
      <c r="T5" s="3058">
        <f t="shared" si="0"/>
        <v>0</v>
      </c>
      <c r="U5" s="1126"/>
      <c r="V5" s="3058">
        <f t="shared" si="1"/>
        <v>0</v>
      </c>
      <c r="W5" s="1129"/>
      <c r="X5" s="1129"/>
      <c r="Y5" s="1129"/>
      <c r="Z5" s="1129"/>
      <c r="AA5" s="1129"/>
      <c r="AB5" s="1129"/>
      <c r="AC5" s="1850"/>
      <c r="AD5" s="1851"/>
      <c r="AE5" s="1851"/>
      <c r="AF5" s="1851"/>
      <c r="AG5" s="1851"/>
      <c r="AH5" s="1851"/>
      <c r="AI5" s="1851"/>
      <c r="AJ5" s="1852"/>
    </row>
    <row r="6" spans="1:36" ht="15.75" thickBot="1">
      <c r="A6" s="1854" t="s">
        <v>1949</v>
      </c>
      <c r="B6" s="1855" t="s">
        <v>1950</v>
      </c>
      <c r="C6" s="706">
        <f>SUMIF(L1:L12,G2,M1:M12)</f>
        <v>29830</v>
      </c>
      <c r="D6" s="1856"/>
      <c r="E6" s="1857"/>
      <c r="F6" s="1857"/>
      <c r="G6" s="1858"/>
      <c r="H6" s="1858"/>
      <c r="I6" s="1858"/>
      <c r="J6" s="1859"/>
      <c r="K6" s="1288"/>
      <c r="L6" s="1842" t="s">
        <v>1951</v>
      </c>
      <c r="M6" s="807">
        <f>SUMPRODUCT((区片价!B127:B189=I2)*(区片价!C3:G3=E2)*(区片价!C127:G189))</f>
        <v>0</v>
      </c>
      <c r="N6" s="809">
        <f>SUMPRODUCT((因素修正幅度!B127:B189=I2)*(因素修正幅度!C3:G3=E2)*(因素修正幅度!C127:G189))</f>
        <v>0</v>
      </c>
      <c r="O6" s="1052"/>
      <c r="P6" s="1052"/>
      <c r="Q6" s="1052"/>
      <c r="R6" s="1125">
        <v>5</v>
      </c>
      <c r="S6" s="3058">
        <f>ROUND(SUMPRODUCT((B106:B110=R6)*(C105:N105=G2)*(C106:N110)),4)</f>
        <v>0.89959999999999996</v>
      </c>
      <c r="T6" s="3058">
        <f t="shared" si="0"/>
        <v>0</v>
      </c>
      <c r="U6" s="1126"/>
      <c r="V6" s="3058">
        <f t="shared" si="1"/>
        <v>0</v>
      </c>
      <c r="W6" s="1129"/>
      <c r="X6" s="1129"/>
      <c r="Y6" s="1129"/>
      <c r="Z6" s="1129"/>
      <c r="AA6" s="1129"/>
      <c r="AB6" s="1129"/>
      <c r="AC6" s="1850"/>
      <c r="AD6" s="1851"/>
      <c r="AE6" s="1851"/>
      <c r="AF6" s="1851"/>
      <c r="AG6" s="1851"/>
      <c r="AH6" s="1851"/>
      <c r="AI6" s="1851"/>
      <c r="AJ6" s="1852"/>
    </row>
    <row r="7" spans="1:36" ht="24.75" thickBot="1">
      <c r="A7" s="3007" t="s">
        <v>3236</v>
      </c>
      <c r="B7" s="1860" t="s">
        <v>1952</v>
      </c>
      <c r="C7" s="707">
        <f>IF(C8="不临65条商业街",1,ROUND(1+(1.6*E8+1.2*E9+0.8*E10+0.4*E11)*C9,4))</f>
        <v>1</v>
      </c>
      <c r="D7" s="1861" t="s">
        <v>1953</v>
      </c>
      <c r="E7" s="726"/>
      <c r="F7" s="1862"/>
      <c r="G7" s="1863"/>
      <c r="H7" s="1863"/>
      <c r="I7" s="1863"/>
      <c r="J7" s="1864"/>
      <c r="K7" s="1288"/>
      <c r="L7" s="1842" t="s">
        <v>1954</v>
      </c>
      <c r="M7" s="807">
        <f>SUMPRODUCT((区片价!B190:B233=I2)*(区片价!C3:G3=E2)*(区片价!C190:G233))</f>
        <v>0</v>
      </c>
      <c r="N7" s="809">
        <f>SUMPRODUCT((因素修正幅度!B190:B233=I2)*(因素修正幅度!C3:G3=E2)*(因素修正幅度!C190:G233))</f>
        <v>0</v>
      </c>
      <c r="O7" s="1052"/>
      <c r="P7" s="1052"/>
      <c r="Q7" s="1052"/>
      <c r="R7" s="1125">
        <v>6</v>
      </c>
      <c r="S7" s="3112"/>
      <c r="T7" s="3058">
        <f t="shared" si="0"/>
        <v>0</v>
      </c>
      <c r="U7" s="1126"/>
      <c r="V7" s="3058">
        <f t="shared" si="1"/>
        <v>0</v>
      </c>
      <c r="W7" s="1263" t="s">
        <v>1955</v>
      </c>
      <c r="X7" s="1127" t="str">
        <f>G2</f>
        <v>二级</v>
      </c>
      <c r="Y7" s="1127" t="s">
        <v>1956</v>
      </c>
      <c r="Z7" s="1128">
        <f>G3</f>
        <v>0</v>
      </c>
      <c r="AA7" s="1129"/>
      <c r="AB7" s="1129"/>
      <c r="AC7" s="1130"/>
      <c r="AD7" s="1131"/>
      <c r="AE7" s="1131"/>
      <c r="AF7" s="1131"/>
      <c r="AG7" s="1131"/>
      <c r="AH7" s="1131"/>
      <c r="AI7" s="1131"/>
      <c r="AJ7" s="1132"/>
    </row>
    <row r="8" spans="1:36" ht="25.5">
      <c r="A8" s="3004"/>
      <c r="B8" s="161" t="s">
        <v>1957</v>
      </c>
      <c r="C8" s="1865" t="s">
        <v>3574</v>
      </c>
      <c r="D8" s="708" t="s">
        <v>112</v>
      </c>
      <c r="E8" s="709" t="e">
        <f>ROUND(C11/E7,4)</f>
        <v>#DIV/0!</v>
      </c>
      <c r="F8" s="1866" t="s">
        <v>1958</v>
      </c>
      <c r="G8" s="1867"/>
      <c r="H8" s="1867"/>
      <c r="I8" s="1867"/>
      <c r="J8" s="1868"/>
      <c r="K8" s="1052"/>
      <c r="L8" s="1842" t="s">
        <v>1959</v>
      </c>
      <c r="M8" s="807">
        <f>SUMPRODUCT((区片价!B234:B276=I2)*(区片价!C3:G3=E2)*(区片价!C234:G276))</f>
        <v>0</v>
      </c>
      <c r="N8" s="809">
        <f>SUMPRODUCT((因素修正幅度!B234:B276=I2)*(因素修正幅度!C3:G3=E2)*(因素修正幅度!C234:G276))</f>
        <v>0</v>
      </c>
      <c r="O8" s="1052"/>
      <c r="P8" s="1052"/>
      <c r="Q8" s="1052"/>
      <c r="R8" s="1125">
        <v>7</v>
      </c>
      <c r="S8" s="1126"/>
      <c r="T8" s="3058">
        <f t="shared" si="0"/>
        <v>0</v>
      </c>
      <c r="U8" s="1126"/>
      <c r="V8" s="3058">
        <f t="shared" si="1"/>
        <v>0</v>
      </c>
      <c r="W8" s="3588" t="s">
        <v>1960</v>
      </c>
      <c r="X8" s="358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4"/>
      <c r="B9" s="161" t="s">
        <v>1973</v>
      </c>
      <c r="C9" s="710">
        <f>SUMIF(修正!C71:C138,C8,修正!E71:E138)</f>
        <v>0</v>
      </c>
      <c r="D9" s="162" t="s">
        <v>113</v>
      </c>
      <c r="E9" s="162" t="e">
        <f>ROUND(C11/E7,4)</f>
        <v>#DIV/0!</v>
      </c>
      <c r="F9" s="1866" t="s">
        <v>1974</v>
      </c>
      <c r="G9" s="1867"/>
      <c r="H9" s="1867"/>
      <c r="I9" s="1867"/>
      <c r="J9" s="1868"/>
      <c r="K9" s="1052"/>
      <c r="L9" s="1842" t="s">
        <v>1975</v>
      </c>
      <c r="M9" s="807">
        <f>SUMPRODUCT((区片价!B277:B326=I2)*(区片价!C3:G3=E2)*(区片价!C277:G326))</f>
        <v>0</v>
      </c>
      <c r="N9" s="809">
        <f>SUMPRODUCT((因素修正幅度!B277:B326=I2)*(因素修正幅度!C3:G3=E2)*(因素修正幅度!C277:G326))</f>
        <v>0</v>
      </c>
      <c r="O9" s="1052"/>
      <c r="P9" s="1052"/>
      <c r="Q9" s="1052"/>
      <c r="R9" s="1125">
        <v>8</v>
      </c>
      <c r="S9" s="1126"/>
      <c r="T9" s="3058">
        <f t="shared" si="0"/>
        <v>0</v>
      </c>
      <c r="U9" s="1126"/>
      <c r="V9" s="3058">
        <f t="shared" si="1"/>
        <v>0</v>
      </c>
      <c r="W9" s="3590"/>
      <c r="X9" s="3059" t="s">
        <v>3267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1976</v>
      </c>
      <c r="C10" s="162">
        <f>SUMIF(修正!C71:C138,C8,修正!F71:F138)</f>
        <v>0</v>
      </c>
      <c r="D10" s="162" t="s">
        <v>114</v>
      </c>
      <c r="E10" s="162" t="e">
        <f>ROUND(C11/E7,4)</f>
        <v>#DIV/0!</v>
      </c>
      <c r="F10" s="1866" t="s">
        <v>1977</v>
      </c>
      <c r="G10" s="1867"/>
      <c r="H10" s="1867"/>
      <c r="I10" s="1867"/>
      <c r="J10" s="1868"/>
      <c r="K10" s="1052"/>
      <c r="L10" s="1842"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8">
        <f t="shared" si="0"/>
        <v>0</v>
      </c>
      <c r="U10" s="1126"/>
      <c r="V10" s="3058">
        <f t="shared" si="1"/>
        <v>0</v>
      </c>
      <c r="W10" s="3590"/>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1979</v>
      </c>
      <c r="C11" s="711">
        <f>C10/4</f>
        <v>0</v>
      </c>
      <c r="D11" s="711" t="s">
        <v>115</v>
      </c>
      <c r="E11" s="711" t="e">
        <f>ROUND(C11/E7,4)</f>
        <v>#DIV/0!</v>
      </c>
      <c r="F11" s="1870" t="s">
        <v>1980</v>
      </c>
      <c r="G11" s="1871"/>
      <c r="H11" s="1871"/>
      <c r="I11" s="1871"/>
      <c r="J11" s="1872"/>
      <c r="K11" s="1052"/>
      <c r="L11" s="1842"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5" thickBot="1">
      <c r="A12" s="3007" t="s">
        <v>3237</v>
      </c>
      <c r="B12" s="3008" t="s">
        <v>3238</v>
      </c>
      <c r="C12" s="3009"/>
      <c r="D12" s="3010" t="s">
        <v>3239</v>
      </c>
      <c r="E12" s="3011" t="s">
        <v>3240</v>
      </c>
      <c r="F12" s="3012"/>
      <c r="G12" s="3013"/>
      <c r="H12" s="3013"/>
      <c r="I12" s="3013"/>
      <c r="J12" s="3014"/>
      <c r="K12" s="1052"/>
      <c r="L12" s="1791"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15.75" thickBot="1">
      <c r="A13" s="3007" t="s">
        <v>3241</v>
      </c>
      <c r="B13" s="1873" t="s">
        <v>1982</v>
      </c>
      <c r="C13" s="707">
        <f>ROUND(C16*D16*E16*F16*G16*H16*I16*J16,4)</f>
        <v>0</v>
      </c>
      <c r="D13" s="1874" t="s">
        <v>1983</v>
      </c>
      <c r="E13" s="1875"/>
      <c r="F13" s="1875"/>
      <c r="G13" s="1876"/>
      <c r="H13" s="1876"/>
      <c r="I13" s="1876"/>
      <c r="J13" s="1877"/>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15">
      <c r="A14" s="3003"/>
      <c r="B14" s="1878" t="s">
        <v>1985</v>
      </c>
      <c r="C14" s="1879" t="s">
        <v>1986</v>
      </c>
      <c r="D14" s="1257" t="s">
        <v>1987</v>
      </c>
      <c r="E14" s="27" t="s">
        <v>1988</v>
      </c>
      <c r="F14" s="3015" t="s">
        <v>3242</v>
      </c>
      <c r="G14" s="3015" t="s">
        <v>3242</v>
      </c>
      <c r="H14" s="3015" t="s">
        <v>3242</v>
      </c>
      <c r="I14" s="3015" t="s">
        <v>3242</v>
      </c>
      <c r="J14" s="3015" t="s">
        <v>3242</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80"/>
      <c r="C15" s="1881"/>
      <c r="D15" s="1882"/>
      <c r="E15" s="1883"/>
      <c r="F15" s="1466" t="s">
        <v>3243</v>
      </c>
      <c r="G15" s="1923"/>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2"/>
      <c r="L16" s="1839"/>
      <c r="M16" s="1839"/>
      <c r="N16" s="1839"/>
      <c r="O16" s="1839"/>
      <c r="P16" s="1839"/>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c r="A17" s="3030" t="s">
        <v>3244</v>
      </c>
      <c r="B17" s="3022" t="s">
        <v>3245</v>
      </c>
      <c r="C17" s="3031">
        <f>ROUND(IF(OR(E2="工业",E2="公共服务"),1,IF(AND(E18=0,E19=0),1,IF(AND(E18=J24,E19=G19),0.8,IF(E19=0,1+E17*(-0.2),1+E17*G17*(-0.2))))),4)</f>
        <v>1</v>
      </c>
      <c r="D17" s="3023" t="s">
        <v>3246</v>
      </c>
      <c r="E17" s="3031">
        <f>ROUND(G18/I18,2)</f>
        <v>0</v>
      </c>
      <c r="F17" s="3023" t="s">
        <v>3249</v>
      </c>
      <c r="G17" s="3031" t="e">
        <f>ROUND(E19/G19,2)</f>
        <v>#DIV/0!</v>
      </c>
      <c r="H17" s="3031"/>
      <c r="I17" s="3031"/>
      <c r="J17" s="3032"/>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3"/>
      <c r="B18" s="2304"/>
      <c r="C18" s="3029"/>
      <c r="D18" s="3024" t="s">
        <v>3247</v>
      </c>
      <c r="E18" s="2351"/>
      <c r="F18" s="3025" t="s">
        <v>3250</v>
      </c>
      <c r="G18" s="3029">
        <f>ROUND(1-(1/(POWER(1+G24,E18))),4)</f>
        <v>0</v>
      </c>
      <c r="H18" s="3025" t="s">
        <v>3252</v>
      </c>
      <c r="I18" s="3029">
        <f>ROUND(1-(1/(POWER(1+G24,J24))),4)</f>
        <v>0.88249999999999995</v>
      </c>
      <c r="J18" s="3034"/>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7"/>
    </row>
    <row r="19" spans="1:37" s="1853" customFormat="1" ht="15" thickBot="1">
      <c r="A19" s="3035"/>
      <c r="B19" s="3036"/>
      <c r="C19" s="3037"/>
      <c r="D19" s="3037" t="s">
        <v>3248</v>
      </c>
      <c r="E19" s="3038"/>
      <c r="F19" s="3039" t="s">
        <v>3251</v>
      </c>
      <c r="G19" s="3038"/>
      <c r="H19" s="3037"/>
      <c r="I19" s="3037"/>
      <c r="J19" s="3040"/>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0"/>
      <c r="AH19" s="1975"/>
      <c r="AI19" s="559"/>
      <c r="AJ19" s="559"/>
      <c r="AK19" s="1894"/>
    </row>
    <row r="20" spans="1:37" s="1853" customFormat="1" ht="14.25">
      <c r="A20" s="3595" t="s">
        <v>3253</v>
      </c>
      <c r="B20" s="158" t="s">
        <v>1994</v>
      </c>
      <c r="C20" s="3026">
        <f>ROUND(IF(F21="与级别开发程度一致",0,(G21-E21)/C21),0)</f>
        <v>0</v>
      </c>
      <c r="D20" s="3041" t="s">
        <v>1998</v>
      </c>
      <c r="E20" s="3042"/>
      <c r="F20" s="3601" t="s">
        <v>1995</v>
      </c>
      <c r="G20" s="3602"/>
      <c r="H20" s="3027"/>
      <c r="I20" s="3027"/>
      <c r="J20" s="3028"/>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3" customFormat="1" ht="26.25" thickBot="1">
      <c r="A21" s="3596"/>
      <c r="B21" s="1997" t="s">
        <v>1997</v>
      </c>
      <c r="C21" s="1998">
        <f>IF(E3="M4科研用地",SUMPRODUCT((修正!A2:A7=E3)*(修正!B1:M1=G2)*(修正!B2:M7)),SUMPRODUCT((修正!A2:A7=E2)*(修正!B1:M1=G2)*(修正!B2:M7)))</f>
        <v>3.5</v>
      </c>
      <c r="D21" s="178" t="str">
        <f>IF(OR(G2="八级",G2="九级",G2="十级",G2="十一级",G2="十二级"),"五通一平","七通一平")</f>
        <v>七通一平</v>
      </c>
      <c r="E21" s="1988">
        <f>SUMPRODUCT((修正!B1:M1=G2)*(修正!B17:M17))</f>
        <v>375</v>
      </c>
      <c r="F21" s="1989" t="s">
        <v>3575</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3" customFormat="1" ht="15.75" thickBot="1">
      <c r="A22" s="1991" t="s">
        <v>363</v>
      </c>
      <c r="B22" s="1992" t="s">
        <v>2000</v>
      </c>
      <c r="C22" s="1993">
        <f>SUMIF(修正!C20:C51,E3,修正!E20:E51)</f>
        <v>1</v>
      </c>
      <c r="D22" s="1994"/>
      <c r="E22" s="1995"/>
      <c r="F22" s="1995"/>
      <c r="G22" s="1995"/>
      <c r="H22" s="1995"/>
      <c r="I22" s="1995"/>
      <c r="J22" s="1996"/>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7" t="s">
        <v>364</v>
      </c>
      <c r="B23" s="1888" t="s">
        <v>2001</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2002</v>
      </c>
      <c r="E23" s="713">
        <v>44197</v>
      </c>
      <c r="F23" s="1891" t="s">
        <v>2003</v>
      </c>
      <c r="G23" s="714">
        <f>'数据-取费表'!B2</f>
        <v>45467</v>
      </c>
      <c r="H23" s="3043" t="s">
        <v>3255</v>
      </c>
      <c r="I23" s="3044" t="str">
        <f>IF(H23="季度增幅（自定义）",SUMIF(N25:N28,E2,O25:O28),"")</f>
        <v/>
      </c>
      <c r="J23" s="3136" t="s">
        <v>3254</v>
      </c>
      <c r="K23" s="1057"/>
      <c r="L23" s="1892" t="s">
        <v>2004</v>
      </c>
      <c r="M23" s="1237">
        <f>ROUND(SUMIF(地价!B2:G2,E2,地价!B16:G16),0)</f>
        <v>350</v>
      </c>
      <c r="N23" s="1893" t="s">
        <v>2005</v>
      </c>
      <c r="O23" s="715">
        <f>ROUNDDOWN(DATEDIF(E23,G23,"M")/3,0)</f>
        <v>13</v>
      </c>
      <c r="P23" s="1053"/>
      <c r="Q23" s="2547"/>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2006</v>
      </c>
      <c r="C24" s="716">
        <f>ROUND(POWER(1+G24,J24-I24)*(POWER(1+G24,I24)-1)/(POWER(1+G24,J24)-1),4)</f>
        <v>0.71340000000000003</v>
      </c>
      <c r="D24" s="1897" t="s">
        <v>2007</v>
      </c>
      <c r="E24" s="1244">
        <f>存贷款利率!E22/100</f>
        <v>4.3499999999999997E-2</v>
      </c>
      <c r="F24" s="1897" t="s">
        <v>1999</v>
      </c>
      <c r="G24" s="720">
        <f>SUMIF(M30:Q30,E2,M33:Q33)</f>
        <v>5.5E-2</v>
      </c>
      <c r="H24" s="1897" t="s">
        <v>2008</v>
      </c>
      <c r="I24" s="721">
        <f>SUMIF('数据-取费表'!C6:C15,E2,'数据-取费表'!F6:F15)/COUNTIF('数据-取费表'!C6:C15,E2)</f>
        <v>18.55</v>
      </c>
      <c r="J24" s="722">
        <f>IF(E2="住宅",70,IF(E2="商业",40,50))</f>
        <v>40</v>
      </c>
      <c r="K24" s="1057"/>
      <c r="L24" s="1898" t="s">
        <v>2009</v>
      </c>
      <c r="M24" s="1238">
        <f>ROUND(SUMPRODUCT((地价!A4:A16=YEAR(G23)&amp;"-"&amp;ROUNDUP(MONTH(G23)/3,0))*(地价!B2:G2=E2)*(地价!B4:G16)),0)</f>
        <v>0</v>
      </c>
      <c r="N24" s="1899" t="s">
        <v>2010</v>
      </c>
      <c r="O24" s="1900" t="s">
        <v>2011</v>
      </c>
      <c r="P24" s="1901" t="s">
        <v>2012</v>
      </c>
      <c r="Q24" s="1839"/>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2" t="s">
        <v>366</v>
      </c>
      <c r="B25" s="1903" t="s">
        <v>3576</v>
      </c>
      <c r="C25" s="460">
        <f>IF(B25="容积率修正",IF(G3&lt;10,D26,J26),C27)</f>
        <v>1.5206</v>
      </c>
      <c r="D25" s="1904"/>
      <c r="E25" s="1904"/>
      <c r="F25" s="1904"/>
      <c r="G25" s="1904"/>
      <c r="H25" s="1904"/>
      <c r="I25" s="1904"/>
      <c r="J25" s="1905"/>
      <c r="K25" s="1057"/>
      <c r="L25" s="2547"/>
      <c r="M25" s="2547"/>
      <c r="N25" s="1906" t="s">
        <v>2013</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2014</v>
      </c>
      <c r="B26" s="1907" t="s">
        <v>2015</v>
      </c>
      <c r="C26" s="1907" t="s">
        <v>3256</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3257</v>
      </c>
      <c r="J26" s="373" t="str">
        <f>IF(G3&gt;=10,D115,"——")</f>
        <v>——</v>
      </c>
      <c r="K26" s="1057"/>
      <c r="L26" s="2547"/>
      <c r="M26" s="2547"/>
      <c r="N26" s="1906" t="s">
        <v>2016</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2017</v>
      </c>
      <c r="B27" s="1908" t="s">
        <v>2018</v>
      </c>
      <c r="C27" s="787">
        <f>ROUND(IF(I3&lt;6,SUMPRODUCT((B106:B110=I3)*(C105:N105=G2)*(C106:N110)),SUMIF(C105:N105,G2,C112:N112)),4)</f>
        <v>1.5206</v>
      </c>
      <c r="D27" s="1837"/>
      <c r="E27" s="1837"/>
      <c r="F27" s="1909"/>
      <c r="G27" s="1910"/>
      <c r="H27" s="1911"/>
      <c r="I27" s="1912"/>
      <c r="J27" s="1913"/>
      <c r="K27" s="1052"/>
      <c r="L27" s="1839"/>
      <c r="M27" s="1839"/>
      <c r="N27" s="1906" t="s">
        <v>2019</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2020</v>
      </c>
      <c r="C28" s="712">
        <f>SUMIF(A47:A101,E2,B47:B101)</f>
        <v>1.0493999999999999</v>
      </c>
      <c r="D28" s="1889"/>
      <c r="E28" s="1914"/>
      <c r="F28" s="1914"/>
      <c r="G28" s="1914"/>
      <c r="H28" s="1914"/>
      <c r="I28" s="1914"/>
      <c r="J28" s="1915"/>
      <c r="K28" s="1057"/>
      <c r="L28" s="2547"/>
      <c r="M28" s="2547"/>
      <c r="N28" s="1916"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2022</v>
      </c>
      <c r="C29" s="717"/>
      <c r="D29" s="1863"/>
      <c r="E29" s="1863"/>
      <c r="F29" s="1918"/>
      <c r="G29" s="1863"/>
      <c r="H29" s="1863"/>
      <c r="I29" s="1863"/>
      <c r="J29" s="1864"/>
      <c r="K29" s="1052"/>
      <c r="L29" s="1839"/>
      <c r="M29" s="1839"/>
      <c r="N29" s="2544" t="s">
        <v>2023</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2024</v>
      </c>
      <c r="C30" s="2140">
        <f>IF(B25="容积率修正",E33+SUM(E37:E42),SUM(V2:V16)+SUM(E37:E42))</f>
        <v>0</v>
      </c>
      <c r="D30" s="1920"/>
      <c r="E30" s="1837"/>
      <c r="F30" s="1921"/>
      <c r="G30" s="1837"/>
      <c r="H30" s="1837"/>
      <c r="I30" s="1837"/>
      <c r="J30" s="1922"/>
      <c r="K30" s="1052"/>
      <c r="L30" s="3050" t="s">
        <v>1936</v>
      </c>
      <c r="M30" s="3051" t="s">
        <v>1990</v>
      </c>
      <c r="N30" s="3051" t="s">
        <v>1991</v>
      </c>
      <c r="O30" s="3051" t="s">
        <v>1992</v>
      </c>
      <c r="P30" s="3051" t="s">
        <v>1993</v>
      </c>
      <c r="Q30" s="3054" t="s">
        <v>3261</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2025</v>
      </c>
      <c r="C31" s="718">
        <f>E34+SUM(I37:I42)</f>
        <v>0</v>
      </c>
      <c r="D31" s="1924"/>
      <c r="E31" s="1925"/>
      <c r="F31" s="1926"/>
      <c r="G31" s="1925"/>
      <c r="H31" s="1925"/>
      <c r="I31" s="1925"/>
      <c r="J31" s="1927"/>
      <c r="K31" s="1052"/>
      <c r="L31" s="3052" t="s">
        <v>1996</v>
      </c>
      <c r="M31" s="161">
        <v>0.25</v>
      </c>
      <c r="N31" s="161">
        <v>0.2</v>
      </c>
      <c r="O31" s="161">
        <v>0.15</v>
      </c>
      <c r="P31" s="161">
        <v>0.1</v>
      </c>
      <c r="Q31" s="3047">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2"/>
      <c r="L32" s="3053" t="s">
        <v>1999</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2030</v>
      </c>
      <c r="C33" s="166">
        <f>ROUND(C5*C22*C23*C24*C25*C28,0)</f>
        <v>0</v>
      </c>
      <c r="D33" s="1935" t="e">
        <f>铂郡面积表!#REF!</f>
        <v>#REF!</v>
      </c>
      <c r="E33" s="723" t="e">
        <f>ROUND(C33*D33/10000,0)</f>
        <v>#REF!</v>
      </c>
      <c r="F33" s="3045" t="s">
        <v>3259</v>
      </c>
      <c r="G33" s="1936"/>
      <c r="H33" s="1936"/>
      <c r="I33" s="1936"/>
      <c r="J33" s="1937"/>
      <c r="K33" s="1052"/>
      <c r="L33" s="3048" t="s">
        <v>3262</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2031</v>
      </c>
      <c r="C34" s="178" t="e">
        <f>ROUND(IF(E2="工业",C33*M42,IF(B25="楼层修正",SUM(V2:V16)*M41*10000/D34,C33*M41)),0)</f>
        <v>#DIV/0!</v>
      </c>
      <c r="D34" s="1940"/>
      <c r="E34" s="723">
        <f>ROUND(IF(B25="楼层修正",SUM(V2:V16)*M40,C34*D34/10000),0)</f>
        <v>0</v>
      </c>
      <c r="F34" s="1941" t="s">
        <v>2032</v>
      </c>
      <c r="G34" s="1942"/>
      <c r="H34" s="1942"/>
      <c r="I34" s="1942"/>
      <c r="J34" s="1943"/>
      <c r="K34" s="1052"/>
      <c r="L34" s="3048" t="s">
        <v>3263</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2033</v>
      </c>
      <c r="C35" s="3046" t="s">
        <v>3260</v>
      </c>
      <c r="D35" s="1876"/>
      <c r="E35" s="1946"/>
      <c r="F35" s="1946"/>
      <c r="G35" s="1874" t="s">
        <v>2034</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5" t="s">
        <v>2027</v>
      </c>
      <c r="D36" s="432" t="s">
        <v>2028</v>
      </c>
      <c r="E36" s="432" t="s">
        <v>2029</v>
      </c>
      <c r="F36" s="332" t="s">
        <v>2035</v>
      </c>
      <c r="G36" s="1949" t="s">
        <v>2027</v>
      </c>
      <c r="H36" s="1949" t="s">
        <v>2028</v>
      </c>
      <c r="I36" s="1949" t="s">
        <v>2029</v>
      </c>
      <c r="J36" s="234"/>
      <c r="K36" s="1959" t="s">
        <v>3264</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599"/>
      <c r="B37" s="1950" t="s">
        <v>2036</v>
      </c>
      <c r="C37" s="166">
        <f>ROUND(D5*C22*C23*C24*C28*F37,0)</f>
        <v>0</v>
      </c>
      <c r="D37" s="1935"/>
      <c r="E37" s="162">
        <f>ROUND(C37*D37/10000,0)</f>
        <v>0</v>
      </c>
      <c r="F37" s="162">
        <f>SUMIF(修正!A57:A68,G2,修正!B57:B68)</f>
        <v>0.7</v>
      </c>
      <c r="G37" s="162">
        <f>ROUND(IF(E2="工业",C37*$M$42,C37*$M$41),0)</f>
        <v>0</v>
      </c>
      <c r="H37" s="162">
        <f>D37</f>
        <v>0</v>
      </c>
      <c r="I37" s="162">
        <f>ROUND(G37*H37/10000,0)</f>
        <v>0</v>
      </c>
      <c r="J37" s="2749"/>
      <c r="K37" s="3056" t="s">
        <v>3265</v>
      </c>
      <c r="L37" s="1959">
        <f ca="1">L36+K38</f>
        <v>5.2499999999999998E-2</v>
      </c>
      <c r="M37" s="2360">
        <f ca="1">ROUND($L$37*(1+M31),3)</f>
        <v>6.6000000000000003E-2</v>
      </c>
      <c r="N37" s="2360">
        <f t="shared" ref="N37:Q37" ca="1" si="3">ROUND($L$37*(1+N31),3)</f>
        <v>6.3E-2</v>
      </c>
      <c r="O37" s="2360">
        <f t="shared" ca="1" si="3"/>
        <v>0.06</v>
      </c>
      <c r="P37" s="2360">
        <f t="shared" ca="1" si="3"/>
        <v>5.8000000000000003E-2</v>
      </c>
      <c r="Q37" s="2360">
        <f t="shared" ca="1" si="3"/>
        <v>0.06</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600"/>
      <c r="B38" s="1879" t="s">
        <v>2037</v>
      </c>
      <c r="C38" s="166">
        <f>ROUND(D5*C22*C23*C24*C28*F38,0)</f>
        <v>0</v>
      </c>
      <c r="D38" s="1935"/>
      <c r="E38" s="162">
        <f t="shared" ref="E38:E42" si="4">ROUND(C38*D38/10000,0)</f>
        <v>0</v>
      </c>
      <c r="F38" s="162">
        <f>SUMIF(修正!A57:A68,G2,修正!C57:C68)</f>
        <v>0.4</v>
      </c>
      <c r="G38" s="162">
        <f>ROUND(IF(E2="工业",C38*$M$42,C38*$M$41),0)</f>
        <v>0</v>
      </c>
      <c r="H38" s="162">
        <f t="shared" ref="H38:H42" si="5">D38</f>
        <v>0</v>
      </c>
      <c r="I38" s="162">
        <f t="shared" ref="I38:I42" si="6">ROUND(G38*H38/10000,0)</f>
        <v>0</v>
      </c>
      <c r="J38" s="2748"/>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600"/>
      <c r="B39" s="1879" t="s">
        <v>3258</v>
      </c>
      <c r="C39" s="166">
        <f>ROUND(D5*C22*C23*C24*C28*F39,0)</f>
        <v>0</v>
      </c>
      <c r="D39" s="1935"/>
      <c r="E39" s="162">
        <f t="shared" si="4"/>
        <v>0</v>
      </c>
      <c r="F39" s="162">
        <f>SUMIF(修正!A57:A68,G2,修正!D57:D68)</f>
        <v>0.3</v>
      </c>
      <c r="G39" s="162">
        <f>ROUND(IF(E2="工业",C39*$M$42,C39*$M$41),0)</f>
        <v>0</v>
      </c>
      <c r="H39" s="162">
        <f t="shared" si="5"/>
        <v>0</v>
      </c>
      <c r="I39" s="162">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2038</v>
      </c>
      <c r="C40" s="162">
        <f>ROUND(D5*C22*C23*C24*C28*F40,0)</f>
        <v>0</v>
      </c>
      <c r="D40" s="1935"/>
      <c r="E40" s="162">
        <f t="shared" si="4"/>
        <v>0</v>
      </c>
      <c r="F40" s="166">
        <f>SUMIF(修正!A57:A68,G2,修正!E57:E68)</f>
        <v>0.3</v>
      </c>
      <c r="G40" s="162">
        <f>ROUND(IF(E2="工业",C40*$M$42,C40*$M$41),0)</f>
        <v>0</v>
      </c>
      <c r="H40" s="162">
        <f t="shared" si="5"/>
        <v>0</v>
      </c>
      <c r="I40" s="162">
        <f t="shared" si="6"/>
        <v>0</v>
      </c>
      <c r="J40" s="935"/>
      <c r="L40" s="1952" t="s">
        <v>2039</v>
      </c>
      <c r="M40" s="1953"/>
      <c r="Z40" s="1053"/>
      <c r="AA40" s="1053"/>
      <c r="AB40" s="1053"/>
      <c r="AC40" s="1053"/>
      <c r="AD40" s="1053"/>
      <c r="AE40" s="1053"/>
      <c r="AF40" s="1053"/>
      <c r="AG40" s="1053"/>
      <c r="AH40" s="1053"/>
      <c r="AI40" s="1053"/>
      <c r="AJ40" s="1053"/>
    </row>
    <row r="41" spans="1:37" s="1052" customFormat="1">
      <c r="A41" s="1951"/>
      <c r="B41" s="1879" t="s">
        <v>2040</v>
      </c>
      <c r="C41" s="162">
        <f>ROUND(D5*C22*C23*C44*C28*F41,0)</f>
        <v>0</v>
      </c>
      <c r="D41" s="1935"/>
      <c r="E41" s="162">
        <f t="shared" si="4"/>
        <v>0</v>
      </c>
      <c r="F41" s="166">
        <f>SUMIF(修正!A57:A68,G2,修正!F57:F68)</f>
        <v>0.3</v>
      </c>
      <c r="G41" s="162">
        <f>ROUND(IF(E2="工业",C41*$M$42,C41*$M$41),0)</f>
        <v>0</v>
      </c>
      <c r="H41" s="162">
        <f t="shared" si="5"/>
        <v>0</v>
      </c>
      <c r="I41" s="162">
        <f t="shared" si="6"/>
        <v>0</v>
      </c>
      <c r="J41" s="935"/>
      <c r="L41" s="3057" t="s">
        <v>3266</v>
      </c>
      <c r="M41" s="1954">
        <v>0.25</v>
      </c>
      <c r="Z41" s="1053"/>
      <c r="AA41" s="1053"/>
      <c r="AB41" s="1053"/>
      <c r="AC41" s="1053"/>
      <c r="AD41" s="1053"/>
      <c r="AE41" s="1053"/>
      <c r="AF41" s="1053"/>
      <c r="AG41" s="1053"/>
      <c r="AH41" s="1053"/>
      <c r="AI41" s="1053"/>
      <c r="AJ41" s="1053"/>
    </row>
    <row r="42" spans="1:37" s="1052" customFormat="1" ht="13.5" thickBot="1">
      <c r="A42" s="1938"/>
      <c r="B42" s="1955" t="s">
        <v>2041</v>
      </c>
      <c r="C42" s="178">
        <f>ROUND(D5*C22*C23*C44*C28*F42,0)</f>
        <v>0</v>
      </c>
      <c r="D42" s="1940"/>
      <c r="E42" s="178">
        <f t="shared" si="4"/>
        <v>0</v>
      </c>
      <c r="F42" s="719">
        <f>SUMIF(修正!A57:A68,G2,修正!G57:G68)</f>
        <v>0.2</v>
      </c>
      <c r="G42" s="178">
        <f>ROUND(IF(E2="工业",C42*$M$42,C42*$M$41),0)</f>
        <v>0</v>
      </c>
      <c r="H42" s="178">
        <f t="shared" si="5"/>
        <v>0</v>
      </c>
      <c r="I42" s="178">
        <f t="shared" si="6"/>
        <v>0</v>
      </c>
      <c r="J42" s="1956"/>
      <c r="L42" s="1957" t="s">
        <v>1993</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2119</v>
      </c>
      <c r="C44" s="332">
        <f>ROUND(POWER(1+E44,H44-G44)*(POWER(1+E44,G44)-1)/(POWER(1+E44,H44)-1),4)</f>
        <v>0</v>
      </c>
      <c r="D44" s="162" t="s">
        <v>1999</v>
      </c>
      <c r="E44" s="1986">
        <f>G24</f>
        <v>5.5E-2</v>
      </c>
      <c r="F44" s="162" t="s">
        <v>2008</v>
      </c>
      <c r="G44" s="174"/>
      <c r="H44" s="162">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2042</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2043</v>
      </c>
      <c r="B48" s="1963">
        <f>1+E50</f>
        <v>1.0493999999999999</v>
      </c>
      <c r="C48" s="1721"/>
      <c r="D48" s="695"/>
      <c r="E48" s="696"/>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2044</v>
      </c>
      <c r="B49" s="1258" t="s">
        <v>2045</v>
      </c>
      <c r="C49" s="1258" t="s">
        <v>2046</v>
      </c>
      <c r="D49" s="1258" t="s">
        <v>2047</v>
      </c>
      <c r="E49" s="697" t="s">
        <v>2048</v>
      </c>
      <c r="F49" s="1966" t="s">
        <v>2049</v>
      </c>
      <c r="G49" s="1258" t="s">
        <v>310</v>
      </c>
      <c r="H49" s="1967" t="s">
        <v>2050</v>
      </c>
      <c r="I49" s="1258" t="s">
        <v>2051</v>
      </c>
      <c r="J49" s="529" t="s">
        <v>1721</v>
      </c>
      <c r="K49" s="529" t="s">
        <v>1722</v>
      </c>
      <c r="L49" s="529" t="s">
        <v>1723</v>
      </c>
      <c r="M49" s="529" t="s">
        <v>1724</v>
      </c>
      <c r="N49" s="529" t="s">
        <v>1725</v>
      </c>
      <c r="AA49" s="1053"/>
      <c r="AB49" s="1053"/>
      <c r="AC49" s="1053"/>
      <c r="AD49" s="1053"/>
      <c r="AE49" s="1053"/>
      <c r="AF49" s="1053"/>
      <c r="AG49" s="1053"/>
      <c r="AH49" s="1053"/>
      <c r="AI49" s="1053"/>
      <c r="AJ49" s="1053"/>
      <c r="AK49" s="1053"/>
    </row>
    <row r="50" spans="1:37" s="1052" customFormat="1" ht="51">
      <c r="A50" s="1965" t="s">
        <v>2052</v>
      </c>
      <c r="B50" s="1968" t="str">
        <f>估价对象房地状况!C4</f>
        <v>估价对象周边有世茂广场、太古里、三里屯SOHO以及住宅配套商业，人流量较大，商业繁华度较好。</v>
      </c>
      <c r="C50" s="1882" t="s">
        <v>3578</v>
      </c>
      <c r="D50" s="998">
        <f t="shared" ref="D50:D58" si="7">SUMIF($J$49:$N$49,C50,J50:N50)</f>
        <v>1.4200000000000001E-2</v>
      </c>
      <c r="E50" s="698">
        <f>ROUND(SUM(D50:D58),4)</f>
        <v>4.9399999999999999E-2</v>
      </c>
      <c r="F50" s="1670">
        <f>IF(E2="商业",SUMIF(L1:L12,G2,N1:N12),"——")</f>
        <v>9.5000000000000001E-2</v>
      </c>
      <c r="G50" s="996">
        <v>1.4200000000000001E-2</v>
      </c>
      <c r="H50" s="999">
        <f t="shared" ref="H50:H58" si="8">IFERROR(ROUNDDOWN($F$50*I50/2,4),"——")</f>
        <v>1.4200000000000001E-2</v>
      </c>
      <c r="I50" s="3063">
        <v>0.3</v>
      </c>
      <c r="J50" s="997">
        <f t="shared" ref="J50:J58" si="9">K50+$G50</f>
        <v>2.8400000000000002E-2</v>
      </c>
      <c r="K50" s="997">
        <f t="shared" ref="K50:K58" si="10">$L50+$G50</f>
        <v>1.4200000000000001E-2</v>
      </c>
      <c r="L50" s="997">
        <v>0</v>
      </c>
      <c r="M50" s="997">
        <f t="shared" ref="M50:N58" si="11">L50-$G50</f>
        <v>-1.4200000000000001E-2</v>
      </c>
      <c r="N50" s="997">
        <f t="shared" si="11"/>
        <v>-2.8400000000000002E-2</v>
      </c>
      <c r="AA50" s="1053"/>
      <c r="AB50" s="1053"/>
      <c r="AC50" s="1053"/>
      <c r="AD50" s="1053"/>
      <c r="AE50" s="1053"/>
      <c r="AF50" s="1053"/>
      <c r="AG50" s="1053"/>
      <c r="AH50" s="1053"/>
      <c r="AI50" s="1053"/>
      <c r="AJ50" s="1053"/>
      <c r="AK50" s="1053"/>
    </row>
    <row r="51" spans="1:37" s="1052" customFormat="1" ht="44.25" customHeight="1">
      <c r="A51" s="1965" t="s">
        <v>2053</v>
      </c>
      <c r="B51" s="1258" t="str">
        <f>估价对象房地状况!C18</f>
        <v>估价对象周边有3路、24路、110路、117路、120路、135路、403路等多条公交线路，距离地铁10号线农业展览馆站约1000米，周边道路网线较密集，通达度较好。综合评价交通便捷度较好。</v>
      </c>
      <c r="C51" s="1882" t="s">
        <v>3578</v>
      </c>
      <c r="D51" s="998">
        <f t="shared" si="7"/>
        <v>1.04E-2</v>
      </c>
      <c r="E51" s="699"/>
      <c r="F51" s="1670"/>
      <c r="G51" s="996">
        <v>1.04E-2</v>
      </c>
      <c r="H51" s="999">
        <f t="shared" si="8"/>
        <v>1.04E-2</v>
      </c>
      <c r="I51" s="3063">
        <v>0.22</v>
      </c>
      <c r="J51" s="997">
        <f t="shared" si="9"/>
        <v>2.0799999999999999E-2</v>
      </c>
      <c r="K51" s="997">
        <f t="shared" si="10"/>
        <v>1.04E-2</v>
      </c>
      <c r="L51" s="997">
        <v>0</v>
      </c>
      <c r="M51" s="997">
        <f t="shared" si="11"/>
        <v>-1.04E-2</v>
      </c>
      <c r="N51" s="997">
        <f t="shared" si="11"/>
        <v>-2.0799999999999999E-2</v>
      </c>
      <c r="AA51" s="1053"/>
      <c r="AB51" s="1053"/>
      <c r="AC51" s="1053"/>
      <c r="AD51" s="1053"/>
      <c r="AE51" s="1053"/>
      <c r="AF51" s="1053"/>
      <c r="AG51" s="1053"/>
      <c r="AH51" s="1053"/>
      <c r="AI51" s="1053"/>
      <c r="AJ51" s="1053"/>
      <c r="AK51" s="1053"/>
    </row>
    <row r="52" spans="1:37" s="1052" customFormat="1" ht="36">
      <c r="A52" s="3065" t="s">
        <v>3268</v>
      </c>
      <c r="B52" s="1258">
        <f>估价对象房地状况!C19</f>
        <v>0</v>
      </c>
      <c r="C52" s="1882" t="s">
        <v>3578</v>
      </c>
      <c r="D52" s="998">
        <f t="shared" si="7"/>
        <v>5.7000000000000002E-3</v>
      </c>
      <c r="E52" s="699"/>
      <c r="F52" s="1670"/>
      <c r="G52" s="996">
        <v>5.7000000000000002E-3</v>
      </c>
      <c r="H52" s="999">
        <f t="shared" si="8"/>
        <v>5.7000000000000002E-3</v>
      </c>
      <c r="I52" s="3063">
        <v>0.12</v>
      </c>
      <c r="J52" s="997">
        <f t="shared" si="9"/>
        <v>1.14E-2</v>
      </c>
      <c r="K52" s="997">
        <f t="shared" si="10"/>
        <v>5.7000000000000002E-3</v>
      </c>
      <c r="L52" s="997">
        <v>0</v>
      </c>
      <c r="M52" s="997">
        <f t="shared" si="11"/>
        <v>-5.7000000000000002E-3</v>
      </c>
      <c r="N52" s="997">
        <f t="shared" si="11"/>
        <v>-1.14E-2</v>
      </c>
      <c r="AA52" s="1053"/>
      <c r="AB52" s="1053"/>
      <c r="AC52" s="1053"/>
      <c r="AD52" s="1053"/>
      <c r="AE52" s="1053"/>
      <c r="AF52" s="1053"/>
      <c r="AG52" s="1053"/>
      <c r="AH52" s="1053"/>
      <c r="AI52" s="1053"/>
      <c r="AJ52" s="1053"/>
      <c r="AK52" s="1053"/>
    </row>
    <row r="53" spans="1:37" s="1052" customFormat="1" ht="36.75">
      <c r="A53" s="1965" t="s">
        <v>2054</v>
      </c>
      <c r="B53" s="1969" t="s">
        <v>2055</v>
      </c>
      <c r="C53" s="1882" t="s">
        <v>3578</v>
      </c>
      <c r="D53" s="998">
        <f t="shared" si="7"/>
        <v>2.3E-3</v>
      </c>
      <c r="E53" s="699"/>
      <c r="F53" s="1670"/>
      <c r="G53" s="996">
        <v>2.3E-3</v>
      </c>
      <c r="H53" s="999">
        <f t="shared" si="8"/>
        <v>2.3E-3</v>
      </c>
      <c r="I53" s="3063">
        <v>0.05</v>
      </c>
      <c r="J53" s="997">
        <f t="shared" si="9"/>
        <v>4.5999999999999999E-3</v>
      </c>
      <c r="K53" s="997">
        <f t="shared" si="10"/>
        <v>2.3E-3</v>
      </c>
      <c r="L53" s="997">
        <v>0</v>
      </c>
      <c r="M53" s="997">
        <f t="shared" si="11"/>
        <v>-2.3E-3</v>
      </c>
      <c r="N53" s="997">
        <f t="shared" si="11"/>
        <v>-4.5999999999999999E-3</v>
      </c>
      <c r="AA53" s="1053"/>
      <c r="AB53" s="1053"/>
      <c r="AC53" s="1053"/>
      <c r="AD53" s="1053"/>
      <c r="AE53" s="1053"/>
      <c r="AF53" s="1053"/>
      <c r="AG53" s="1053"/>
      <c r="AH53" s="1053"/>
      <c r="AI53" s="1053"/>
      <c r="AJ53" s="1053"/>
      <c r="AK53" s="1053"/>
    </row>
    <row r="54" spans="1:37" s="1052" customFormat="1" ht="24">
      <c r="A54" s="1965" t="s">
        <v>2056</v>
      </c>
      <c r="B54" s="1258">
        <f>估价对象房地状况!C24</f>
        <v>0</v>
      </c>
      <c r="C54" s="1882" t="s">
        <v>3577</v>
      </c>
      <c r="D54" s="998">
        <f t="shared" si="7"/>
        <v>0</v>
      </c>
      <c r="E54" s="699"/>
      <c r="F54" s="1670"/>
      <c r="G54" s="996">
        <v>3.8E-3</v>
      </c>
      <c r="H54" s="999">
        <f t="shared" si="8"/>
        <v>3.8E-3</v>
      </c>
      <c r="I54" s="3063">
        <v>0.08</v>
      </c>
      <c r="J54" s="997">
        <f t="shared" si="9"/>
        <v>7.6E-3</v>
      </c>
      <c r="K54" s="997">
        <f t="shared" si="10"/>
        <v>3.8E-3</v>
      </c>
      <c r="L54" s="997">
        <v>0</v>
      </c>
      <c r="M54" s="997">
        <f t="shared" si="11"/>
        <v>-3.8E-3</v>
      </c>
      <c r="N54" s="997">
        <f t="shared" si="11"/>
        <v>-7.6E-3</v>
      </c>
      <c r="AA54" s="1053"/>
      <c r="AB54" s="1053"/>
      <c r="AC54" s="1053"/>
      <c r="AD54" s="1053"/>
      <c r="AE54" s="1053"/>
      <c r="AF54" s="1053"/>
      <c r="AG54" s="1053"/>
      <c r="AH54" s="1053"/>
      <c r="AI54" s="1053"/>
      <c r="AJ54" s="1053"/>
      <c r="AK54" s="1053"/>
    </row>
    <row r="55" spans="1:37" s="1052" customFormat="1" ht="24">
      <c r="A55" s="1965" t="s">
        <v>2057</v>
      </c>
      <c r="B55" s="1970" t="s">
        <v>2058</v>
      </c>
      <c r="C55" s="1882" t="s">
        <v>3578</v>
      </c>
      <c r="D55" s="998">
        <f t="shared" si="7"/>
        <v>2.3E-3</v>
      </c>
      <c r="E55" s="699"/>
      <c r="F55" s="1670"/>
      <c r="G55" s="996">
        <v>2.3E-3</v>
      </c>
      <c r="H55" s="999">
        <f t="shared" si="8"/>
        <v>2.3E-3</v>
      </c>
      <c r="I55" s="3063">
        <v>0.05</v>
      </c>
      <c r="J55" s="997">
        <f t="shared" si="9"/>
        <v>4.5999999999999999E-3</v>
      </c>
      <c r="K55" s="997">
        <f t="shared" si="10"/>
        <v>2.3E-3</v>
      </c>
      <c r="L55" s="997">
        <v>0</v>
      </c>
      <c r="M55" s="997">
        <f t="shared" si="11"/>
        <v>-2.3E-3</v>
      </c>
      <c r="N55" s="997">
        <f t="shared" si="11"/>
        <v>-4.5999999999999999E-3</v>
      </c>
      <c r="AA55" s="1053"/>
      <c r="AB55" s="1053"/>
      <c r="AC55" s="1053"/>
      <c r="AD55" s="1053"/>
      <c r="AE55" s="1053"/>
      <c r="AF55" s="1053"/>
      <c r="AG55" s="1053"/>
      <c r="AH55" s="1053"/>
      <c r="AI55" s="1053"/>
      <c r="AJ55" s="1053"/>
      <c r="AK55" s="1053"/>
    </row>
    <row r="56" spans="1:37" s="1052" customFormat="1" ht="78" customHeight="1">
      <c r="A56" s="1971" t="s">
        <v>2059</v>
      </c>
      <c r="B56"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6" s="1882" t="s">
        <v>3585</v>
      </c>
      <c r="D56" s="998">
        <f t="shared" si="7"/>
        <v>4.5999999999999999E-3</v>
      </c>
      <c r="E56" s="699"/>
      <c r="F56" s="1670"/>
      <c r="G56" s="996">
        <v>2.3E-3</v>
      </c>
      <c r="H56" s="999">
        <f t="shared" si="8"/>
        <v>2.3E-3</v>
      </c>
      <c r="I56" s="3063">
        <v>0.05</v>
      </c>
      <c r="J56" s="997">
        <f t="shared" si="9"/>
        <v>4.5999999999999999E-3</v>
      </c>
      <c r="K56" s="997">
        <f t="shared" si="10"/>
        <v>2.3E-3</v>
      </c>
      <c r="L56" s="997">
        <v>0</v>
      </c>
      <c r="M56" s="997">
        <f t="shared" si="11"/>
        <v>-2.3E-3</v>
      </c>
      <c r="N56" s="997">
        <f t="shared" si="11"/>
        <v>-4.5999999999999999E-3</v>
      </c>
      <c r="AA56" s="1053"/>
      <c r="AB56" s="1053"/>
      <c r="AC56" s="1053"/>
      <c r="AD56" s="1053"/>
      <c r="AE56" s="1053"/>
      <c r="AF56" s="1053"/>
      <c r="AG56" s="1053"/>
      <c r="AH56" s="1053"/>
      <c r="AI56" s="1053"/>
      <c r="AJ56" s="1053"/>
      <c r="AK56" s="1053"/>
    </row>
    <row r="57" spans="1:37" s="1052" customFormat="1" ht="25.5">
      <c r="A57" s="1971" t="s">
        <v>2060</v>
      </c>
      <c r="B57" s="1258" t="str">
        <f>估价对象房地状况!C22</f>
        <v>估价对象所在区域基础设施水平-七通</v>
      </c>
      <c r="C57" s="1882" t="s">
        <v>3585</v>
      </c>
      <c r="D57" s="998">
        <f t="shared" si="7"/>
        <v>7.6E-3</v>
      </c>
      <c r="E57" s="699"/>
      <c r="F57" s="1670"/>
      <c r="G57" s="996">
        <v>3.8E-3</v>
      </c>
      <c r="H57" s="999">
        <f t="shared" si="8"/>
        <v>3.8E-3</v>
      </c>
      <c r="I57" s="3063">
        <v>0.08</v>
      </c>
      <c r="J57" s="997">
        <f t="shared" si="9"/>
        <v>7.6E-3</v>
      </c>
      <c r="K57" s="997">
        <f t="shared" si="10"/>
        <v>3.8E-3</v>
      </c>
      <c r="L57" s="997">
        <v>0</v>
      </c>
      <c r="M57" s="997">
        <f t="shared" si="11"/>
        <v>-3.8E-3</v>
      </c>
      <c r="N57" s="997">
        <f t="shared" si="11"/>
        <v>-7.6E-3</v>
      </c>
      <c r="AA57" s="1053"/>
      <c r="AB57" s="1053"/>
      <c r="AC57" s="1053"/>
      <c r="AD57" s="1053"/>
      <c r="AE57" s="1053"/>
      <c r="AF57" s="1053"/>
      <c r="AG57" s="1053"/>
      <c r="AH57" s="1053"/>
      <c r="AI57" s="1053"/>
      <c r="AJ57" s="1053"/>
      <c r="AK57" s="1053"/>
    </row>
    <row r="58" spans="1:37" s="1052" customFormat="1" ht="64.5" thickBot="1">
      <c r="A58" s="1972" t="s">
        <v>2061</v>
      </c>
      <c r="B58" s="1973" t="str">
        <f>估价对象房地状况!C20</f>
        <v>估价对象周边有帽子公园、新中街城市森林公园等绿化景观，北京工人体育场、农业展览馆等人文场所，综合评价环境状况较好。</v>
      </c>
      <c r="C58" s="1882" t="s">
        <v>3578</v>
      </c>
      <c r="D58" s="998">
        <f t="shared" si="7"/>
        <v>2.3E-3</v>
      </c>
      <c r="E58" s="700"/>
      <c r="F58" s="1670"/>
      <c r="G58" s="996">
        <v>2.3E-3</v>
      </c>
      <c r="H58" s="999">
        <f t="shared" si="8"/>
        <v>2.3E-3</v>
      </c>
      <c r="I58" s="3064">
        <v>0.05</v>
      </c>
      <c r="J58" s="997">
        <f t="shared" si="9"/>
        <v>4.5999999999999999E-3</v>
      </c>
      <c r="K58" s="997">
        <f t="shared" si="10"/>
        <v>2.3E-3</v>
      </c>
      <c r="L58" s="997">
        <v>0</v>
      </c>
      <c r="M58" s="997">
        <f t="shared" si="11"/>
        <v>-2.3E-3</v>
      </c>
      <c r="N58" s="997">
        <f t="shared" si="11"/>
        <v>-4.5999999999999999E-3</v>
      </c>
      <c r="AA58" s="1053"/>
      <c r="AB58" s="1053"/>
      <c r="AC58" s="1053"/>
      <c r="AD58" s="1053"/>
      <c r="AE58" s="1053"/>
      <c r="AF58" s="1053"/>
      <c r="AG58" s="1053"/>
      <c r="AH58" s="1053"/>
      <c r="AI58" s="1053"/>
      <c r="AJ58" s="1053"/>
      <c r="AK58" s="1053"/>
    </row>
    <row r="59" spans="1:37" s="1052" customFormat="1" ht="15">
      <c r="A59" s="1962" t="s">
        <v>2062</v>
      </c>
      <c r="B59" s="1963">
        <f>1+E61</f>
        <v>1</v>
      </c>
      <c r="C59" s="695"/>
      <c r="D59" s="695"/>
      <c r="E59" s="696"/>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2044</v>
      </c>
      <c r="B60" s="1258"/>
      <c r="C60" s="1258" t="s">
        <v>2046</v>
      </c>
      <c r="D60" s="1258" t="s">
        <v>2047</v>
      </c>
      <c r="E60" s="697" t="s">
        <v>2048</v>
      </c>
      <c r="F60" s="1966" t="s">
        <v>2063</v>
      </c>
      <c r="G60" s="1258" t="s">
        <v>310</v>
      </c>
      <c r="H60" s="1967" t="s">
        <v>2050</v>
      </c>
      <c r="I60" s="1258" t="s">
        <v>2051</v>
      </c>
      <c r="J60" s="529" t="s">
        <v>1721</v>
      </c>
      <c r="K60" s="529" t="s">
        <v>1722</v>
      </c>
      <c r="L60" s="529" t="s">
        <v>1723</v>
      </c>
      <c r="M60" s="529" t="s">
        <v>1724</v>
      </c>
      <c r="N60" s="529" t="s">
        <v>1725</v>
      </c>
      <c r="AA60" s="1053"/>
      <c r="AB60" s="1053"/>
      <c r="AC60" s="1053"/>
      <c r="AD60" s="1053"/>
      <c r="AE60" s="1053"/>
      <c r="AF60" s="1053"/>
      <c r="AG60" s="1053"/>
      <c r="AH60" s="1053"/>
      <c r="AI60" s="1053"/>
      <c r="AJ60" s="1053"/>
      <c r="AK60" s="1053"/>
    </row>
    <row r="61" spans="1:37" s="1052" customFormat="1" ht="38.25">
      <c r="A61" s="1965" t="s">
        <v>2064</v>
      </c>
      <c r="B61" s="1968" t="str">
        <f>估价对象房地状况!C17</f>
        <v>估价对象位于XX商圈，周边办公楼项目较多，入驻率高，办公集聚程度较好</v>
      </c>
      <c r="C61" s="1882"/>
      <c r="D61" s="998">
        <f t="shared" ref="D61:D69" si="12">SUMIF($J$60:$N$60,C61,J61:N61)</f>
        <v>0</v>
      </c>
      <c r="E61" s="698">
        <f>ROUND(SUM(D61:D69),4)</f>
        <v>0</v>
      </c>
      <c r="F61" s="1670" t="str">
        <f>IF(E2="办公",SUMIF(L1:L12,G2,N1:N12),"——")</f>
        <v>——</v>
      </c>
      <c r="G61" s="996"/>
      <c r="H61" s="999" t="str">
        <f t="shared" ref="H61:H69" si="13">IFERROR(ROUNDDOWN($F$61*I61/2,4),"——")</f>
        <v>——</v>
      </c>
      <c r="I61" s="3063">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89.25">
      <c r="A62" s="1965" t="s">
        <v>2053</v>
      </c>
      <c r="B62" s="1258" t="str">
        <f>估价对象房地状况!C18</f>
        <v>估价对象周边有3路、24路、110路、117路、120路、135路、403路等多条公交线路，距离地铁10号线农业展览馆站约1000米，周边道路网线较密集，通达度较好。综合评价交通便捷度较好。</v>
      </c>
      <c r="C62" s="1882"/>
      <c r="D62" s="998">
        <f t="shared" si="12"/>
        <v>0</v>
      </c>
      <c r="E62" s="699"/>
      <c r="F62" s="1670"/>
      <c r="G62" s="996"/>
      <c r="H62" s="999" t="str">
        <f t="shared" si="13"/>
        <v>——</v>
      </c>
      <c r="I62" s="3063">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c r="A63" s="3065" t="s">
        <v>3268</v>
      </c>
      <c r="B63" s="1258">
        <f>估价对象房地状况!C19</f>
        <v>0</v>
      </c>
      <c r="C63" s="1882"/>
      <c r="D63" s="998">
        <f t="shared" si="12"/>
        <v>0</v>
      </c>
      <c r="E63" s="699"/>
      <c r="F63" s="1670"/>
      <c r="G63" s="996"/>
      <c r="H63" s="999" t="str">
        <f t="shared" si="13"/>
        <v>——</v>
      </c>
      <c r="I63" s="3063">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c r="A64" s="1965" t="s">
        <v>2054</v>
      </c>
      <c r="B64" s="1969" t="s">
        <v>2055</v>
      </c>
      <c r="C64" s="1882"/>
      <c r="D64" s="998">
        <f t="shared" si="12"/>
        <v>0</v>
      </c>
      <c r="E64" s="699"/>
      <c r="F64" s="1670"/>
      <c r="G64" s="996"/>
      <c r="H64" s="999" t="str">
        <f t="shared" si="13"/>
        <v>——</v>
      </c>
      <c r="I64" s="3063">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5" t="s">
        <v>2056</v>
      </c>
      <c r="B65" s="1258">
        <f>估价对象房地状况!C24</f>
        <v>0</v>
      </c>
      <c r="C65" s="1882"/>
      <c r="D65" s="998">
        <f t="shared" si="12"/>
        <v>0</v>
      </c>
      <c r="E65" s="699"/>
      <c r="F65" s="1670"/>
      <c r="G65" s="996"/>
      <c r="H65" s="999" t="str">
        <f t="shared" si="13"/>
        <v>——</v>
      </c>
      <c r="I65" s="3063">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c r="A66" s="1965" t="s">
        <v>2057</v>
      </c>
      <c r="B66" s="1970" t="s">
        <v>2058</v>
      </c>
      <c r="C66" s="1882"/>
      <c r="D66" s="998">
        <f t="shared" si="12"/>
        <v>0</v>
      </c>
      <c r="E66" s="699"/>
      <c r="F66" s="1670"/>
      <c r="G66" s="996"/>
      <c r="H66" s="999" t="str">
        <f t="shared" si="13"/>
        <v>——</v>
      </c>
      <c r="I66" s="3063">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191.25">
      <c r="A67" s="1965" t="s">
        <v>2059</v>
      </c>
      <c r="B67"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7" s="1882"/>
      <c r="D67" s="998">
        <f t="shared" si="12"/>
        <v>0</v>
      </c>
      <c r="E67" s="699"/>
      <c r="F67" s="1670"/>
      <c r="G67" s="996"/>
      <c r="H67" s="999" t="str">
        <f t="shared" si="13"/>
        <v>——</v>
      </c>
      <c r="I67" s="3063">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5.5">
      <c r="A68" s="1965" t="s">
        <v>2060</v>
      </c>
      <c r="B68" s="1236" t="str">
        <f>估价对象房地状况!C22</f>
        <v>估价对象所在区域基础设施水平-七通</v>
      </c>
      <c r="C68" s="1882"/>
      <c r="D68" s="998">
        <f t="shared" si="12"/>
        <v>0</v>
      </c>
      <c r="E68" s="699"/>
      <c r="F68" s="1670"/>
      <c r="G68" s="996"/>
      <c r="H68" s="999" t="str">
        <f t="shared" si="13"/>
        <v>——</v>
      </c>
      <c r="I68" s="3063">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64.5" thickBot="1">
      <c r="A69" s="1972" t="s">
        <v>2061</v>
      </c>
      <c r="B69" s="1974" t="str">
        <f>估价对象房地状况!C20</f>
        <v>估价对象周边有帽子公园、新中街城市森林公园等绿化景观，北京工人体育场、农业展览馆等人文场所，综合评价环境状况较好。</v>
      </c>
      <c r="C69" s="1882"/>
      <c r="D69" s="998">
        <f t="shared" si="12"/>
        <v>0</v>
      </c>
      <c r="E69" s="700"/>
      <c r="F69" s="1670"/>
      <c r="G69" s="996"/>
      <c r="H69" s="999" t="str">
        <f t="shared" si="13"/>
        <v>——</v>
      </c>
      <c r="I69" s="3064">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c r="A70" s="1962" t="s">
        <v>2065</v>
      </c>
      <c r="B70" s="1963">
        <f>1+E72</f>
        <v>1</v>
      </c>
      <c r="C70" s="695"/>
      <c r="D70" s="695"/>
      <c r="E70" s="696"/>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2044</v>
      </c>
      <c r="B71" s="1258"/>
      <c r="C71" s="1258" t="s">
        <v>2046</v>
      </c>
      <c r="D71" s="1258" t="s">
        <v>2047</v>
      </c>
      <c r="E71" s="697" t="s">
        <v>2048</v>
      </c>
      <c r="F71" s="1966" t="s">
        <v>2063</v>
      </c>
      <c r="G71" s="1258" t="s">
        <v>310</v>
      </c>
      <c r="H71" s="1967" t="s">
        <v>2050</v>
      </c>
      <c r="I71" s="1258" t="s">
        <v>2051</v>
      </c>
      <c r="J71" s="529" t="s">
        <v>1721</v>
      </c>
      <c r="K71" s="529" t="s">
        <v>1722</v>
      </c>
      <c r="L71" s="529" t="s">
        <v>1723</v>
      </c>
      <c r="M71" s="529" t="s">
        <v>1724</v>
      </c>
      <c r="N71" s="529" t="s">
        <v>1725</v>
      </c>
      <c r="AA71" s="1053"/>
      <c r="AB71" s="1053"/>
      <c r="AC71" s="1053"/>
      <c r="AD71" s="1053"/>
      <c r="AE71" s="1053"/>
      <c r="AF71" s="1053"/>
      <c r="AG71" s="1053"/>
      <c r="AH71" s="1053"/>
      <c r="AI71" s="1053"/>
      <c r="AJ71" s="1053"/>
      <c r="AK71" s="1053"/>
    </row>
    <row r="72" spans="1:37" s="1052" customFormat="1" ht="51">
      <c r="A72" s="1965" t="s">
        <v>2066</v>
      </c>
      <c r="B72" s="1968" t="str">
        <f>估价对象房地状况!C15</f>
        <v>估价对象周边居住用地比例、居住小区规模和社区发展完善程度，综合评价居住社区成熟度一般</v>
      </c>
      <c r="C72" s="1882"/>
      <c r="D72" s="998">
        <f t="shared" ref="D72:D80" si="17">SUMIF($J$71:$N$71,C72,J72:N72)</f>
        <v>0</v>
      </c>
      <c r="E72" s="698">
        <f>ROUND(SUM(D72:D80),4)</f>
        <v>0</v>
      </c>
      <c r="F72" s="1670" t="str">
        <f>IF(E2="住宅",SUMIF(L1:L12,G2,N1:N12),"——")</f>
        <v>——</v>
      </c>
      <c r="G72" s="996"/>
      <c r="H72" s="999" t="str">
        <f t="shared" ref="H72:H80" si="18">IFERROR(ROUNDDOWN($F$72*I72/2,4),"——")</f>
        <v>——</v>
      </c>
      <c r="I72" s="3063">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89.25">
      <c r="A73" s="1965" t="s">
        <v>2053</v>
      </c>
      <c r="B73" s="1258" t="str">
        <f>估价对象房地状况!C18</f>
        <v>估价对象周边有3路、24路、110路、117路、120路、135路、403路等多条公交线路，距离地铁10号线农业展览馆站约1000米，周边道路网线较密集，通达度较好。综合评价交通便捷度较好。</v>
      </c>
      <c r="C73" s="1882"/>
      <c r="D73" s="998">
        <f t="shared" si="17"/>
        <v>0</v>
      </c>
      <c r="E73" s="701"/>
      <c r="F73" s="1670"/>
      <c r="G73" s="996"/>
      <c r="H73" s="999" t="str">
        <f t="shared" si="18"/>
        <v>——</v>
      </c>
      <c r="I73" s="3063">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9" customFormat="1" ht="36">
      <c r="A74" s="3065" t="s">
        <v>3268</v>
      </c>
      <c r="B74" s="1258">
        <f>估价对象房地状况!C19</f>
        <v>0</v>
      </c>
      <c r="C74" s="1882"/>
      <c r="D74" s="998">
        <f t="shared" si="17"/>
        <v>0</v>
      </c>
      <c r="E74" s="701"/>
      <c r="F74" s="1670"/>
      <c r="G74" s="996"/>
      <c r="H74" s="999" t="str">
        <f t="shared" si="18"/>
        <v>——</v>
      </c>
      <c r="I74" s="3063">
        <v>0.1</v>
      </c>
      <c r="J74" s="997">
        <f t="shared" si="19"/>
        <v>0</v>
      </c>
      <c r="K74" s="997">
        <f t="shared" si="20"/>
        <v>0</v>
      </c>
      <c r="L74" s="997">
        <v>0</v>
      </c>
      <c r="M74" s="997">
        <f t="shared" si="21"/>
        <v>0</v>
      </c>
      <c r="N74" s="997">
        <f t="shared" si="21"/>
        <v>0</v>
      </c>
      <c r="O74" s="1052"/>
      <c r="P74" s="1052"/>
      <c r="Q74" s="1052"/>
      <c r="AA74" s="1975"/>
      <c r="AB74" s="1053"/>
      <c r="AC74" s="1053"/>
      <c r="AD74" s="1053"/>
      <c r="AE74" s="1053"/>
      <c r="AF74" s="1053"/>
      <c r="AG74" s="1053"/>
      <c r="AH74" s="1975"/>
      <c r="AI74" s="1975"/>
      <c r="AJ74" s="1975"/>
      <c r="AK74" s="1975"/>
    </row>
    <row r="75" spans="1:37" ht="14.25">
      <c r="A75" s="1965" t="s">
        <v>2067</v>
      </c>
      <c r="B75" s="1258">
        <f>估价对象房地状况!C24</f>
        <v>0</v>
      </c>
      <c r="C75" s="1882"/>
      <c r="D75" s="998">
        <f t="shared" si="17"/>
        <v>0</v>
      </c>
      <c r="E75" s="701"/>
      <c r="F75" s="1670"/>
      <c r="G75" s="996"/>
      <c r="H75" s="999" t="str">
        <f t="shared" si="18"/>
        <v>——</v>
      </c>
      <c r="I75" s="3063">
        <v>0.05</v>
      </c>
      <c r="J75" s="997">
        <f t="shared" si="19"/>
        <v>0</v>
      </c>
      <c r="K75" s="997">
        <f t="shared" si="20"/>
        <v>0</v>
      </c>
      <c r="L75" s="997">
        <v>0</v>
      </c>
      <c r="M75" s="997">
        <f t="shared" si="21"/>
        <v>0</v>
      </c>
      <c r="N75" s="997">
        <f t="shared" si="21"/>
        <v>0</v>
      </c>
      <c r="O75" s="1052"/>
      <c r="P75" s="1052"/>
      <c r="Q75" s="1839"/>
      <c r="Z75" s="1840"/>
      <c r="AA75" s="1890"/>
      <c r="AG75" s="1054"/>
      <c r="AK75" s="1890"/>
    </row>
    <row r="76" spans="1:37" ht="191.25">
      <c r="A76" s="1965" t="s">
        <v>2059</v>
      </c>
      <c r="B76"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6" s="1882"/>
      <c r="D76" s="998">
        <f t="shared" si="17"/>
        <v>0</v>
      </c>
      <c r="E76" s="701"/>
      <c r="F76" s="1670"/>
      <c r="G76" s="996"/>
      <c r="H76" s="999" t="str">
        <f t="shared" si="18"/>
        <v>——</v>
      </c>
      <c r="I76" s="3063">
        <v>0.08</v>
      </c>
      <c r="J76" s="997">
        <f t="shared" si="19"/>
        <v>0</v>
      </c>
      <c r="K76" s="997">
        <f t="shared" si="20"/>
        <v>0</v>
      </c>
      <c r="L76" s="997">
        <v>0</v>
      </c>
      <c r="M76" s="997">
        <f t="shared" si="21"/>
        <v>0</v>
      </c>
      <c r="N76" s="997">
        <f t="shared" si="21"/>
        <v>0</v>
      </c>
      <c r="O76" s="1052"/>
      <c r="P76" s="1052"/>
      <c r="Z76" s="1840"/>
      <c r="AA76" s="1890"/>
      <c r="AG76" s="1054"/>
      <c r="AK76" s="1890"/>
    </row>
    <row r="77" spans="1:37" ht="25.5">
      <c r="A77" s="1965" t="s">
        <v>2060</v>
      </c>
      <c r="B77" s="1236" t="str">
        <f>估价对象房地状况!C22</f>
        <v>估价对象所在区域基础设施水平-七通</v>
      </c>
      <c r="C77" s="1882"/>
      <c r="D77" s="998">
        <f t="shared" si="17"/>
        <v>0</v>
      </c>
      <c r="E77" s="701"/>
      <c r="F77" s="1670"/>
      <c r="G77" s="996"/>
      <c r="H77" s="999" t="str">
        <f t="shared" si="18"/>
        <v>——</v>
      </c>
      <c r="I77" s="3063">
        <v>0.09</v>
      </c>
      <c r="J77" s="997">
        <f t="shared" si="19"/>
        <v>0</v>
      </c>
      <c r="K77" s="997">
        <f t="shared" si="20"/>
        <v>0</v>
      </c>
      <c r="L77" s="997">
        <v>0</v>
      </c>
      <c r="M77" s="997">
        <f t="shared" si="21"/>
        <v>0</v>
      </c>
      <c r="N77" s="997">
        <f t="shared" si="21"/>
        <v>0</v>
      </c>
      <c r="O77" s="1052"/>
      <c r="P77" s="1052"/>
      <c r="Z77" s="1840"/>
      <c r="AA77" s="1890"/>
      <c r="AG77" s="1054"/>
      <c r="AK77" s="1890"/>
    </row>
    <row r="78" spans="1:37" ht="24">
      <c r="A78" s="1965" t="s">
        <v>2057</v>
      </c>
      <c r="B78" s="1970" t="s">
        <v>2058</v>
      </c>
      <c r="C78" s="1882"/>
      <c r="D78" s="998">
        <f t="shared" si="17"/>
        <v>0</v>
      </c>
      <c r="E78" s="701"/>
      <c r="F78" s="1670"/>
      <c r="G78" s="996"/>
      <c r="H78" s="999" t="str">
        <f t="shared" si="18"/>
        <v>——</v>
      </c>
      <c r="I78" s="3063">
        <v>0.05</v>
      </c>
      <c r="J78" s="997">
        <f t="shared" si="19"/>
        <v>0</v>
      </c>
      <c r="K78" s="997">
        <f t="shared" si="20"/>
        <v>0</v>
      </c>
      <c r="L78" s="997">
        <v>0</v>
      </c>
      <c r="M78" s="997">
        <f t="shared" si="21"/>
        <v>0</v>
      </c>
      <c r="N78" s="997">
        <f t="shared" si="21"/>
        <v>0</v>
      </c>
      <c r="O78" s="1839"/>
      <c r="P78" s="1839"/>
      <c r="Z78" s="1840"/>
      <c r="AA78" s="1890"/>
      <c r="AG78" s="1054"/>
      <c r="AK78" s="1890"/>
    </row>
    <row r="79" spans="1:37" ht="63.75">
      <c r="A79" s="1965" t="s">
        <v>2061</v>
      </c>
      <c r="B79" s="1968" t="str">
        <f>估价对象房地状况!C20</f>
        <v>估价对象周边有帽子公园、新中街城市森林公园等绿化景观，北京工人体育场、农业展览馆等人文场所，综合评价环境状况较好。</v>
      </c>
      <c r="C79" s="1882"/>
      <c r="D79" s="998">
        <f t="shared" si="17"/>
        <v>0</v>
      </c>
      <c r="E79" s="701"/>
      <c r="F79" s="1670"/>
      <c r="G79" s="996"/>
      <c r="H79" s="999" t="str">
        <f t="shared" si="18"/>
        <v>——</v>
      </c>
      <c r="I79" s="3063">
        <v>0.12</v>
      </c>
      <c r="J79" s="997">
        <f t="shared" si="19"/>
        <v>0</v>
      </c>
      <c r="K79" s="997">
        <f t="shared" si="20"/>
        <v>0</v>
      </c>
      <c r="L79" s="997">
        <v>0</v>
      </c>
      <c r="M79" s="997">
        <f t="shared" si="21"/>
        <v>0</v>
      </c>
      <c r="N79" s="997">
        <f t="shared" si="21"/>
        <v>0</v>
      </c>
      <c r="Z79" s="1840"/>
      <c r="AA79" s="1890"/>
      <c r="AG79" s="1054"/>
      <c r="AK79" s="1890"/>
    </row>
    <row r="80" spans="1:37" ht="24.75" thickBot="1">
      <c r="A80" s="1972" t="s">
        <v>2068</v>
      </c>
      <c r="B80" s="1976"/>
      <c r="C80" s="1882"/>
      <c r="D80" s="998">
        <f t="shared" si="17"/>
        <v>0</v>
      </c>
      <c r="E80" s="702"/>
      <c r="F80" s="1670"/>
      <c r="G80" s="996"/>
      <c r="H80" s="999" t="str">
        <f t="shared" si="18"/>
        <v>——</v>
      </c>
      <c r="I80" s="3064">
        <v>0.05</v>
      </c>
      <c r="J80" s="997">
        <f t="shared" si="19"/>
        <v>0</v>
      </c>
      <c r="K80" s="997">
        <f t="shared" si="20"/>
        <v>0</v>
      </c>
      <c r="L80" s="997">
        <v>0</v>
      </c>
      <c r="M80" s="997">
        <f t="shared" si="21"/>
        <v>0</v>
      </c>
      <c r="N80" s="997">
        <f t="shared" si="21"/>
        <v>0</v>
      </c>
      <c r="Z80" s="1840"/>
      <c r="AA80" s="1890"/>
      <c r="AG80" s="1054"/>
      <c r="AK80" s="1890"/>
    </row>
    <row r="81" spans="1:37" ht="15">
      <c r="A81" s="1962" t="s">
        <v>2069</v>
      </c>
      <c r="B81" s="1963">
        <f>1+E83</f>
        <v>1</v>
      </c>
      <c r="C81" s="695"/>
      <c r="D81" s="695"/>
      <c r="E81" s="696"/>
      <c r="F81" s="1964"/>
      <c r="G81" s="3"/>
      <c r="H81" s="3"/>
      <c r="I81" s="3"/>
      <c r="J81" s="4"/>
      <c r="K81" s="4"/>
      <c r="L81" s="4"/>
      <c r="M81" s="4"/>
      <c r="N81" s="4"/>
      <c r="Z81" s="1840"/>
      <c r="AA81" s="1890"/>
      <c r="AG81" s="1054"/>
      <c r="AK81" s="1890"/>
    </row>
    <row r="82" spans="1:37" ht="24.75">
      <c r="A82" s="1965" t="s">
        <v>2044</v>
      </c>
      <c r="B82" s="1258"/>
      <c r="C82" s="1258" t="s">
        <v>2046</v>
      </c>
      <c r="D82" s="1258" t="s">
        <v>2047</v>
      </c>
      <c r="E82" s="697" t="s">
        <v>2048</v>
      </c>
      <c r="F82" s="1966" t="s">
        <v>2063</v>
      </c>
      <c r="G82" s="1258" t="s">
        <v>310</v>
      </c>
      <c r="H82" s="1967" t="s">
        <v>2050</v>
      </c>
      <c r="I82" s="1258" t="s">
        <v>2051</v>
      </c>
      <c r="J82" s="529" t="s">
        <v>1721</v>
      </c>
      <c r="K82" s="529" t="s">
        <v>1722</v>
      </c>
      <c r="L82" s="529" t="s">
        <v>1723</v>
      </c>
      <c r="M82" s="529" t="s">
        <v>1724</v>
      </c>
      <c r="N82" s="529" t="s">
        <v>1725</v>
      </c>
      <c r="Z82" s="1840"/>
      <c r="AA82" s="1890"/>
      <c r="AG82" s="1054"/>
      <c r="AK82" s="1890"/>
    </row>
    <row r="83" spans="1:37" ht="38.25">
      <c r="A83" s="1965" t="s">
        <v>2070</v>
      </c>
      <c r="B83" s="1258" t="str">
        <f>估价对象房地状况!G15</f>
        <v>估价对象位于XX开发区，园区建设成熟度XX，产业集聚程度XX</v>
      </c>
      <c r="C83" s="1882"/>
      <c r="D83" s="998">
        <f t="shared" ref="D83:D90" si="22">SUMIF($J$82:$N$82,C83,J83:N83)</f>
        <v>0</v>
      </c>
      <c r="E83" s="698">
        <f>ROUND(SUM(D83:D90),4)</f>
        <v>0</v>
      </c>
      <c r="F83" s="1670" t="str">
        <f>IF(E2="工业",SUMIF(L1:L12,G2,N1:N12),"——")</f>
        <v>——</v>
      </c>
      <c r="G83" s="996"/>
      <c r="H83" s="999" t="str">
        <f t="shared" ref="H83:H90" si="23">IFERROR(ROUNDDOWN($F$83*I83/2,4),"——")</f>
        <v>——</v>
      </c>
      <c r="I83" s="3063">
        <v>0.26</v>
      </c>
      <c r="J83" s="997">
        <f t="shared" ref="J83:J90" si="24">K83+$G83</f>
        <v>0</v>
      </c>
      <c r="K83" s="997">
        <f t="shared" ref="K83:K90" si="25">$L83+$G83</f>
        <v>0</v>
      </c>
      <c r="L83" s="997">
        <v>0</v>
      </c>
      <c r="M83" s="997">
        <f t="shared" ref="M83:N90" si="26">L83-$G83</f>
        <v>0</v>
      </c>
      <c r="N83" s="997">
        <f t="shared" si="26"/>
        <v>0</v>
      </c>
      <c r="Z83" s="1840"/>
      <c r="AA83" s="1890"/>
      <c r="AG83" s="1054"/>
      <c r="AK83" s="1890"/>
    </row>
    <row r="84" spans="1:37" ht="51">
      <c r="A84" s="1965" t="s">
        <v>2053</v>
      </c>
      <c r="B84" s="1258" t="str">
        <f>估价对象房地状况!G16</f>
        <v>估价对象周边道路状况、公共交通通达情况、停车便捷程度，综合评价交通便捷度较好</v>
      </c>
      <c r="C84" s="1882"/>
      <c r="D84" s="998">
        <f t="shared" si="22"/>
        <v>0</v>
      </c>
      <c r="E84" s="701"/>
      <c r="F84" s="1670"/>
      <c r="G84" s="996"/>
      <c r="H84" s="999" t="str">
        <f t="shared" si="23"/>
        <v>——</v>
      </c>
      <c r="I84" s="3063">
        <v>0.3</v>
      </c>
      <c r="J84" s="997">
        <f t="shared" si="24"/>
        <v>0</v>
      </c>
      <c r="K84" s="997">
        <f t="shared" si="25"/>
        <v>0</v>
      </c>
      <c r="L84" s="997">
        <v>0</v>
      </c>
      <c r="M84" s="997">
        <f t="shared" si="26"/>
        <v>0</v>
      </c>
      <c r="N84" s="997">
        <f t="shared" si="26"/>
        <v>0</v>
      </c>
      <c r="Z84" s="1840"/>
      <c r="AA84" s="1890"/>
      <c r="AG84" s="1054"/>
      <c r="AK84" s="1890"/>
    </row>
    <row r="85" spans="1:37" ht="36">
      <c r="A85" s="3065" t="s">
        <v>3269</v>
      </c>
      <c r="B85" s="1258">
        <f>估价对象房地状况!G17</f>
        <v>0</v>
      </c>
      <c r="C85" s="1882"/>
      <c r="D85" s="998">
        <f t="shared" si="22"/>
        <v>0</v>
      </c>
      <c r="E85" s="701"/>
      <c r="F85" s="1670"/>
      <c r="G85" s="996"/>
      <c r="H85" s="999" t="str">
        <f t="shared" si="23"/>
        <v>——</v>
      </c>
      <c r="I85" s="3063">
        <v>0.1</v>
      </c>
      <c r="J85" s="997">
        <f t="shared" si="24"/>
        <v>0</v>
      </c>
      <c r="K85" s="997">
        <f t="shared" si="25"/>
        <v>0</v>
      </c>
      <c r="L85" s="997">
        <v>0</v>
      </c>
      <c r="M85" s="997">
        <f t="shared" si="26"/>
        <v>0</v>
      </c>
      <c r="N85" s="997">
        <f t="shared" si="26"/>
        <v>0</v>
      </c>
      <c r="Z85" s="1840"/>
      <c r="AA85" s="1890"/>
      <c r="AG85" s="1054"/>
      <c r="AK85" s="1890"/>
    </row>
    <row r="86" spans="1:37" ht="14.25">
      <c r="A86" s="1965" t="s">
        <v>2067</v>
      </c>
      <c r="B86" s="1258">
        <f>估价对象房地状况!G22</f>
        <v>0</v>
      </c>
      <c r="C86" s="1882"/>
      <c r="D86" s="998">
        <f t="shared" si="22"/>
        <v>0</v>
      </c>
      <c r="E86" s="701"/>
      <c r="F86" s="1670"/>
      <c r="G86" s="996"/>
      <c r="H86" s="999" t="str">
        <f t="shared" si="23"/>
        <v>——</v>
      </c>
      <c r="I86" s="3063">
        <v>0.05</v>
      </c>
      <c r="J86" s="997">
        <f t="shared" si="24"/>
        <v>0</v>
      </c>
      <c r="K86" s="997">
        <f t="shared" si="25"/>
        <v>0</v>
      </c>
      <c r="L86" s="997">
        <v>0</v>
      </c>
      <c r="M86" s="997">
        <f t="shared" si="26"/>
        <v>0</v>
      </c>
      <c r="N86" s="997">
        <f t="shared" si="26"/>
        <v>0</v>
      </c>
      <c r="Z86" s="1840"/>
      <c r="AA86" s="1890"/>
      <c r="AG86" s="1054"/>
      <c r="AK86" s="1890"/>
    </row>
    <row r="87" spans="1:37" ht="25.5">
      <c r="A87" s="1965" t="s">
        <v>2059</v>
      </c>
      <c r="B87" s="1236" t="str">
        <f>估价对象房地状况!G19</f>
        <v>估价对象所在区域公共配套设施齐备情况</v>
      </c>
      <c r="C87" s="1882"/>
      <c r="D87" s="998">
        <f t="shared" si="22"/>
        <v>0</v>
      </c>
      <c r="E87" s="701"/>
      <c r="F87" s="1670"/>
      <c r="G87" s="996"/>
      <c r="H87" s="999" t="str">
        <f t="shared" si="23"/>
        <v>——</v>
      </c>
      <c r="I87" s="3063">
        <v>0.06</v>
      </c>
      <c r="J87" s="997">
        <f t="shared" si="24"/>
        <v>0</v>
      </c>
      <c r="K87" s="997">
        <f t="shared" si="25"/>
        <v>0</v>
      </c>
      <c r="L87" s="997">
        <v>0</v>
      </c>
      <c r="M87" s="997">
        <f t="shared" si="26"/>
        <v>0</v>
      </c>
      <c r="N87" s="997">
        <f t="shared" si="26"/>
        <v>0</v>
      </c>
    </row>
    <row r="88" spans="1:37" ht="25.5">
      <c r="A88" s="1965" t="s">
        <v>2060</v>
      </c>
      <c r="B88" s="1236" t="str">
        <f>估价对象房地状况!G20</f>
        <v>估价对象所在区域基础设施水平</v>
      </c>
      <c r="C88" s="1882"/>
      <c r="D88" s="998">
        <f t="shared" si="22"/>
        <v>0</v>
      </c>
      <c r="E88" s="701"/>
      <c r="F88" s="1670"/>
      <c r="G88" s="996"/>
      <c r="H88" s="999" t="str">
        <f t="shared" si="23"/>
        <v>——</v>
      </c>
      <c r="I88" s="3063">
        <v>0.12</v>
      </c>
      <c r="J88" s="997">
        <f t="shared" si="24"/>
        <v>0</v>
      </c>
      <c r="K88" s="997">
        <f t="shared" si="25"/>
        <v>0</v>
      </c>
      <c r="L88" s="997">
        <v>0</v>
      </c>
      <c r="M88" s="997">
        <f t="shared" si="26"/>
        <v>0</v>
      </c>
      <c r="N88" s="997">
        <f t="shared" si="26"/>
        <v>0</v>
      </c>
    </row>
    <row r="89" spans="1:37" ht="24">
      <c r="A89" s="1965" t="s">
        <v>2057</v>
      </c>
      <c r="B89" s="1970" t="s">
        <v>2071</v>
      </c>
      <c r="C89" s="1882"/>
      <c r="D89" s="998">
        <f t="shared" si="22"/>
        <v>0</v>
      </c>
      <c r="E89" s="701"/>
      <c r="F89" s="1670"/>
      <c r="G89" s="996"/>
      <c r="H89" s="999" t="str">
        <f t="shared" si="23"/>
        <v>——</v>
      </c>
      <c r="I89" s="3063">
        <v>0.06</v>
      </c>
      <c r="J89" s="997">
        <f t="shared" si="24"/>
        <v>0</v>
      </c>
      <c r="K89" s="997">
        <f t="shared" si="25"/>
        <v>0</v>
      </c>
      <c r="L89" s="997">
        <v>0</v>
      </c>
      <c r="M89" s="997">
        <f t="shared" si="26"/>
        <v>0</v>
      </c>
      <c r="N89" s="997">
        <f t="shared" si="26"/>
        <v>0</v>
      </c>
    </row>
    <row r="90" spans="1:37" ht="39" thickBot="1">
      <c r="A90" s="1972" t="s">
        <v>2072</v>
      </c>
      <c r="B90" s="1977" t="str">
        <f>估价对象房地状况!G18</f>
        <v>该园区内是否有污染型企业，绿化情况，卫生条件，整体环境状况判断</v>
      </c>
      <c r="C90" s="1882"/>
      <c r="D90" s="998">
        <f t="shared" si="22"/>
        <v>0</v>
      </c>
      <c r="E90" s="702"/>
      <c r="F90" s="1670"/>
      <c r="G90" s="996"/>
      <c r="H90" s="999" t="str">
        <f t="shared" si="23"/>
        <v>——</v>
      </c>
      <c r="I90" s="3064">
        <v>0.05</v>
      </c>
      <c r="J90" s="997">
        <f t="shared" si="24"/>
        <v>0</v>
      </c>
      <c r="K90" s="997">
        <f t="shared" si="25"/>
        <v>0</v>
      </c>
      <c r="L90" s="997">
        <v>0</v>
      </c>
      <c r="M90" s="997">
        <f t="shared" si="26"/>
        <v>0</v>
      </c>
      <c r="N90" s="997">
        <f t="shared" si="26"/>
        <v>0</v>
      </c>
    </row>
    <row r="91" spans="1:37" ht="15">
      <c r="A91" s="3073" t="s">
        <v>2609</v>
      </c>
      <c r="B91" s="3074">
        <f>1+E93</f>
        <v>1</v>
      </c>
      <c r="C91" s="3067"/>
      <c r="D91" s="3068"/>
      <c r="E91" s="1670"/>
      <c r="F91" s="1670"/>
      <c r="G91" s="3069"/>
      <c r="H91" s="3070"/>
      <c r="I91" s="3071"/>
      <c r="J91" s="3072"/>
      <c r="K91" s="3072"/>
      <c r="L91" s="3072"/>
      <c r="M91" s="3072"/>
      <c r="N91" s="3072"/>
    </row>
    <row r="92" spans="1:37" ht="24.75">
      <c r="A92" s="3075" t="s">
        <v>3270</v>
      </c>
      <c r="B92" s="2304"/>
      <c r="C92" s="2304" t="s">
        <v>3279</v>
      </c>
      <c r="D92" s="2304" t="s">
        <v>3280</v>
      </c>
      <c r="E92" s="3047" t="s">
        <v>3281</v>
      </c>
      <c r="F92" s="3077" t="s">
        <v>3282</v>
      </c>
      <c r="G92" s="2304" t="s">
        <v>3283</v>
      </c>
      <c r="H92" s="3084" t="s">
        <v>3286</v>
      </c>
      <c r="I92" s="2304" t="s">
        <v>3287</v>
      </c>
      <c r="J92" s="2145" t="s">
        <v>3288</v>
      </c>
      <c r="K92" s="2145" t="s">
        <v>3289</v>
      </c>
      <c r="L92" s="2145" t="s">
        <v>3290</v>
      </c>
      <c r="M92" s="2145" t="s">
        <v>3291</v>
      </c>
      <c r="N92" s="2145" t="s">
        <v>3292</v>
      </c>
    </row>
    <row r="93" spans="1:37" ht="24">
      <c r="A93" s="3065" t="s">
        <v>3271</v>
      </c>
      <c r="B93" s="1217"/>
      <c r="C93" s="1882"/>
      <c r="D93" s="2304">
        <f>SUMIF($J$92:$N$92,C93,J93:N93)</f>
        <v>0</v>
      </c>
      <c r="E93" s="3078">
        <f>ROUND(SUM(D93:D101),4)</f>
        <v>0</v>
      </c>
      <c r="F93" s="1670" t="str">
        <f>IF(E2="公共服务",SUMIF(L1:L12,G2,N1:N12),"——")</f>
        <v>——</v>
      </c>
      <c r="G93" s="3069"/>
      <c r="H93" s="3114" t="str">
        <f>IFERROR(ROUNDDOWN($F$93*I93/2,4),"——")</f>
        <v>——</v>
      </c>
      <c r="I93" s="3063">
        <v>0.25</v>
      </c>
      <c r="J93" s="1907">
        <f t="shared" ref="J93:J101" si="27">K93+$G93</f>
        <v>0</v>
      </c>
      <c r="K93" s="1907">
        <f t="shared" ref="K93:K101" si="28">$L93+$G93</f>
        <v>0</v>
      </c>
      <c r="L93" s="1907">
        <v>0</v>
      </c>
      <c r="M93" s="1907">
        <f t="shared" ref="M93:N101" si="29">L93-$G93</f>
        <v>0</v>
      </c>
      <c r="N93" s="1907">
        <f t="shared" si="29"/>
        <v>0</v>
      </c>
    </row>
    <row r="94" spans="1:37" ht="89.25">
      <c r="A94" s="3075" t="s">
        <v>3272</v>
      </c>
      <c r="B94" s="3066" t="str">
        <f>估价对象房地状况!C18</f>
        <v>估价对象周边有3路、24路、110路、117路、120路、135路、403路等多条公交线路，距离地铁10号线农业展览馆站约1000米，周边道路网线较密集，通达度较好。综合评价交通便捷度较好。</v>
      </c>
      <c r="C94" s="1882"/>
      <c r="D94" s="2304">
        <f t="shared" ref="D94:D101" si="30">SUMIF($J$60:$N$60,C94,J94:N94)</f>
        <v>0</v>
      </c>
      <c r="E94" s="3079"/>
      <c r="F94" s="1670"/>
      <c r="G94" s="3069"/>
      <c r="H94" s="3114" t="str">
        <f>IFERROR(ROUNDDOWN($F$93*I94/2,4),"——")</f>
        <v>——</v>
      </c>
      <c r="I94" s="3063">
        <v>0.26</v>
      </c>
      <c r="J94" s="1907">
        <f t="shared" si="27"/>
        <v>0</v>
      </c>
      <c r="K94" s="1907">
        <f t="shared" si="28"/>
        <v>0</v>
      </c>
      <c r="L94" s="1907">
        <v>0</v>
      </c>
      <c r="M94" s="1907">
        <f t="shared" si="29"/>
        <v>0</v>
      </c>
      <c r="N94" s="1907">
        <f t="shared" si="29"/>
        <v>0</v>
      </c>
    </row>
    <row r="95" spans="1:37" ht="36">
      <c r="A95" s="3065" t="s">
        <v>3268</v>
      </c>
      <c r="B95" s="3066">
        <f>估价对象房地状况!C19</f>
        <v>0</v>
      </c>
      <c r="C95" s="1882"/>
      <c r="D95" s="2304">
        <f t="shared" si="30"/>
        <v>0</v>
      </c>
      <c r="E95" s="3079"/>
      <c r="F95" s="1670"/>
      <c r="G95" s="3069"/>
      <c r="H95" s="3114" t="str">
        <f t="shared" ref="H95:H101" si="31">IFERROR(ROUNDDOWN($F$93*I95/2,4),"——")</f>
        <v>——</v>
      </c>
      <c r="I95" s="3063">
        <v>0.11</v>
      </c>
      <c r="J95" s="1907">
        <f t="shared" si="27"/>
        <v>0</v>
      </c>
      <c r="K95" s="1907">
        <f t="shared" si="28"/>
        <v>0</v>
      </c>
      <c r="L95" s="1907">
        <v>0</v>
      </c>
      <c r="M95" s="1907">
        <f t="shared" si="29"/>
        <v>0</v>
      </c>
      <c r="N95" s="1907">
        <f t="shared" si="29"/>
        <v>0</v>
      </c>
    </row>
    <row r="96" spans="1:37" ht="36.75">
      <c r="A96" s="3075" t="s">
        <v>3273</v>
      </c>
      <c r="B96" s="3081" t="s">
        <v>3284</v>
      </c>
      <c r="C96" s="1882"/>
      <c r="D96" s="2304">
        <f t="shared" si="30"/>
        <v>0</v>
      </c>
      <c r="E96" s="3079"/>
      <c r="F96" s="1670"/>
      <c r="G96" s="3069"/>
      <c r="H96" s="3114" t="str">
        <f t="shared" si="31"/>
        <v>——</v>
      </c>
      <c r="I96" s="3063">
        <v>0.05</v>
      </c>
      <c r="J96" s="1907">
        <f t="shared" si="27"/>
        <v>0</v>
      </c>
      <c r="K96" s="1907">
        <f t="shared" si="28"/>
        <v>0</v>
      </c>
      <c r="L96" s="1907">
        <v>0</v>
      </c>
      <c r="M96" s="1907">
        <f t="shared" si="29"/>
        <v>0</v>
      </c>
      <c r="N96" s="1907">
        <f t="shared" si="29"/>
        <v>0</v>
      </c>
    </row>
    <row r="97" spans="1:14" ht="24">
      <c r="A97" s="3075" t="s">
        <v>3274</v>
      </c>
      <c r="B97" s="3066">
        <f>估价对象房地状况!C24</f>
        <v>0</v>
      </c>
      <c r="C97" s="1882"/>
      <c r="D97" s="2304">
        <f t="shared" si="30"/>
        <v>0</v>
      </c>
      <c r="E97" s="3079"/>
      <c r="F97" s="1670"/>
      <c r="G97" s="3069"/>
      <c r="H97" s="3114" t="str">
        <f t="shared" si="31"/>
        <v>——</v>
      </c>
      <c r="I97" s="3063">
        <v>0.05</v>
      </c>
      <c r="J97" s="1907">
        <f t="shared" si="27"/>
        <v>0</v>
      </c>
      <c r="K97" s="1907">
        <f t="shared" si="28"/>
        <v>0</v>
      </c>
      <c r="L97" s="1907">
        <v>0</v>
      </c>
      <c r="M97" s="1907">
        <f t="shared" si="29"/>
        <v>0</v>
      </c>
      <c r="N97" s="1907">
        <f t="shared" si="29"/>
        <v>0</v>
      </c>
    </row>
    <row r="98" spans="1:14" ht="24">
      <c r="A98" s="3075" t="s">
        <v>3275</v>
      </c>
      <c r="B98" s="3082" t="s">
        <v>3285</v>
      </c>
      <c r="C98" s="1882"/>
      <c r="D98" s="2304">
        <f t="shared" si="30"/>
        <v>0</v>
      </c>
      <c r="E98" s="3079"/>
      <c r="F98" s="1670"/>
      <c r="G98" s="3069"/>
      <c r="H98" s="3114" t="str">
        <f t="shared" si="31"/>
        <v>——</v>
      </c>
      <c r="I98" s="3063">
        <v>0.06</v>
      </c>
      <c r="J98" s="1907">
        <f t="shared" si="27"/>
        <v>0</v>
      </c>
      <c r="K98" s="1907">
        <f t="shared" si="28"/>
        <v>0</v>
      </c>
      <c r="L98" s="1907">
        <v>0</v>
      </c>
      <c r="M98" s="1907">
        <f t="shared" si="29"/>
        <v>0</v>
      </c>
      <c r="N98" s="1907">
        <f t="shared" si="29"/>
        <v>0</v>
      </c>
    </row>
    <row r="99" spans="1:14" ht="191.25">
      <c r="A99" s="3075" t="s">
        <v>3276</v>
      </c>
      <c r="B99" s="306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99" s="1882"/>
      <c r="D99" s="2304">
        <f t="shared" si="30"/>
        <v>0</v>
      </c>
      <c r="E99" s="3079"/>
      <c r="F99" s="1670"/>
      <c r="G99" s="3069"/>
      <c r="H99" s="3114" t="str">
        <f t="shared" si="31"/>
        <v>——</v>
      </c>
      <c r="I99" s="3063">
        <v>0.06</v>
      </c>
      <c r="J99" s="1907">
        <f t="shared" si="27"/>
        <v>0</v>
      </c>
      <c r="K99" s="1907">
        <f t="shared" si="28"/>
        <v>0</v>
      </c>
      <c r="L99" s="1907">
        <v>0</v>
      </c>
      <c r="M99" s="1907">
        <f t="shared" si="29"/>
        <v>0</v>
      </c>
      <c r="N99" s="1907">
        <f t="shared" si="29"/>
        <v>0</v>
      </c>
    </row>
    <row r="100" spans="1:14" ht="25.5">
      <c r="A100" s="3075" t="s">
        <v>3277</v>
      </c>
      <c r="B100" s="3066" t="str">
        <f>估价对象房地状况!C22</f>
        <v>估价对象所在区域基础设施水平-七通</v>
      </c>
      <c r="C100" s="1882"/>
      <c r="D100" s="2304">
        <f t="shared" si="30"/>
        <v>0</v>
      </c>
      <c r="E100" s="3079"/>
      <c r="F100" s="1670"/>
      <c r="G100" s="3069"/>
      <c r="H100" s="3114" t="str">
        <f t="shared" si="31"/>
        <v>——</v>
      </c>
      <c r="I100" s="3063">
        <v>0.09</v>
      </c>
      <c r="J100" s="1907">
        <f t="shared" si="27"/>
        <v>0</v>
      </c>
      <c r="K100" s="1907">
        <f t="shared" si="28"/>
        <v>0</v>
      </c>
      <c r="L100" s="1907">
        <v>0</v>
      </c>
      <c r="M100" s="1907">
        <f t="shared" si="29"/>
        <v>0</v>
      </c>
      <c r="N100" s="1907">
        <f t="shared" si="29"/>
        <v>0</v>
      </c>
    </row>
    <row r="101" spans="1:14" ht="64.5" thickBot="1">
      <c r="A101" s="3076" t="s">
        <v>3278</v>
      </c>
      <c r="B101" s="3083" t="str">
        <f>估价对象房地状况!C20</f>
        <v>估价对象周边有帽子公园、新中街城市森林公园等绿化景观，北京工人体育场、农业展览馆等人文场所，综合评价环境状况较好。</v>
      </c>
      <c r="C101" s="1882"/>
      <c r="D101" s="2304">
        <f t="shared" si="30"/>
        <v>0</v>
      </c>
      <c r="E101" s="3080"/>
      <c r="F101" s="1670"/>
      <c r="G101" s="3069"/>
      <c r="H101" s="3114" t="str">
        <f t="shared" si="31"/>
        <v>——</v>
      </c>
      <c r="I101" s="3064">
        <v>7.0000000000000007E-2</v>
      </c>
      <c r="J101" s="1907">
        <f t="shared" si="27"/>
        <v>0</v>
      </c>
      <c r="K101" s="1907">
        <f t="shared" si="28"/>
        <v>0</v>
      </c>
      <c r="L101" s="1907">
        <v>0</v>
      </c>
      <c r="M101" s="1907">
        <f t="shared" si="29"/>
        <v>0</v>
      </c>
      <c r="N101" s="1907">
        <f t="shared" si="29"/>
        <v>0</v>
      </c>
    </row>
    <row r="103" spans="1:14">
      <c r="A103" s="3597" t="s">
        <v>3293</v>
      </c>
      <c r="B103" s="3597"/>
      <c r="C103" s="3597"/>
      <c r="D103" s="3597"/>
      <c r="E103" s="3597"/>
      <c r="F103" s="3597"/>
      <c r="G103" s="3597"/>
      <c r="H103" s="3597"/>
      <c r="I103" s="3597"/>
      <c r="J103" s="3597"/>
      <c r="K103" s="1662"/>
      <c r="L103" s="1662"/>
      <c r="M103" s="1662"/>
      <c r="N103" s="1662"/>
    </row>
    <row r="104" spans="1:14">
      <c r="A104" s="3598" t="s">
        <v>3294</v>
      </c>
      <c r="B104" s="3598" t="s">
        <v>3295</v>
      </c>
      <c r="C104" s="3085" t="s">
        <v>3296</v>
      </c>
      <c r="D104" s="3086"/>
      <c r="E104" s="3086"/>
      <c r="F104" s="3086"/>
      <c r="G104" s="3086"/>
      <c r="H104" s="3086"/>
      <c r="I104" s="3086"/>
      <c r="J104" s="3087"/>
      <c r="K104" s="3088"/>
      <c r="L104" s="3088"/>
      <c r="M104" s="3088"/>
      <c r="N104" s="3088"/>
    </row>
    <row r="105" spans="1:14">
      <c r="A105" s="3598"/>
      <c r="B105" s="3598"/>
      <c r="C105" s="3089" t="s">
        <v>3297</v>
      </c>
      <c r="D105" s="3089" t="s">
        <v>3298</v>
      </c>
      <c r="E105" s="3089" t="s">
        <v>3299</v>
      </c>
      <c r="F105" s="3089" t="s">
        <v>3300</v>
      </c>
      <c r="G105" s="3089" t="s">
        <v>3301</v>
      </c>
      <c r="H105" s="3089" t="s">
        <v>3302</v>
      </c>
      <c r="I105" s="3089" t="s">
        <v>3303</v>
      </c>
      <c r="J105" s="3089" t="s">
        <v>3304</v>
      </c>
      <c r="K105" s="3089" t="s">
        <v>3305</v>
      </c>
      <c r="L105" s="3089" t="s">
        <v>3306</v>
      </c>
      <c r="M105" s="3089" t="s">
        <v>3307</v>
      </c>
      <c r="N105" s="3089" t="s">
        <v>3308</v>
      </c>
    </row>
    <row r="106" spans="1:14">
      <c r="A106" s="3584" t="s">
        <v>3309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85"/>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85"/>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85"/>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85"/>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85"/>
      <c r="B111" s="3089" t="s">
        <v>3267</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586"/>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587" t="s">
        <v>3310</v>
      </c>
      <c r="B113" s="3587"/>
      <c r="C113" s="3587"/>
      <c r="D113" s="3587"/>
      <c r="E113" s="3587"/>
      <c r="F113" s="3587"/>
      <c r="G113" s="3587"/>
      <c r="H113" s="3587"/>
      <c r="I113" s="3587"/>
      <c r="J113" s="3587"/>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3311</v>
      </c>
      <c r="B116" s="3109">
        <f>G3</f>
        <v>0</v>
      </c>
      <c r="C116" s="3094" t="s">
        <v>3312</v>
      </c>
      <c r="D116" s="3095">
        <f>SUMPRODUCT((A118:A122=F116)*(B117:M117=H116)*B118:M122)</f>
        <v>0.99680000000000002</v>
      </c>
      <c r="E116" s="161" t="s">
        <v>3313</v>
      </c>
      <c r="F116" s="3096" t="str">
        <f>E2</f>
        <v>商业</v>
      </c>
      <c r="G116" s="161" t="s">
        <v>3314</v>
      </c>
      <c r="H116" s="3096" t="str">
        <f>G2</f>
        <v>二级</v>
      </c>
      <c r="I116" s="161"/>
      <c r="J116" s="3097"/>
      <c r="K116" s="3097"/>
      <c r="L116" s="3097"/>
      <c r="M116" s="3097"/>
      <c r="N116" s="3092"/>
    </row>
    <row r="117" spans="1:14">
      <c r="A117" s="3098"/>
      <c r="B117" s="3099" t="s">
        <v>3315</v>
      </c>
      <c r="C117" s="3099" t="s">
        <v>3316</v>
      </c>
      <c r="D117" s="3099" t="s">
        <v>3317</v>
      </c>
      <c r="E117" s="3100" t="s">
        <v>3318</v>
      </c>
      <c r="F117" s="3100" t="s">
        <v>3319</v>
      </c>
      <c r="G117" s="3100" t="s">
        <v>3320</v>
      </c>
      <c r="H117" s="3101" t="s">
        <v>3321</v>
      </c>
      <c r="I117" s="3101" t="s">
        <v>3322</v>
      </c>
      <c r="J117" s="3102" t="s">
        <v>3323</v>
      </c>
      <c r="K117" s="3102" t="s">
        <v>3324</v>
      </c>
      <c r="L117" s="3102" t="s">
        <v>3325</v>
      </c>
      <c r="M117" s="3103" t="s">
        <v>3326</v>
      </c>
      <c r="N117" s="3092"/>
    </row>
    <row r="118" spans="1:14">
      <c r="A118" s="3052" t="s">
        <v>3327</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3328</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3329</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3330</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2609</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2591</v>
      </c>
      <c r="B1" s="2806" t="s">
        <v>2592</v>
      </c>
      <c r="C1" s="2806" t="s">
        <v>2593</v>
      </c>
      <c r="D1" s="2806" t="s">
        <v>2594</v>
      </c>
      <c r="E1" s="2806" t="s">
        <v>2595</v>
      </c>
      <c r="F1" s="2806" t="s">
        <v>2596</v>
      </c>
      <c r="G1" s="2806" t="s">
        <v>2597</v>
      </c>
      <c r="H1" s="2806" t="s">
        <v>2598</v>
      </c>
      <c r="I1" s="2806" t="s">
        <v>2599</v>
      </c>
      <c r="J1" s="2806" t="s">
        <v>2600</v>
      </c>
      <c r="K1" s="2806" t="s">
        <v>2601</v>
      </c>
      <c r="L1" s="2806" t="s">
        <v>2602</v>
      </c>
      <c r="M1" s="2807" t="s">
        <v>2603</v>
      </c>
    </row>
    <row r="2" spans="1:13" ht="19.5" customHeight="1">
      <c r="A2" s="2809" t="s">
        <v>2604</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2605</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2606</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2607</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2608</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2609</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2610</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2611</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2612</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2613</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2614</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2615</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2616</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2617</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2618</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2619</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2620</v>
      </c>
      <c r="B18" s="2831"/>
      <c r="C18" s="2832"/>
      <c r="D18" s="2832"/>
      <c r="E18" s="2831"/>
      <c r="F18" s="2832"/>
      <c r="G18" s="2832"/>
    </row>
    <row r="19" spans="1:13" ht="19.5" customHeight="1" thickBot="1">
      <c r="A19" s="2829" t="s">
        <v>2621</v>
      </c>
      <c r="B19" s="2834" t="s">
        <v>2622</v>
      </c>
      <c r="C19" s="2834" t="s">
        <v>2623</v>
      </c>
      <c r="D19" s="2835"/>
      <c r="E19" s="2829" t="s">
        <v>2624</v>
      </c>
      <c r="F19" s="2836"/>
      <c r="G19" s="2836"/>
    </row>
    <row r="20" spans="1:13" ht="19.5" customHeight="1">
      <c r="A20" s="3610" t="s">
        <v>2604</v>
      </c>
      <c r="B20" s="3603" t="s">
        <v>2625</v>
      </c>
      <c r="C20" s="2837" t="s">
        <v>2436</v>
      </c>
      <c r="D20" s="2838"/>
      <c r="E20" s="2839">
        <v>1</v>
      </c>
      <c r="F20" s="2840" t="s">
        <v>2437</v>
      </c>
      <c r="G20" s="2840"/>
    </row>
    <row r="21" spans="1:13" ht="19.5" customHeight="1">
      <c r="A21" s="3611"/>
      <c r="B21" s="3604"/>
      <c r="C21" s="2841" t="s">
        <v>2438</v>
      </c>
      <c r="D21" s="2842"/>
      <c r="E21" s="2843">
        <v>1</v>
      </c>
      <c r="F21" s="2840" t="s">
        <v>2439</v>
      </c>
      <c r="G21" s="2840"/>
    </row>
    <row r="22" spans="1:13" ht="19.5" customHeight="1">
      <c r="A22" s="3611"/>
      <c r="B22" s="3604"/>
      <c r="C22" s="2841" t="s">
        <v>2440</v>
      </c>
      <c r="D22" s="2842"/>
      <c r="E22" s="2843">
        <v>0.9</v>
      </c>
      <c r="F22" s="2840" t="s">
        <v>2441</v>
      </c>
      <c r="G22" s="2840"/>
    </row>
    <row r="23" spans="1:13" ht="19.5" customHeight="1">
      <c r="A23" s="3611"/>
      <c r="B23" s="3604"/>
      <c r="C23" s="2841" t="s">
        <v>2442</v>
      </c>
      <c r="D23" s="2842"/>
      <c r="E23" s="2843">
        <v>0.9</v>
      </c>
      <c r="F23" s="2840" t="s">
        <v>2443</v>
      </c>
      <c r="G23" s="2840"/>
    </row>
    <row r="24" spans="1:13" ht="19.5" customHeight="1">
      <c r="A24" s="3611"/>
      <c r="B24" s="3604"/>
      <c r="C24" s="2841" t="s">
        <v>2444</v>
      </c>
      <c r="D24" s="2842"/>
      <c r="E24" s="2843">
        <v>0.8</v>
      </c>
      <c r="F24" s="2840" t="s">
        <v>2445</v>
      </c>
      <c r="G24" s="2840"/>
    </row>
    <row r="25" spans="1:13" ht="19.5" customHeight="1" thickBot="1">
      <c r="A25" s="3612"/>
      <c r="B25" s="3605"/>
      <c r="C25" s="2844" t="s">
        <v>2446</v>
      </c>
      <c r="D25" s="2845"/>
      <c r="E25" s="2846">
        <v>0.8</v>
      </c>
      <c r="F25" s="2840" t="s">
        <v>2447</v>
      </c>
      <c r="G25" s="2840"/>
    </row>
    <row r="26" spans="1:13" ht="19.5" customHeight="1" thickBot="1">
      <c r="A26" s="2847" t="s">
        <v>2626</v>
      </c>
      <c r="B26" s="2848" t="s">
        <v>2625</v>
      </c>
      <c r="C26" s="2849" t="s">
        <v>2627</v>
      </c>
      <c r="D26" s="2850"/>
      <c r="E26" s="2851">
        <v>1</v>
      </c>
      <c r="F26" s="2840" t="s">
        <v>2448</v>
      </c>
      <c r="G26" s="2840"/>
    </row>
    <row r="27" spans="1:13" ht="19.5" customHeight="1">
      <c r="A27" s="3606" t="s">
        <v>2628</v>
      </c>
      <c r="B27" s="3603" t="s">
        <v>2609</v>
      </c>
      <c r="C27" s="2837" t="s">
        <v>2449</v>
      </c>
      <c r="D27" s="2838"/>
      <c r="E27" s="2839">
        <v>1</v>
      </c>
      <c r="F27" s="2840" t="s">
        <v>2450</v>
      </c>
      <c r="G27" s="2840"/>
    </row>
    <row r="28" spans="1:13" ht="19.5" customHeight="1">
      <c r="A28" s="3607"/>
      <c r="B28" s="3604"/>
      <c r="C28" s="2841" t="s">
        <v>2451</v>
      </c>
      <c r="D28" s="2842"/>
      <c r="E28" s="2843">
        <v>1</v>
      </c>
      <c r="F28" s="2840" t="s">
        <v>2452</v>
      </c>
      <c r="G28" s="2840"/>
    </row>
    <row r="29" spans="1:13" ht="19.5" customHeight="1">
      <c r="A29" s="3607"/>
      <c r="B29" s="3604"/>
      <c r="C29" s="2841" t="s">
        <v>2453</v>
      </c>
      <c r="D29" s="2842"/>
      <c r="E29" s="2843">
        <v>0.8</v>
      </c>
      <c r="F29" s="2840" t="s">
        <v>2454</v>
      </c>
      <c r="G29" s="2840"/>
    </row>
    <row r="30" spans="1:13" ht="19.5" customHeight="1">
      <c r="A30" s="3607"/>
      <c r="B30" s="3604"/>
      <c r="C30" s="2841" t="s">
        <v>2455</v>
      </c>
      <c r="D30" s="2842"/>
      <c r="E30" s="2843">
        <v>0.8</v>
      </c>
      <c r="F30" s="2840" t="s">
        <v>2456</v>
      </c>
      <c r="G30" s="2840"/>
    </row>
    <row r="31" spans="1:13" ht="19.5" customHeight="1">
      <c r="A31" s="3607"/>
      <c r="B31" s="3604"/>
      <c r="C31" s="2841" t="s">
        <v>2457</v>
      </c>
      <c r="D31" s="2842"/>
      <c r="E31" s="2843">
        <v>0.8</v>
      </c>
      <c r="F31" s="2840" t="s">
        <v>2458</v>
      </c>
      <c r="G31" s="2840"/>
    </row>
    <row r="32" spans="1:13" ht="19.5" customHeight="1">
      <c r="A32" s="3607"/>
      <c r="B32" s="3604"/>
      <c r="C32" s="2841" t="s">
        <v>2459</v>
      </c>
      <c r="D32" s="2842"/>
      <c r="E32" s="2843">
        <v>0.7</v>
      </c>
      <c r="F32" s="2840" t="s">
        <v>2460</v>
      </c>
      <c r="G32" s="2840"/>
    </row>
    <row r="33" spans="1:7" ht="19.5" customHeight="1">
      <c r="A33" s="3607"/>
      <c r="B33" s="3604"/>
      <c r="C33" s="2841" t="s">
        <v>2461</v>
      </c>
      <c r="D33" s="2842"/>
      <c r="E33" s="2843">
        <v>0.8</v>
      </c>
      <c r="F33" s="2840" t="s">
        <v>2462</v>
      </c>
      <c r="G33" s="2840"/>
    </row>
    <row r="34" spans="1:7" ht="19.5" customHeight="1">
      <c r="A34" s="3607"/>
      <c r="B34" s="3604"/>
      <c r="C34" s="2841" t="s">
        <v>2463</v>
      </c>
      <c r="D34" s="2842"/>
      <c r="E34" s="2843">
        <v>0.6</v>
      </c>
      <c r="F34" s="2840" t="s">
        <v>2464</v>
      </c>
      <c r="G34" s="2840"/>
    </row>
    <row r="35" spans="1:7" ht="19.5" customHeight="1">
      <c r="A35" s="3607"/>
      <c r="B35" s="3604"/>
      <c r="C35" s="2841" t="s">
        <v>2465</v>
      </c>
      <c r="D35" s="2842"/>
      <c r="E35" s="2843">
        <v>0.2</v>
      </c>
      <c r="F35" s="2840" t="s">
        <v>2466</v>
      </c>
      <c r="G35" s="2840"/>
    </row>
    <row r="36" spans="1:7" ht="19.5" customHeight="1">
      <c r="A36" s="3607"/>
      <c r="B36" s="3604"/>
      <c r="C36" s="2841" t="s">
        <v>2467</v>
      </c>
      <c r="D36" s="2842"/>
      <c r="E36" s="2843">
        <v>0.2</v>
      </c>
      <c r="F36" s="2840" t="s">
        <v>2468</v>
      </c>
      <c r="G36" s="2840"/>
    </row>
    <row r="37" spans="1:7" ht="19.5" customHeight="1">
      <c r="A37" s="3607"/>
      <c r="B37" s="3609" t="s">
        <v>2629</v>
      </c>
      <c r="C37" s="2841" t="s">
        <v>2469</v>
      </c>
      <c r="D37" s="2842"/>
      <c r="E37" s="2843">
        <v>0.6</v>
      </c>
      <c r="F37" s="2840" t="s">
        <v>2470</v>
      </c>
      <c r="G37" s="2840"/>
    </row>
    <row r="38" spans="1:7" ht="19.5" customHeight="1">
      <c r="A38" s="3607"/>
      <c r="B38" s="3604"/>
      <c r="C38" s="2841" t="s">
        <v>2471</v>
      </c>
      <c r="D38" s="2842"/>
      <c r="E38" s="2843">
        <v>0.6</v>
      </c>
      <c r="F38" s="2840" t="s">
        <v>2472</v>
      </c>
      <c r="G38" s="2840"/>
    </row>
    <row r="39" spans="1:7" ht="19.5" customHeight="1" thickBot="1">
      <c r="A39" s="3608"/>
      <c r="B39" s="3605"/>
      <c r="C39" s="2844" t="s">
        <v>2473</v>
      </c>
      <c r="D39" s="2845"/>
      <c r="E39" s="2846">
        <v>0.6</v>
      </c>
      <c r="F39" s="2840" t="s">
        <v>2474</v>
      </c>
      <c r="G39" s="2840"/>
    </row>
    <row r="40" spans="1:7" ht="19.5" customHeight="1" thickBot="1">
      <c r="A40" s="2847" t="s">
        <v>2606</v>
      </c>
      <c r="B40" s="2848" t="s">
        <v>2606</v>
      </c>
      <c r="C40" s="2849" t="s">
        <v>2630</v>
      </c>
      <c r="D40" s="2850"/>
      <c r="E40" s="2851">
        <v>1</v>
      </c>
      <c r="F40" s="2840" t="s">
        <v>2475</v>
      </c>
      <c r="G40" s="2840"/>
    </row>
    <row r="41" spans="1:7" ht="19.5" customHeight="1">
      <c r="A41" s="3610" t="s">
        <v>2607</v>
      </c>
      <c r="B41" s="3603" t="s">
        <v>2631</v>
      </c>
      <c r="C41" s="2837" t="s">
        <v>2476</v>
      </c>
      <c r="D41" s="2838"/>
      <c r="E41" s="2839">
        <v>1</v>
      </c>
      <c r="F41" s="2840" t="s">
        <v>2477</v>
      </c>
      <c r="G41" s="2840"/>
    </row>
    <row r="42" spans="1:7" ht="19.5" customHeight="1">
      <c r="A42" s="3611"/>
      <c r="B42" s="3604"/>
      <c r="C42" s="2841" t="s">
        <v>2478</v>
      </c>
      <c r="D42" s="2842"/>
      <c r="E42" s="2843">
        <v>1</v>
      </c>
      <c r="F42" s="2840" t="s">
        <v>2479</v>
      </c>
      <c r="G42" s="2840"/>
    </row>
    <row r="43" spans="1:7" ht="19.5" customHeight="1">
      <c r="A43" s="3611"/>
      <c r="B43" s="3613"/>
      <c r="C43" s="2841" t="s">
        <v>2480</v>
      </c>
      <c r="D43" s="2842"/>
      <c r="E43" s="2843">
        <v>1.5</v>
      </c>
      <c r="F43" s="2840" t="s">
        <v>2481</v>
      </c>
      <c r="G43" s="2840"/>
    </row>
    <row r="44" spans="1:7" ht="19.5" customHeight="1">
      <c r="A44" s="3611"/>
      <c r="B44" s="2852" t="s">
        <v>2632</v>
      </c>
      <c r="C44" s="2841" t="s">
        <v>2633</v>
      </c>
      <c r="D44" s="2842"/>
      <c r="E44" s="2843">
        <v>2</v>
      </c>
      <c r="F44" s="2840" t="s">
        <v>2482</v>
      </c>
      <c r="G44" s="2840"/>
    </row>
    <row r="45" spans="1:7" ht="19.5" customHeight="1">
      <c r="A45" s="3611"/>
      <c r="B45" s="3609" t="s">
        <v>2634</v>
      </c>
      <c r="C45" s="2841" t="s">
        <v>2483</v>
      </c>
      <c r="D45" s="2842"/>
      <c r="E45" s="2843">
        <v>1</v>
      </c>
      <c r="F45" s="2840" t="s">
        <v>2484</v>
      </c>
      <c r="G45" s="2840"/>
    </row>
    <row r="46" spans="1:7" ht="19.5" customHeight="1">
      <c r="A46" s="3611"/>
      <c r="B46" s="3604"/>
      <c r="C46" s="2841" t="s">
        <v>2485</v>
      </c>
      <c r="D46" s="2842"/>
      <c r="E46" s="2843">
        <v>1</v>
      </c>
      <c r="F46" s="2840" t="s">
        <v>2486</v>
      </c>
      <c r="G46" s="2840"/>
    </row>
    <row r="47" spans="1:7" ht="19.5" customHeight="1">
      <c r="A47" s="3611"/>
      <c r="B47" s="3604"/>
      <c r="C47" s="2841" t="s">
        <v>2487</v>
      </c>
      <c r="D47" s="2842"/>
      <c r="E47" s="2843">
        <v>1</v>
      </c>
      <c r="F47" s="2840" t="s">
        <v>2488</v>
      </c>
      <c r="G47" s="2840"/>
    </row>
    <row r="48" spans="1:7" ht="19.5" customHeight="1">
      <c r="A48" s="3611"/>
      <c r="B48" s="3604"/>
      <c r="C48" s="2841" t="s">
        <v>2489</v>
      </c>
      <c r="D48" s="2842"/>
      <c r="E48" s="2843">
        <v>1</v>
      </c>
      <c r="F48" s="2840" t="s">
        <v>2490</v>
      </c>
      <c r="G48" s="2840"/>
    </row>
    <row r="49" spans="1:7" ht="19.5" customHeight="1">
      <c r="A49" s="3611"/>
      <c r="B49" s="3604"/>
      <c r="C49" s="2841" t="s">
        <v>2491</v>
      </c>
      <c r="D49" s="2842"/>
      <c r="E49" s="2843">
        <v>1</v>
      </c>
      <c r="F49" s="2840" t="s">
        <v>2492</v>
      </c>
      <c r="G49" s="2840"/>
    </row>
    <row r="50" spans="1:7" ht="19.5" customHeight="1">
      <c r="A50" s="3611"/>
      <c r="B50" s="3604"/>
      <c r="C50" s="2841" t="s">
        <v>2493</v>
      </c>
      <c r="D50" s="2842"/>
      <c r="E50" s="2843">
        <v>1</v>
      </c>
      <c r="F50" s="2840" t="s">
        <v>2494</v>
      </c>
      <c r="G50" s="2840"/>
    </row>
    <row r="51" spans="1:7" ht="19.5" customHeight="1" thickBot="1">
      <c r="A51" s="3612"/>
      <c r="B51" s="3605"/>
      <c r="C51" s="2844" t="s">
        <v>2495</v>
      </c>
      <c r="D51" s="2845"/>
      <c r="E51" s="2846">
        <v>1</v>
      </c>
      <c r="F51" s="2840" t="s">
        <v>2496</v>
      </c>
      <c r="G51" s="2840"/>
    </row>
    <row r="52" spans="1:7" ht="19.5" customHeight="1">
      <c r="A52" s="2853"/>
      <c r="B52" s="2853"/>
      <c r="C52" s="2853"/>
      <c r="D52" s="2853"/>
      <c r="E52" s="2853"/>
      <c r="F52" s="2853"/>
      <c r="G52" s="2853"/>
    </row>
    <row r="54" spans="1:7" ht="19.5" customHeight="1">
      <c r="A54" s="2854"/>
      <c r="B54" s="2826" t="s">
        <v>2635</v>
      </c>
      <c r="C54" s="2826" t="s">
        <v>2635</v>
      </c>
      <c r="D54" s="2826" t="s">
        <v>2635</v>
      </c>
      <c r="E54" s="2829" t="s">
        <v>2635</v>
      </c>
      <c r="F54" s="2829" t="s">
        <v>2636</v>
      </c>
      <c r="G54" s="2829" t="s">
        <v>2637</v>
      </c>
    </row>
    <row r="55" spans="1:7" ht="19.5" customHeight="1">
      <c r="A55" s="2855"/>
      <c r="B55" s="2829" t="s">
        <v>2604</v>
      </c>
      <c r="C55" s="2829" t="s">
        <v>2604</v>
      </c>
      <c r="D55" s="2829" t="s">
        <v>2604</v>
      </c>
      <c r="E55" s="2826" t="s">
        <v>2605</v>
      </c>
      <c r="F55" s="2826" t="s">
        <v>2607</v>
      </c>
      <c r="G55" s="2826" t="s">
        <v>2638</v>
      </c>
    </row>
    <row r="56" spans="1:7" ht="19.5" customHeight="1">
      <c r="A56" s="2856"/>
      <c r="B56" s="2826">
        <v>1</v>
      </c>
      <c r="C56" s="2826">
        <v>2</v>
      </c>
      <c r="D56" s="2826">
        <v>3</v>
      </c>
      <c r="E56" s="2857" t="s">
        <v>2639</v>
      </c>
      <c r="F56" s="2857" t="s">
        <v>2639</v>
      </c>
      <c r="G56" s="2857" t="s">
        <v>2639</v>
      </c>
    </row>
    <row r="57" spans="1:7" ht="19.5" customHeight="1">
      <c r="A57" s="2858" t="s">
        <v>2592</v>
      </c>
      <c r="B57" s="2826">
        <v>0.7</v>
      </c>
      <c r="C57" s="2826">
        <v>0.4</v>
      </c>
      <c r="D57" s="2826">
        <v>0.3</v>
      </c>
      <c r="E57" s="2857">
        <v>0.3</v>
      </c>
      <c r="F57" s="2826">
        <v>0.3</v>
      </c>
      <c r="G57" s="2826">
        <v>0.2</v>
      </c>
    </row>
    <row r="58" spans="1:7" ht="19.5" customHeight="1">
      <c r="A58" s="2858" t="s">
        <v>2593</v>
      </c>
      <c r="B58" s="2826">
        <v>0.7</v>
      </c>
      <c r="C58" s="2826">
        <v>0.4</v>
      </c>
      <c r="D58" s="2826">
        <v>0.3</v>
      </c>
      <c r="E58" s="2826">
        <v>0.3</v>
      </c>
      <c r="F58" s="2826">
        <v>0.3</v>
      </c>
      <c r="G58" s="2826">
        <v>0.2</v>
      </c>
    </row>
    <row r="59" spans="1:7" ht="19.5" customHeight="1">
      <c r="A59" s="2858" t="s">
        <v>2594</v>
      </c>
      <c r="B59" s="2826">
        <v>0.6</v>
      </c>
      <c r="C59" s="2826">
        <v>0.3</v>
      </c>
      <c r="D59" s="2826">
        <v>0.25</v>
      </c>
      <c r="E59" s="2826">
        <v>0.25</v>
      </c>
      <c r="F59" s="2826">
        <v>0.25</v>
      </c>
      <c r="G59" s="2826">
        <v>0.15</v>
      </c>
    </row>
    <row r="60" spans="1:7" ht="19.5" customHeight="1">
      <c r="A60" s="2858" t="s">
        <v>2595</v>
      </c>
      <c r="B60" s="2826">
        <v>0.6</v>
      </c>
      <c r="C60" s="2826">
        <v>0.3</v>
      </c>
      <c r="D60" s="2826">
        <v>0.25</v>
      </c>
      <c r="E60" s="2826">
        <v>0.25</v>
      </c>
      <c r="F60" s="2826">
        <v>0.25</v>
      </c>
      <c r="G60" s="2826">
        <v>0.15</v>
      </c>
    </row>
    <row r="61" spans="1:7" ht="19.5" customHeight="1">
      <c r="A61" s="2858" t="s">
        <v>2596</v>
      </c>
      <c r="B61" s="2826">
        <v>0.6</v>
      </c>
      <c r="C61" s="2826">
        <v>0.3</v>
      </c>
      <c r="D61" s="2826">
        <v>0.25</v>
      </c>
      <c r="E61" s="2826">
        <v>0.25</v>
      </c>
      <c r="F61" s="2826">
        <v>0.25</v>
      </c>
      <c r="G61" s="2826">
        <v>0.15</v>
      </c>
    </row>
    <row r="62" spans="1:7" ht="19.5" customHeight="1">
      <c r="A62" s="2858" t="s">
        <v>2597</v>
      </c>
      <c r="B62" s="2826">
        <v>0.6</v>
      </c>
      <c r="C62" s="2826">
        <v>0.3</v>
      </c>
      <c r="D62" s="2826">
        <v>0.25</v>
      </c>
      <c r="E62" s="2826">
        <v>0.25</v>
      </c>
      <c r="F62" s="2826">
        <v>0.25</v>
      </c>
      <c r="G62" s="2826">
        <v>0.15</v>
      </c>
    </row>
    <row r="63" spans="1:7" ht="19.5" customHeight="1">
      <c r="A63" s="2858" t="s">
        <v>2598</v>
      </c>
      <c r="B63" s="2826">
        <v>0.6</v>
      </c>
      <c r="C63" s="2826">
        <v>0.3</v>
      </c>
      <c r="D63" s="2826">
        <v>0.25</v>
      </c>
      <c r="E63" s="2826">
        <v>0.25</v>
      </c>
      <c r="F63" s="2826">
        <v>0.25</v>
      </c>
      <c r="G63" s="2826">
        <v>0.15</v>
      </c>
    </row>
    <row r="64" spans="1:7" ht="19.5" customHeight="1">
      <c r="A64" s="2858" t="s">
        <v>2599</v>
      </c>
      <c r="B64" s="2826">
        <v>0.5</v>
      </c>
      <c r="C64" s="2826">
        <v>0.2</v>
      </c>
      <c r="D64" s="2826">
        <v>0.2</v>
      </c>
      <c r="E64" s="2826">
        <v>0.2</v>
      </c>
      <c r="F64" s="2826">
        <v>0.2</v>
      </c>
      <c r="G64" s="2826">
        <v>0.1</v>
      </c>
    </row>
    <row r="65" spans="1:7" ht="19.5" customHeight="1">
      <c r="A65" s="2858" t="s">
        <v>2600</v>
      </c>
      <c r="B65" s="2826">
        <v>0.5</v>
      </c>
      <c r="C65" s="2826">
        <v>0.2</v>
      </c>
      <c r="D65" s="2826">
        <v>0.2</v>
      </c>
      <c r="E65" s="2826">
        <v>0.2</v>
      </c>
      <c r="F65" s="2826">
        <v>0.2</v>
      </c>
      <c r="G65" s="2826">
        <v>0.1</v>
      </c>
    </row>
    <row r="66" spans="1:7" ht="19.5" customHeight="1">
      <c r="A66" s="2858" t="s">
        <v>2601</v>
      </c>
      <c r="B66" s="2826">
        <v>0.5</v>
      </c>
      <c r="C66" s="2826">
        <v>0.2</v>
      </c>
      <c r="D66" s="2826">
        <v>0.2</v>
      </c>
      <c r="E66" s="2826">
        <v>0.2</v>
      </c>
      <c r="F66" s="2826">
        <v>0.2</v>
      </c>
      <c r="G66" s="2826">
        <v>0.1</v>
      </c>
    </row>
    <row r="67" spans="1:7" ht="19.5" customHeight="1">
      <c r="A67" s="2858" t="s">
        <v>2602</v>
      </c>
      <c r="B67" s="2826">
        <v>0.5</v>
      </c>
      <c r="C67" s="2826">
        <v>0.2</v>
      </c>
      <c r="D67" s="2826">
        <v>0.2</v>
      </c>
      <c r="E67" s="2826">
        <v>0.2</v>
      </c>
      <c r="F67" s="2826">
        <v>0.2</v>
      </c>
      <c r="G67" s="2826">
        <v>0.1</v>
      </c>
    </row>
    <row r="68" spans="1:7" ht="19.5" customHeight="1">
      <c r="A68" s="2858" t="s">
        <v>2603</v>
      </c>
      <c r="B68" s="2826">
        <v>0.5</v>
      </c>
      <c r="C68" s="2826">
        <v>0.2</v>
      </c>
      <c r="D68" s="2826">
        <v>0.2</v>
      </c>
      <c r="E68" s="2826">
        <v>0.2</v>
      </c>
      <c r="F68" s="2826">
        <v>0.2</v>
      </c>
      <c r="G68" s="2826">
        <v>0.1</v>
      </c>
    </row>
    <row r="70" spans="1:7" ht="19.5" customHeight="1">
      <c r="A70" s="2840"/>
      <c r="B70" s="2859"/>
      <c r="C70" s="2859"/>
      <c r="D70" s="2859" t="s">
        <v>2640</v>
      </c>
      <c r="E70" s="2859"/>
      <c r="F70" s="2859"/>
    </row>
    <row r="71" spans="1:7" ht="19.5" customHeight="1">
      <c r="A71" s="2852" t="s">
        <v>2641</v>
      </c>
      <c r="B71" s="2852" t="s">
        <v>2642</v>
      </c>
      <c r="C71" s="2852" t="s">
        <v>2643</v>
      </c>
      <c r="D71" s="2852" t="s">
        <v>2644</v>
      </c>
      <c r="E71" s="2852" t="s">
        <v>2645</v>
      </c>
      <c r="F71" s="2852" t="s">
        <v>2646</v>
      </c>
    </row>
    <row r="72" spans="1:7" ht="13.5">
      <c r="A72" s="2852"/>
      <c r="B72" s="2852"/>
      <c r="C72" s="2852" t="s">
        <v>2647</v>
      </c>
      <c r="D72" s="2852"/>
      <c r="E72" s="2852" t="s">
        <v>2618</v>
      </c>
      <c r="F72" s="2852" t="s">
        <v>2618</v>
      </c>
    </row>
    <row r="73" spans="1:7" ht="13.5">
      <c r="A73" s="2852">
        <v>1</v>
      </c>
      <c r="B73" s="3609" t="s">
        <v>2648</v>
      </c>
      <c r="C73" s="2826" t="s">
        <v>2649</v>
      </c>
      <c r="D73" s="2826" t="s">
        <v>2650</v>
      </c>
      <c r="E73" s="2852">
        <v>0.2</v>
      </c>
      <c r="F73" s="2852">
        <v>25</v>
      </c>
    </row>
    <row r="74" spans="1:7" ht="24">
      <c r="A74" s="2852">
        <v>2</v>
      </c>
      <c r="B74" s="3604"/>
      <c r="C74" s="2826" t="s">
        <v>2651</v>
      </c>
      <c r="D74" s="2826" t="s">
        <v>2652</v>
      </c>
      <c r="E74" s="2852">
        <v>0.2</v>
      </c>
      <c r="F74" s="2852">
        <v>25</v>
      </c>
    </row>
    <row r="75" spans="1:7" ht="24">
      <c r="A75" s="2852">
        <v>3</v>
      </c>
      <c r="B75" s="3604"/>
      <c r="C75" s="2826" t="s">
        <v>2653</v>
      </c>
      <c r="D75" s="2826" t="s">
        <v>2654</v>
      </c>
      <c r="E75" s="2852">
        <v>0.2</v>
      </c>
      <c r="F75" s="2852">
        <v>25</v>
      </c>
    </row>
    <row r="76" spans="1:7" ht="13.5">
      <c r="A76" s="2852">
        <v>4</v>
      </c>
      <c r="B76" s="3604"/>
      <c r="C76" s="2826" t="s">
        <v>2655</v>
      </c>
      <c r="D76" s="2826" t="s">
        <v>2656</v>
      </c>
      <c r="E76" s="2852">
        <v>0.15</v>
      </c>
      <c r="F76" s="2852">
        <v>20</v>
      </c>
    </row>
    <row r="77" spans="1:7" ht="24">
      <c r="A77" s="2852">
        <v>5</v>
      </c>
      <c r="B77" s="3604"/>
      <c r="C77" s="2826" t="s">
        <v>2657</v>
      </c>
      <c r="D77" s="2826" t="s">
        <v>2658</v>
      </c>
      <c r="E77" s="2852">
        <v>0.15</v>
      </c>
      <c r="F77" s="2852">
        <v>20</v>
      </c>
    </row>
    <row r="78" spans="1:7" ht="24">
      <c r="A78" s="2852">
        <v>6</v>
      </c>
      <c r="B78" s="3604"/>
      <c r="C78" s="2826" t="s">
        <v>2659</v>
      </c>
      <c r="D78" s="2826" t="s">
        <v>2660</v>
      </c>
      <c r="E78" s="2852">
        <v>0.15</v>
      </c>
      <c r="F78" s="2852">
        <v>20</v>
      </c>
    </row>
    <row r="79" spans="1:7" ht="24">
      <c r="A79" s="2852">
        <v>7</v>
      </c>
      <c r="B79" s="3604"/>
      <c r="C79" s="2826" t="s">
        <v>2661</v>
      </c>
      <c r="D79" s="2826" t="s">
        <v>2662</v>
      </c>
      <c r="E79" s="2852">
        <v>0.15</v>
      </c>
      <c r="F79" s="2852">
        <v>20</v>
      </c>
    </row>
    <row r="80" spans="1:7" ht="24">
      <c r="A80" s="2852">
        <v>8</v>
      </c>
      <c r="B80" s="3604"/>
      <c r="C80" s="2826" t="s">
        <v>2663</v>
      </c>
      <c r="D80" s="2826" t="s">
        <v>2664</v>
      </c>
      <c r="E80" s="2852">
        <v>0.1</v>
      </c>
      <c r="F80" s="2852">
        <v>15</v>
      </c>
    </row>
    <row r="81" spans="1:6" ht="24">
      <c r="A81" s="2852">
        <v>9</v>
      </c>
      <c r="B81" s="3604"/>
      <c r="C81" s="2826" t="s">
        <v>2665</v>
      </c>
      <c r="D81" s="2826" t="s">
        <v>2666</v>
      </c>
      <c r="E81" s="2852">
        <v>0.1</v>
      </c>
      <c r="F81" s="2852">
        <v>15</v>
      </c>
    </row>
    <row r="82" spans="1:6" ht="24">
      <c r="A82" s="2852">
        <v>10</v>
      </c>
      <c r="B82" s="3604"/>
      <c r="C82" s="2826" t="s">
        <v>2667</v>
      </c>
      <c r="D82" s="2826" t="s">
        <v>2668</v>
      </c>
      <c r="E82" s="2852">
        <v>0.1</v>
      </c>
      <c r="F82" s="2852">
        <v>15</v>
      </c>
    </row>
    <row r="83" spans="1:6" ht="24">
      <c r="A83" s="2852">
        <v>11</v>
      </c>
      <c r="B83" s="3604"/>
      <c r="C83" s="2826" t="s">
        <v>2669</v>
      </c>
      <c r="D83" s="2826" t="s">
        <v>2670</v>
      </c>
      <c r="E83" s="2852">
        <v>0.1</v>
      </c>
      <c r="F83" s="2852">
        <v>15</v>
      </c>
    </row>
    <row r="84" spans="1:6" ht="24">
      <c r="A84" s="2852">
        <v>12</v>
      </c>
      <c r="B84" s="3604"/>
      <c r="C84" s="2826" t="s">
        <v>2671</v>
      </c>
      <c r="D84" s="2826" t="s">
        <v>2672</v>
      </c>
      <c r="E84" s="2852">
        <v>0.1</v>
      </c>
      <c r="F84" s="2852">
        <v>15</v>
      </c>
    </row>
    <row r="85" spans="1:6" ht="13.5">
      <c r="A85" s="2852">
        <v>13</v>
      </c>
      <c r="B85" s="3604"/>
      <c r="C85" s="2826" t="s">
        <v>2673</v>
      </c>
      <c r="D85" s="2826" t="s">
        <v>2674</v>
      </c>
      <c r="E85" s="2852">
        <v>0.1</v>
      </c>
      <c r="F85" s="2852">
        <v>15</v>
      </c>
    </row>
    <row r="86" spans="1:6" ht="13.5">
      <c r="A86" s="2852">
        <v>14</v>
      </c>
      <c r="B86" s="3604"/>
      <c r="C86" s="2826" t="s">
        <v>2675</v>
      </c>
      <c r="D86" s="2826" t="s">
        <v>2676</v>
      </c>
      <c r="E86" s="2852">
        <v>0.1</v>
      </c>
      <c r="F86" s="2852">
        <v>15</v>
      </c>
    </row>
    <row r="87" spans="1:6" ht="13.5">
      <c r="A87" s="2852">
        <v>15</v>
      </c>
      <c r="B87" s="3604"/>
      <c r="C87" s="2826" t="s">
        <v>2677</v>
      </c>
      <c r="D87" s="2826" t="s">
        <v>2678</v>
      </c>
      <c r="E87" s="2852">
        <v>0.1</v>
      </c>
      <c r="F87" s="2852">
        <v>15</v>
      </c>
    </row>
    <row r="88" spans="1:6" ht="24">
      <c r="A88" s="2852">
        <v>16</v>
      </c>
      <c r="B88" s="3604"/>
      <c r="C88" s="2826" t="s">
        <v>2679</v>
      </c>
      <c r="D88" s="2826" t="s">
        <v>2680</v>
      </c>
      <c r="E88" s="2852">
        <v>0.1</v>
      </c>
      <c r="F88" s="2852">
        <v>15</v>
      </c>
    </row>
    <row r="89" spans="1:6" ht="24">
      <c r="A89" s="2852">
        <v>17</v>
      </c>
      <c r="B89" s="3613"/>
      <c r="C89" s="2826" t="s">
        <v>2681</v>
      </c>
      <c r="D89" s="2826" t="s">
        <v>2682</v>
      </c>
      <c r="E89" s="2852">
        <v>0.1</v>
      </c>
      <c r="F89" s="2852">
        <v>15</v>
      </c>
    </row>
    <row r="90" spans="1:6" ht="13.5">
      <c r="A90" s="2852">
        <v>18</v>
      </c>
      <c r="B90" s="3609" t="s">
        <v>2683</v>
      </c>
      <c r="C90" s="2826" t="s">
        <v>2684</v>
      </c>
      <c r="D90" s="2826" t="s">
        <v>2685</v>
      </c>
      <c r="E90" s="2852">
        <v>0.2</v>
      </c>
      <c r="F90" s="2852">
        <v>25</v>
      </c>
    </row>
    <row r="91" spans="1:6" ht="24">
      <c r="A91" s="2852">
        <v>19</v>
      </c>
      <c r="B91" s="3604"/>
      <c r="C91" s="2826" t="s">
        <v>2686</v>
      </c>
      <c r="D91" s="2826" t="s">
        <v>2687</v>
      </c>
      <c r="E91" s="2852">
        <v>0.2</v>
      </c>
      <c r="F91" s="2852">
        <v>25</v>
      </c>
    </row>
    <row r="92" spans="1:6" ht="13.5">
      <c r="A92" s="2852">
        <v>20</v>
      </c>
      <c r="B92" s="3604"/>
      <c r="C92" s="2826" t="s">
        <v>2688</v>
      </c>
      <c r="D92" s="2826" t="s">
        <v>2689</v>
      </c>
      <c r="E92" s="2852">
        <v>0.15</v>
      </c>
      <c r="F92" s="2852">
        <v>20</v>
      </c>
    </row>
    <row r="93" spans="1:6" ht="13.5">
      <c r="A93" s="2852">
        <v>21</v>
      </c>
      <c r="B93" s="3604"/>
      <c r="C93" s="2826" t="s">
        <v>2690</v>
      </c>
      <c r="D93" s="2826" t="s">
        <v>2691</v>
      </c>
      <c r="E93" s="2852">
        <v>0.15</v>
      </c>
      <c r="F93" s="2852">
        <v>20</v>
      </c>
    </row>
    <row r="94" spans="1:6" ht="13.5">
      <c r="A94" s="2852">
        <v>22</v>
      </c>
      <c r="B94" s="3604"/>
      <c r="C94" s="2826" t="s">
        <v>2692</v>
      </c>
      <c r="D94" s="2826" t="s">
        <v>2693</v>
      </c>
      <c r="E94" s="2852">
        <v>0.15</v>
      </c>
      <c r="F94" s="2852">
        <v>20</v>
      </c>
    </row>
    <row r="95" spans="1:6" ht="36">
      <c r="A95" s="2852">
        <v>23</v>
      </c>
      <c r="B95" s="3604"/>
      <c r="C95" s="2826" t="s">
        <v>2694</v>
      </c>
      <c r="D95" s="2826" t="s">
        <v>2695</v>
      </c>
      <c r="E95" s="2852">
        <v>0.15</v>
      </c>
      <c r="F95" s="2852">
        <v>20</v>
      </c>
    </row>
    <row r="96" spans="1:6" ht="13.5">
      <c r="A96" s="2852">
        <v>24</v>
      </c>
      <c r="B96" s="3604"/>
      <c r="C96" s="2826" t="s">
        <v>2696</v>
      </c>
      <c r="D96" s="2826" t="s">
        <v>2697</v>
      </c>
      <c r="E96" s="2852">
        <v>0.1</v>
      </c>
      <c r="F96" s="2852">
        <v>15</v>
      </c>
    </row>
    <row r="97" spans="1:6" ht="13.5">
      <c r="A97" s="2852">
        <v>25</v>
      </c>
      <c r="B97" s="3604"/>
      <c r="C97" s="2826" t="s">
        <v>2698</v>
      </c>
      <c r="D97" s="2826" t="s">
        <v>2699</v>
      </c>
      <c r="E97" s="2852">
        <v>0.1</v>
      </c>
      <c r="F97" s="2852">
        <v>15</v>
      </c>
    </row>
    <row r="98" spans="1:6" ht="24">
      <c r="A98" s="2852">
        <v>26</v>
      </c>
      <c r="B98" s="3604"/>
      <c r="C98" s="2826" t="s">
        <v>2700</v>
      </c>
      <c r="D98" s="2826" t="s">
        <v>2701</v>
      </c>
      <c r="E98" s="2852">
        <v>0.1</v>
      </c>
      <c r="F98" s="2852">
        <v>15</v>
      </c>
    </row>
    <row r="99" spans="1:6" ht="24">
      <c r="A99" s="2852">
        <v>27</v>
      </c>
      <c r="B99" s="3604"/>
      <c r="C99" s="2826" t="s">
        <v>2702</v>
      </c>
      <c r="D99" s="2826" t="s">
        <v>2703</v>
      </c>
      <c r="E99" s="2852">
        <v>0.1</v>
      </c>
      <c r="F99" s="2852">
        <v>15</v>
      </c>
    </row>
    <row r="100" spans="1:6" ht="13.5">
      <c r="A100" s="2852">
        <v>28</v>
      </c>
      <c r="B100" s="3604"/>
      <c r="C100" s="2826" t="s">
        <v>2704</v>
      </c>
      <c r="D100" s="2826" t="s">
        <v>2705</v>
      </c>
      <c r="E100" s="2852">
        <v>0.1</v>
      </c>
      <c r="F100" s="2852">
        <v>15</v>
      </c>
    </row>
    <row r="101" spans="1:6" ht="13.5">
      <c r="A101" s="2852">
        <v>29</v>
      </c>
      <c r="B101" s="3604"/>
      <c r="C101" s="2826" t="s">
        <v>2706</v>
      </c>
      <c r="D101" s="2826" t="s">
        <v>2707</v>
      </c>
      <c r="E101" s="2852">
        <v>0.1</v>
      </c>
      <c r="F101" s="2852">
        <v>15</v>
      </c>
    </row>
    <row r="102" spans="1:6" ht="13.5">
      <c r="A102" s="2852">
        <v>30</v>
      </c>
      <c r="B102" s="3604"/>
      <c r="C102" s="2826" t="s">
        <v>2708</v>
      </c>
      <c r="D102" s="2826" t="s">
        <v>2709</v>
      </c>
      <c r="E102" s="2852">
        <v>0.1</v>
      </c>
      <c r="F102" s="2852">
        <v>15</v>
      </c>
    </row>
    <row r="103" spans="1:6" ht="24">
      <c r="A103" s="2852">
        <v>31</v>
      </c>
      <c r="B103" s="3604"/>
      <c r="C103" s="2826" t="s">
        <v>2710</v>
      </c>
      <c r="D103" s="2826" t="s">
        <v>2711</v>
      </c>
      <c r="E103" s="2852">
        <v>0.1</v>
      </c>
      <c r="F103" s="2852">
        <v>15</v>
      </c>
    </row>
    <row r="104" spans="1:6" ht="24">
      <c r="A104" s="2852">
        <v>32</v>
      </c>
      <c r="B104" s="3604"/>
      <c r="C104" s="2826" t="s">
        <v>2712</v>
      </c>
      <c r="D104" s="2826" t="s">
        <v>2713</v>
      </c>
      <c r="E104" s="2852">
        <v>0.1</v>
      </c>
      <c r="F104" s="2852">
        <v>15</v>
      </c>
    </row>
    <row r="105" spans="1:6" ht="24">
      <c r="A105" s="2852">
        <v>33</v>
      </c>
      <c r="B105" s="3604"/>
      <c r="C105" s="2826" t="s">
        <v>2714</v>
      </c>
      <c r="D105" s="2826" t="s">
        <v>2715</v>
      </c>
      <c r="E105" s="2852">
        <v>0.1</v>
      </c>
      <c r="F105" s="2852">
        <v>15</v>
      </c>
    </row>
    <row r="106" spans="1:6" ht="24">
      <c r="A106" s="2852">
        <v>34</v>
      </c>
      <c r="B106" s="3613"/>
      <c r="C106" s="2826" t="s">
        <v>2716</v>
      </c>
      <c r="D106" s="2826" t="s">
        <v>2717</v>
      </c>
      <c r="E106" s="2852">
        <v>0.1</v>
      </c>
      <c r="F106" s="2852">
        <v>15</v>
      </c>
    </row>
    <row r="107" spans="1:6" ht="24">
      <c r="A107" s="2852">
        <v>35</v>
      </c>
      <c r="B107" s="3609" t="s">
        <v>2718</v>
      </c>
      <c r="C107" s="2852" t="s">
        <v>2719</v>
      </c>
      <c r="D107" s="2826" t="s">
        <v>2720</v>
      </c>
      <c r="E107" s="2852">
        <v>0.15</v>
      </c>
      <c r="F107" s="2852">
        <v>20</v>
      </c>
    </row>
    <row r="108" spans="1:6" ht="13.5">
      <c r="A108" s="2852">
        <v>36</v>
      </c>
      <c r="B108" s="3604"/>
      <c r="C108" s="2852" t="s">
        <v>2721</v>
      </c>
      <c r="D108" s="2826" t="s">
        <v>2722</v>
      </c>
      <c r="E108" s="2852">
        <v>0.15</v>
      </c>
      <c r="F108" s="2852">
        <v>20</v>
      </c>
    </row>
    <row r="109" spans="1:6" ht="13.5">
      <c r="A109" s="2852">
        <v>37</v>
      </c>
      <c r="B109" s="3604"/>
      <c r="C109" s="2852" t="s">
        <v>2723</v>
      </c>
      <c r="D109" s="2826" t="s">
        <v>2724</v>
      </c>
      <c r="E109" s="2852">
        <v>0.15</v>
      </c>
      <c r="F109" s="2852">
        <v>20</v>
      </c>
    </row>
    <row r="110" spans="1:6" ht="13.5">
      <c r="A110" s="2852">
        <v>38</v>
      </c>
      <c r="B110" s="3604"/>
      <c r="C110" s="2852" t="s">
        <v>2725</v>
      </c>
      <c r="D110" s="2826" t="s">
        <v>2726</v>
      </c>
      <c r="E110" s="2852">
        <v>0.1</v>
      </c>
      <c r="F110" s="2852">
        <v>15</v>
      </c>
    </row>
    <row r="111" spans="1:6" ht="24">
      <c r="A111" s="2852">
        <v>39</v>
      </c>
      <c r="B111" s="3604"/>
      <c r="C111" s="2852" t="s">
        <v>2727</v>
      </c>
      <c r="D111" s="2826" t="s">
        <v>2728</v>
      </c>
      <c r="E111" s="2852">
        <v>0.1</v>
      </c>
      <c r="F111" s="2852">
        <v>15</v>
      </c>
    </row>
    <row r="112" spans="1:6" ht="24">
      <c r="A112" s="2852">
        <v>40</v>
      </c>
      <c r="B112" s="3613"/>
      <c r="C112" s="2852" t="s">
        <v>2729</v>
      </c>
      <c r="D112" s="2826" t="s">
        <v>2730</v>
      </c>
      <c r="E112" s="2852">
        <v>0.1</v>
      </c>
      <c r="F112" s="2852">
        <v>15</v>
      </c>
    </row>
    <row r="113" spans="1:6" ht="13.5">
      <c r="A113" s="2852">
        <v>41</v>
      </c>
      <c r="B113" s="3614" t="s">
        <v>2731</v>
      </c>
      <c r="C113" s="2852" t="s">
        <v>2732</v>
      </c>
      <c r="D113" s="2826" t="s">
        <v>2733</v>
      </c>
      <c r="E113" s="2852">
        <v>0.1</v>
      </c>
      <c r="F113" s="2852">
        <v>15</v>
      </c>
    </row>
    <row r="114" spans="1:6" ht="13.5">
      <c r="A114" s="2852">
        <v>42</v>
      </c>
      <c r="B114" s="3614"/>
      <c r="C114" s="2852" t="s">
        <v>2734</v>
      </c>
      <c r="D114" s="2826" t="s">
        <v>2735</v>
      </c>
      <c r="E114" s="2852">
        <v>0.1</v>
      </c>
      <c r="F114" s="2852">
        <v>15</v>
      </c>
    </row>
    <row r="115" spans="1:6" ht="24">
      <c r="A115" s="2852">
        <v>43</v>
      </c>
      <c r="B115" s="3614"/>
      <c r="C115" s="2852" t="s">
        <v>2736</v>
      </c>
      <c r="D115" s="2826" t="s">
        <v>2737</v>
      </c>
      <c r="E115" s="2852">
        <v>0.1</v>
      </c>
      <c r="F115" s="2852">
        <v>15</v>
      </c>
    </row>
    <row r="116" spans="1:6" ht="13.5">
      <c r="A116" s="2852">
        <v>44</v>
      </c>
      <c r="B116" s="3609" t="s">
        <v>2738</v>
      </c>
      <c r="C116" s="2852" t="s">
        <v>2739</v>
      </c>
      <c r="D116" s="2826" t="s">
        <v>2740</v>
      </c>
      <c r="E116" s="2852">
        <v>0.1</v>
      </c>
      <c r="F116" s="2852">
        <v>15</v>
      </c>
    </row>
    <row r="117" spans="1:6" ht="24">
      <c r="A117" s="2852">
        <v>45</v>
      </c>
      <c r="B117" s="3613"/>
      <c r="C117" s="2826" t="s">
        <v>2741</v>
      </c>
      <c r="D117" s="2826" t="s">
        <v>2742</v>
      </c>
      <c r="E117" s="2852">
        <v>0.1</v>
      </c>
      <c r="F117" s="2852">
        <v>15</v>
      </c>
    </row>
    <row r="118" spans="1:6" ht="24">
      <c r="A118" s="2852">
        <v>46</v>
      </c>
      <c r="B118" s="3609" t="s">
        <v>2743</v>
      </c>
      <c r="C118" s="2852" t="s">
        <v>2744</v>
      </c>
      <c r="D118" s="2826" t="s">
        <v>2745</v>
      </c>
      <c r="E118" s="2852">
        <v>0.1</v>
      </c>
      <c r="F118" s="2852">
        <v>15</v>
      </c>
    </row>
    <row r="119" spans="1:6" ht="24">
      <c r="A119" s="2852">
        <v>47</v>
      </c>
      <c r="B119" s="3613"/>
      <c r="C119" s="2852" t="s">
        <v>2746</v>
      </c>
      <c r="D119" s="2826" t="s">
        <v>2747</v>
      </c>
      <c r="E119" s="2852">
        <v>0.1</v>
      </c>
      <c r="F119" s="2852">
        <v>15</v>
      </c>
    </row>
    <row r="120" spans="1:6" ht="13.5">
      <c r="A120" s="2852">
        <v>48</v>
      </c>
      <c r="B120" s="3609" t="s">
        <v>2748</v>
      </c>
      <c r="C120" s="2852" t="s">
        <v>2749</v>
      </c>
      <c r="D120" s="2826" t="s">
        <v>2750</v>
      </c>
      <c r="E120" s="2852">
        <v>0.1</v>
      </c>
      <c r="F120" s="2852">
        <v>15</v>
      </c>
    </row>
    <row r="121" spans="1:6" ht="13.5">
      <c r="A121" s="2852">
        <v>49</v>
      </c>
      <c r="B121" s="3613"/>
      <c r="C121" s="2852" t="s">
        <v>2751</v>
      </c>
      <c r="D121" s="2826" t="s">
        <v>2752</v>
      </c>
      <c r="E121" s="2852">
        <v>0.1</v>
      </c>
      <c r="F121" s="2852">
        <v>15</v>
      </c>
    </row>
    <row r="122" spans="1:6" ht="24">
      <c r="A122" s="2852">
        <v>50</v>
      </c>
      <c r="B122" s="3614" t="s">
        <v>2753</v>
      </c>
      <c r="C122" s="2852" t="s">
        <v>2754</v>
      </c>
      <c r="D122" s="2826" t="s">
        <v>2755</v>
      </c>
      <c r="E122" s="2852">
        <v>0.1</v>
      </c>
      <c r="F122" s="2852">
        <v>15</v>
      </c>
    </row>
    <row r="123" spans="1:6" ht="24">
      <c r="A123" s="2852">
        <v>51</v>
      </c>
      <c r="B123" s="3614"/>
      <c r="C123" s="2852" t="s">
        <v>2756</v>
      </c>
      <c r="D123" s="2826" t="s">
        <v>2757</v>
      </c>
      <c r="E123" s="2852">
        <v>0.1</v>
      </c>
      <c r="F123" s="2852">
        <v>15</v>
      </c>
    </row>
    <row r="124" spans="1:6" ht="24">
      <c r="A124" s="2852">
        <v>52</v>
      </c>
      <c r="B124" s="3614" t="s">
        <v>2758</v>
      </c>
      <c r="C124" s="2852" t="s">
        <v>2759</v>
      </c>
      <c r="D124" s="2826" t="s">
        <v>2760</v>
      </c>
      <c r="E124" s="2852">
        <v>0.1</v>
      </c>
      <c r="F124" s="2852">
        <v>15</v>
      </c>
    </row>
    <row r="125" spans="1:6" ht="24">
      <c r="A125" s="2852">
        <v>53</v>
      </c>
      <c r="B125" s="3614"/>
      <c r="C125" s="2852" t="s">
        <v>2761</v>
      </c>
      <c r="D125" s="2826" t="s">
        <v>2762</v>
      </c>
      <c r="E125" s="2852">
        <v>0.1</v>
      </c>
      <c r="F125" s="2852">
        <v>15</v>
      </c>
    </row>
    <row r="126" spans="1:6" ht="13.5">
      <c r="A126" s="2852">
        <v>54</v>
      </c>
      <c r="B126" s="2852" t="s">
        <v>2763</v>
      </c>
      <c r="C126" s="2852" t="s">
        <v>2764</v>
      </c>
      <c r="D126" s="2826" t="s">
        <v>2765</v>
      </c>
      <c r="E126" s="2852">
        <v>0.1</v>
      </c>
      <c r="F126" s="2852">
        <v>15</v>
      </c>
    </row>
    <row r="127" spans="1:6" ht="13.5">
      <c r="A127" s="2852">
        <v>55</v>
      </c>
      <c r="B127" s="3614" t="s">
        <v>2766</v>
      </c>
      <c r="C127" s="2852" t="s">
        <v>2767</v>
      </c>
      <c r="D127" s="2826" t="s">
        <v>2768</v>
      </c>
      <c r="E127" s="2852">
        <v>0.1</v>
      </c>
      <c r="F127" s="2852">
        <v>15</v>
      </c>
    </row>
    <row r="128" spans="1:6" ht="13.5">
      <c r="A128" s="2852">
        <v>56</v>
      </c>
      <c r="B128" s="3614"/>
      <c r="C128" s="2852" t="s">
        <v>2769</v>
      </c>
      <c r="D128" s="2826" t="s">
        <v>2770</v>
      </c>
      <c r="E128" s="2852">
        <v>0.1</v>
      </c>
      <c r="F128" s="2852">
        <v>15</v>
      </c>
    </row>
    <row r="129" spans="1:6" ht="24">
      <c r="A129" s="2852">
        <v>57</v>
      </c>
      <c r="B129" s="3614"/>
      <c r="C129" s="2852" t="s">
        <v>2771</v>
      </c>
      <c r="D129" s="2826" t="s">
        <v>2772</v>
      </c>
      <c r="E129" s="2852">
        <v>0.1</v>
      </c>
      <c r="F129" s="2852">
        <v>15</v>
      </c>
    </row>
    <row r="130" spans="1:6" ht="24">
      <c r="A130" s="2852">
        <v>58</v>
      </c>
      <c r="B130" s="3614" t="s">
        <v>2773</v>
      </c>
      <c r="C130" s="2852" t="s">
        <v>2774</v>
      </c>
      <c r="D130" s="2826" t="s">
        <v>2775</v>
      </c>
      <c r="E130" s="2852">
        <v>0.1</v>
      </c>
      <c r="F130" s="2852">
        <v>15</v>
      </c>
    </row>
    <row r="131" spans="1:6" ht="13.5">
      <c r="A131" s="2852">
        <v>59</v>
      </c>
      <c r="B131" s="3614"/>
      <c r="C131" s="2852" t="s">
        <v>2776</v>
      </c>
      <c r="D131" s="2826" t="s">
        <v>2777</v>
      </c>
      <c r="E131" s="2852">
        <v>0.1</v>
      </c>
      <c r="F131" s="2852">
        <v>15</v>
      </c>
    </row>
    <row r="132" spans="1:6" ht="13.5">
      <c r="A132" s="2852">
        <v>60</v>
      </c>
      <c r="B132" s="3609" t="s">
        <v>2778</v>
      </c>
      <c r="C132" s="2852" t="s">
        <v>2779</v>
      </c>
      <c r="D132" s="2826" t="s">
        <v>2780</v>
      </c>
      <c r="E132" s="2852">
        <v>0.1</v>
      </c>
      <c r="F132" s="2852">
        <v>15</v>
      </c>
    </row>
    <row r="133" spans="1:6" ht="13.5">
      <c r="A133" s="2852">
        <v>61</v>
      </c>
      <c r="B133" s="3613"/>
      <c r="C133" s="2852" t="s">
        <v>2781</v>
      </c>
      <c r="D133" s="2826" t="s">
        <v>2782</v>
      </c>
      <c r="E133" s="2852">
        <v>0.1</v>
      </c>
      <c r="F133" s="2852">
        <v>15</v>
      </c>
    </row>
    <row r="134" spans="1:6" ht="24">
      <c r="A134" s="2852">
        <v>62</v>
      </c>
      <c r="B134" s="2852" t="s">
        <v>2783</v>
      </c>
      <c r="C134" s="2852" t="s">
        <v>2784</v>
      </c>
      <c r="D134" s="2826" t="s">
        <v>2785</v>
      </c>
      <c r="E134" s="2852">
        <v>0.1</v>
      </c>
      <c r="F134" s="2852">
        <v>15</v>
      </c>
    </row>
    <row r="135" spans="1:6" ht="13.5">
      <c r="A135" s="2852">
        <v>63</v>
      </c>
      <c r="B135" s="3614" t="s">
        <v>2786</v>
      </c>
      <c r="C135" s="2852" t="s">
        <v>2787</v>
      </c>
      <c r="D135" s="2826" t="s">
        <v>2788</v>
      </c>
      <c r="E135" s="2852">
        <v>0.1</v>
      </c>
      <c r="F135" s="2852">
        <v>15</v>
      </c>
    </row>
    <row r="136" spans="1:6" ht="13.5">
      <c r="A136" s="2852">
        <v>64</v>
      </c>
      <c r="B136" s="3614"/>
      <c r="C136" s="2852" t="s">
        <v>2789</v>
      </c>
      <c r="D136" s="2826" t="s">
        <v>2790</v>
      </c>
      <c r="E136" s="2852">
        <v>0.1</v>
      </c>
      <c r="F136" s="2852">
        <v>15</v>
      </c>
    </row>
    <row r="137" spans="1:6" ht="13.5">
      <c r="A137" s="2852">
        <v>65</v>
      </c>
      <c r="B137" s="2852" t="s">
        <v>2791</v>
      </c>
      <c r="C137" s="2852" t="s">
        <v>2792</v>
      </c>
      <c r="D137" s="2826" t="s">
        <v>2793</v>
      </c>
      <c r="E137" s="2852">
        <v>0.1</v>
      </c>
      <c r="F137" s="2852">
        <v>15</v>
      </c>
    </row>
    <row r="138" spans="1:6" ht="13.5">
      <c r="A138" s="2852"/>
      <c r="B138" s="2852"/>
      <c r="C138" s="2852"/>
      <c r="D138" s="2852"/>
      <c r="E138" s="2852" t="s">
        <v>2794</v>
      </c>
      <c r="F138" s="285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2795</v>
      </c>
      <c r="B1" s="2860"/>
      <c r="C1" s="2860"/>
      <c r="D1" s="2860"/>
      <c r="E1" s="2860"/>
      <c r="F1" s="2860"/>
      <c r="G1" s="2860"/>
      <c r="H1" s="2860"/>
      <c r="I1" s="2860"/>
      <c r="J1" s="2860"/>
      <c r="K1" s="2860"/>
      <c r="L1" s="2860"/>
      <c r="M1" s="2860"/>
      <c r="N1" s="703"/>
    </row>
    <row r="2" spans="1:20">
      <c r="A2" s="2861" t="s">
        <v>2796</v>
      </c>
      <c r="B2" s="2862" t="s">
        <v>2592</v>
      </c>
      <c r="C2" s="2862" t="s">
        <v>2593</v>
      </c>
      <c r="D2" s="2862" t="s">
        <v>2594</v>
      </c>
      <c r="E2" s="2862" t="s">
        <v>2595</v>
      </c>
      <c r="F2" s="2862" t="s">
        <v>2596</v>
      </c>
      <c r="G2" s="2862" t="s">
        <v>2597</v>
      </c>
      <c r="H2" s="2863" t="s">
        <v>2598</v>
      </c>
      <c r="I2" s="2863" t="s">
        <v>2599</v>
      </c>
      <c r="J2" s="2864" t="s">
        <v>2600</v>
      </c>
      <c r="K2" s="2864" t="s">
        <v>2601</v>
      </c>
      <c r="L2" s="2864" t="s">
        <v>2602</v>
      </c>
      <c r="M2" s="2865" t="s">
        <v>2603</v>
      </c>
      <c r="Q2" s="2875" t="s">
        <v>2801</v>
      </c>
      <c r="R2" s="2875" t="s">
        <v>2802</v>
      </c>
      <c r="S2" s="2875" t="s">
        <v>2803</v>
      </c>
      <c r="T2" s="2875" t="s">
        <v>2804</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2797</v>
      </c>
      <c r="B93" s="2860"/>
      <c r="C93" s="2860"/>
      <c r="D93" s="2860"/>
      <c r="E93" s="2860"/>
      <c r="F93" s="2860"/>
      <c r="G93" s="2860"/>
      <c r="H93" s="2860"/>
      <c r="I93" s="2860"/>
      <c r="J93" s="2860"/>
      <c r="K93" s="2860"/>
      <c r="L93" s="2860"/>
      <c r="M93" s="2860"/>
    </row>
    <row r="94" spans="1:20">
      <c r="A94" s="2861" t="s">
        <v>2796</v>
      </c>
      <c r="B94" s="2862" t="s">
        <v>2592</v>
      </c>
      <c r="C94" s="2862" t="s">
        <v>2593</v>
      </c>
      <c r="D94" s="2862" t="s">
        <v>2594</v>
      </c>
      <c r="E94" s="2862" t="s">
        <v>2595</v>
      </c>
      <c r="F94" s="2862" t="s">
        <v>2596</v>
      </c>
      <c r="G94" s="2862" t="s">
        <v>2597</v>
      </c>
      <c r="H94" s="2863" t="s">
        <v>2598</v>
      </c>
      <c r="I94" s="2863" t="s">
        <v>2599</v>
      </c>
      <c r="J94" s="2864" t="s">
        <v>2600</v>
      </c>
      <c r="K94" s="2864" t="s">
        <v>2601</v>
      </c>
      <c r="L94" s="2864" t="s">
        <v>2602</v>
      </c>
      <c r="M94" s="2865" t="s">
        <v>2603</v>
      </c>
      <c r="N94">
        <f>SUMPRODUCT((A95:A184=ROUNDDOWN(基准地价修正!G3,1))*(B94:M94=基准地价修正!G2)*(B95:M184))</f>
        <v>0</v>
      </c>
      <c r="Q94" s="2875" t="s">
        <v>2801</v>
      </c>
      <c r="R94" s="2875" t="s">
        <v>2802</v>
      </c>
      <c r="S94" s="2875" t="s">
        <v>2803</v>
      </c>
      <c r="T94" s="2875" t="s">
        <v>2804</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2798</v>
      </c>
      <c r="B185" s="2860"/>
      <c r="C185" s="2860"/>
      <c r="D185" s="2860"/>
      <c r="E185" s="2860"/>
      <c r="F185" s="2860"/>
      <c r="G185" s="2860"/>
      <c r="H185" s="2860"/>
      <c r="I185" s="2860"/>
      <c r="J185" s="2860"/>
      <c r="K185" s="2860"/>
      <c r="L185" s="2860"/>
      <c r="M185" s="2860"/>
    </row>
    <row r="186" spans="1:20">
      <c r="A186" s="2861" t="s">
        <v>2796</v>
      </c>
      <c r="B186" s="2862" t="s">
        <v>2592</v>
      </c>
      <c r="C186" s="2862" t="s">
        <v>2593</v>
      </c>
      <c r="D186" s="2862" t="s">
        <v>2594</v>
      </c>
      <c r="E186" s="2862" t="s">
        <v>2595</v>
      </c>
      <c r="F186" s="2862" t="s">
        <v>2596</v>
      </c>
      <c r="G186" s="2862" t="s">
        <v>2597</v>
      </c>
      <c r="H186" s="2863" t="s">
        <v>2598</v>
      </c>
      <c r="I186" s="2863" t="s">
        <v>2599</v>
      </c>
      <c r="J186" s="2864" t="s">
        <v>2600</v>
      </c>
      <c r="K186" s="2864" t="s">
        <v>2601</v>
      </c>
      <c r="L186" s="2864" t="s">
        <v>2602</v>
      </c>
      <c r="M186" s="2865" t="s">
        <v>2603</v>
      </c>
      <c r="Q186" s="2875" t="s">
        <v>2801</v>
      </c>
      <c r="R186" s="2875" t="s">
        <v>2802</v>
      </c>
      <c r="S186" s="2875" t="s">
        <v>2803</v>
      </c>
      <c r="T186" s="2875" t="s">
        <v>2804</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2799</v>
      </c>
      <c r="B277" s="2860"/>
      <c r="C277" s="2860"/>
      <c r="D277" s="2860"/>
      <c r="E277" s="2860"/>
      <c r="F277" s="2860"/>
      <c r="G277" s="2860"/>
      <c r="H277" s="2860"/>
      <c r="I277" s="2860"/>
      <c r="J277" s="2860"/>
      <c r="K277" s="2860"/>
      <c r="L277" s="2860"/>
      <c r="M277" s="2860"/>
    </row>
    <row r="278" spans="1:21">
      <c r="A278" s="2861" t="s">
        <v>2796</v>
      </c>
      <c r="B278" s="2862" t="s">
        <v>2592</v>
      </c>
      <c r="C278" s="2862" t="s">
        <v>2593</v>
      </c>
      <c r="D278" s="2862" t="s">
        <v>2594</v>
      </c>
      <c r="E278" s="2862" t="s">
        <v>2595</v>
      </c>
      <c r="F278" s="2862" t="s">
        <v>2596</v>
      </c>
      <c r="G278" s="2862" t="s">
        <v>2597</v>
      </c>
      <c r="H278" s="2863" t="s">
        <v>2598</v>
      </c>
      <c r="I278" s="2863" t="s">
        <v>2599</v>
      </c>
      <c r="J278" s="2864" t="s">
        <v>2600</v>
      </c>
      <c r="K278" s="2864" t="s">
        <v>2601</v>
      </c>
      <c r="L278" s="2864" t="s">
        <v>2602</v>
      </c>
      <c r="M278" s="2865" t="s">
        <v>2603</v>
      </c>
      <c r="Q278" s="2875" t="s">
        <v>2801</v>
      </c>
      <c r="R278" s="2875" t="s">
        <v>2802</v>
      </c>
      <c r="S278" s="2875" t="s">
        <v>2805</v>
      </c>
      <c r="T278" s="2875" t="s">
        <v>2806</v>
      </c>
      <c r="U278" s="2875" t="s">
        <v>2804</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2800</v>
      </c>
      <c r="B369" s="2873"/>
      <c r="C369" s="2873"/>
      <c r="D369" s="2873"/>
      <c r="E369" s="2873"/>
      <c r="F369" s="2873"/>
      <c r="G369" s="2873"/>
      <c r="H369" s="2873"/>
      <c r="I369" s="2873"/>
      <c r="J369" s="2873"/>
      <c r="K369" s="2873"/>
      <c r="L369" s="2873"/>
      <c r="M369" s="2873"/>
    </row>
    <row r="370" spans="1:20">
      <c r="A370" s="2861" t="s">
        <v>2796</v>
      </c>
      <c r="B370" s="2862" t="s">
        <v>2592</v>
      </c>
      <c r="C370" s="2862" t="s">
        <v>2593</v>
      </c>
      <c r="D370" s="2862" t="s">
        <v>2594</v>
      </c>
      <c r="E370" s="2862" t="s">
        <v>2595</v>
      </c>
      <c r="F370" s="2862" t="s">
        <v>2596</v>
      </c>
      <c r="G370" s="2862" t="s">
        <v>2597</v>
      </c>
      <c r="H370" s="2863" t="s">
        <v>2598</v>
      </c>
      <c r="I370" s="2863" t="s">
        <v>2599</v>
      </c>
      <c r="J370" s="2864" t="s">
        <v>2600</v>
      </c>
      <c r="K370" s="2864" t="s">
        <v>2601</v>
      </c>
      <c r="L370" s="2864" t="s">
        <v>2602</v>
      </c>
      <c r="M370" s="2865" t="s">
        <v>2603</v>
      </c>
      <c r="N370">
        <f>SUMPRODUCT((A371:A460=ROUNDDOWN(基准地价修正!G3,1))*(B370:M370=基准地价修正!G2)*(B371:M460))</f>
        <v>0</v>
      </c>
      <c r="Q370" s="2875" t="s">
        <v>2801</v>
      </c>
      <c r="R370" s="2875" t="s">
        <v>2802</v>
      </c>
      <c r="S370" s="2875" t="s">
        <v>2803</v>
      </c>
      <c r="T370" s="2875" t="s">
        <v>2804</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29669</v>
      </c>
      <c r="C2" s="2" t="s">
        <v>106</v>
      </c>
      <c r="D2" s="190"/>
      <c r="E2" s="190"/>
      <c r="F2" s="190"/>
      <c r="G2" s="190"/>
    </row>
    <row r="3" spans="1:7" s="191" customFormat="1" ht="18" customHeight="1" thickBot="1">
      <c r="A3" s="194" t="s">
        <v>58</v>
      </c>
      <c r="B3" s="195">
        <f ca="1">ROUND(B2*10000/'数据-汇总表'!E3,0)</f>
        <v>231794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160</v>
      </c>
      <c r="F9" s="212"/>
      <c r="G9" s="217"/>
    </row>
    <row r="10" spans="1:7" s="205" customFormat="1" ht="13.5" customHeight="1">
      <c r="A10" s="729" t="s">
        <v>356</v>
      </c>
      <c r="B10" s="215" t="s">
        <v>67</v>
      </c>
      <c r="C10" s="216">
        <f>ROUND(D10*E10/10000,0)</f>
        <v>26</v>
      </c>
      <c r="D10" s="791">
        <f>'数据-汇总表'!E6</f>
        <v>1279.97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26</v>
      </c>
      <c r="D19" s="203">
        <f>'数据-汇总表'!E3</f>
        <v>1279.97</v>
      </c>
      <c r="E19" s="202">
        <f>'数据-取费表'!B31</f>
        <v>200</v>
      </c>
      <c r="F19" s="222"/>
      <c r="G19" s="1" t="s">
        <v>436</v>
      </c>
    </row>
    <row r="20" spans="1:7" s="205" customFormat="1" ht="13.5" customHeight="1">
      <c r="A20" s="727" t="s">
        <v>419</v>
      </c>
      <c r="B20" s="201" t="s">
        <v>77</v>
      </c>
      <c r="C20" s="223">
        <f>ROUND((C5+C19)*F20,0)</f>
        <v>413</v>
      </c>
      <c r="D20" s="223"/>
      <c r="E20" s="223"/>
      <c r="F20" s="224">
        <f>'数据-取费表'!B37</f>
        <v>0.02</v>
      </c>
      <c r="G20" s="1000" t="s">
        <v>430</v>
      </c>
    </row>
    <row r="21" spans="1:7" s="205" customFormat="1" ht="13.5" customHeight="1">
      <c r="A21" s="727" t="s">
        <v>421</v>
      </c>
      <c r="B21" s="201" t="s">
        <v>78</v>
      </c>
      <c r="C21" s="226">
        <f>F21</f>
        <v>0.02</v>
      </c>
      <c r="D21" s="227" t="s">
        <v>99</v>
      </c>
      <c r="E21" s="223"/>
      <c r="F21" s="224">
        <f>'数据-取费表'!B38</f>
        <v>0.02</v>
      </c>
      <c r="G21" s="225" t="s">
        <v>79</v>
      </c>
    </row>
    <row r="22" spans="1:7" s="205" customFormat="1" ht="13.5" customHeight="1">
      <c r="A22" s="727" t="s">
        <v>341</v>
      </c>
      <c r="B22" s="201" t="s">
        <v>80</v>
      </c>
      <c r="C22" s="1037">
        <f ca="1">ROUND(SUM(C23:C25),0)</f>
        <v>2027</v>
      </c>
      <c r="D22" s="226">
        <f ca="1">C26</f>
        <v>1E-3</v>
      </c>
      <c r="E22" s="227" t="s">
        <v>99</v>
      </c>
      <c r="F22" s="228">
        <f ca="1">'数据-取费表'!B40</f>
        <v>4.7500000000000001E-2</v>
      </c>
      <c r="G22" s="1000" t="str">
        <f>IF('数据-取费表'!B22&lt;=1,"单利计息","复利计息")</f>
        <v>复利计息</v>
      </c>
    </row>
    <row r="23" spans="1:7" s="205" customFormat="1" ht="13.5" customHeight="1">
      <c r="A23" s="730" t="s">
        <v>349</v>
      </c>
      <c r="B23" s="206" t="s">
        <v>423</v>
      </c>
      <c r="C23" s="1038">
        <f ca="1">ROUND(IF('数据-取费表'!B22&lt;=1,C5*F22*'数据-取费表'!B23,C5*(POWER((1+F22),'数据-取费表'!B23)-1)),0)</f>
        <v>2004</v>
      </c>
      <c r="D23" s="229"/>
      <c r="E23" s="229"/>
      <c r="F23" s="230"/>
      <c r="G23" s="231" t="s">
        <v>81</v>
      </c>
    </row>
    <row r="24" spans="1:7" s="205" customFormat="1" ht="13.5" customHeight="1">
      <c r="A24" s="730" t="s">
        <v>347</v>
      </c>
      <c r="B24" s="206" t="s">
        <v>418</v>
      </c>
      <c r="C24" s="1038">
        <f ca="1">ROUND(IF('数据-取费表'!B22&lt;=1,C19*F22*('数据-取费表'!B19/2+'数据-取费表'!B21),C19*(POWER((1+F22),('数据-取费表'!B19/2+'数据-取费表'!B21))-1)),0)</f>
        <v>3</v>
      </c>
      <c r="D24" s="229"/>
      <c r="E24" s="229"/>
      <c r="F24" s="230"/>
      <c r="G24" s="231" t="s">
        <v>82</v>
      </c>
    </row>
    <row r="25" spans="1:7" s="205" customFormat="1" ht="24">
      <c r="A25" s="730" t="s">
        <v>348</v>
      </c>
      <c r="B25" s="206" t="s">
        <v>420</v>
      </c>
      <c r="C25" s="1038">
        <f ca="1">ROUND(IF('数据-取费表'!B22&lt;=1,C20*F22*'数据-取费表'!B23/2,C20*(POWER((1+F22),'数据-取费表'!B23/2)-1)),0)</f>
        <v>20</v>
      </c>
      <c r="D25" s="229"/>
      <c r="E25" s="232"/>
      <c r="F25" s="230"/>
      <c r="G25" s="233" t="s">
        <v>83</v>
      </c>
    </row>
    <row r="26" spans="1:7" s="205" customFormat="1">
      <c r="A26" s="730" t="s">
        <v>350</v>
      </c>
      <c r="B26" s="206" t="s">
        <v>422</v>
      </c>
      <c r="C26" s="229">
        <f ca="1">ROUND(IF('数据-取费表'!B22&lt;=1,F21*F22*'数据-取费表'!B23/2,F21*(POWER((1+F22),'数据-取费表'!B23/2)-1)),4)</f>
        <v>1E-3</v>
      </c>
      <c r="D26" s="229"/>
      <c r="E26" s="232"/>
      <c r="F26" s="230"/>
      <c r="G26" s="234"/>
    </row>
    <row r="27" spans="1:7" s="205" customFormat="1" ht="24.75">
      <c r="A27" s="727" t="s">
        <v>342</v>
      </c>
      <c r="B27" s="235" t="s">
        <v>85</v>
      </c>
      <c r="C27" s="236">
        <f>C28</f>
        <v>4210</v>
      </c>
      <c r="D27" s="226">
        <f>C29</f>
        <v>4.0000000000000001E-3</v>
      </c>
      <c r="E27" s="227" t="s">
        <v>99</v>
      </c>
      <c r="F27" s="237">
        <f>'数据-取费表'!Q16</f>
        <v>0.2</v>
      </c>
      <c r="G27" s="238" t="s">
        <v>431</v>
      </c>
    </row>
    <row r="28" spans="1:7" s="205" customFormat="1" ht="13.5" customHeight="1">
      <c r="A28" s="730" t="s">
        <v>349</v>
      </c>
      <c r="B28" s="239" t="s">
        <v>424</v>
      </c>
      <c r="C28" s="240">
        <f>ROUND((C5+C19+C20)*F27*'数据-取费表'!B21/'数据-取费表'!B20,0)</f>
        <v>4210</v>
      </c>
      <c r="D28" s="226"/>
      <c r="E28" s="227"/>
      <c r="F28" s="237"/>
      <c r="G28" s="238"/>
    </row>
    <row r="29" spans="1:7" s="205" customFormat="1" ht="13.5" customHeight="1">
      <c r="A29" s="730" t="s">
        <v>347</v>
      </c>
      <c r="B29" s="239" t="s">
        <v>425</v>
      </c>
      <c r="C29" s="229">
        <f>ROUND(C21*F27*'数据-取费表'!B21/'数据-取费表'!B20,4)</f>
        <v>4.0000000000000001E-3</v>
      </c>
      <c r="D29" s="226"/>
      <c r="E29" s="227"/>
      <c r="F29" s="237"/>
      <c r="G29" s="238"/>
    </row>
    <row r="30" spans="1:7" s="205" customFormat="1" ht="13.5" customHeight="1">
      <c r="A30" s="727"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29605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60</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0" t="s">
        <v>351</v>
      </c>
      <c r="B35" s="206" t="s">
        <v>33</v>
      </c>
      <c r="C35" s="211">
        <f>ROUND(C34*F35,0)</f>
        <v>1</v>
      </c>
      <c r="D35" s="211"/>
      <c r="E35" s="211"/>
      <c r="F35" s="250">
        <f>'数据-取费表'!B33</f>
        <v>0.03</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26</v>
      </c>
      <c r="D37" s="208">
        <f>'数据-汇总表'!E3</f>
        <v>1279.97</v>
      </c>
      <c r="E37" s="240">
        <f>'数据-取费表'!B35</f>
        <v>200</v>
      </c>
      <c r="F37" s="250"/>
      <c r="G37" s="252" t="s">
        <v>92</v>
      </c>
    </row>
    <row r="38" spans="1:7" ht="13.5" customHeight="1">
      <c r="A38" s="730" t="s">
        <v>354</v>
      </c>
      <c r="B38" s="206" t="s">
        <v>36</v>
      </c>
      <c r="C38" s="211">
        <f>ROUND(C34*F38,0)</f>
        <v>0</v>
      </c>
      <c r="D38" s="211"/>
      <c r="E38" s="211"/>
      <c r="F38" s="250">
        <f>'数据-取费表'!B36</f>
        <v>1.4999999999999999E-2</v>
      </c>
      <c r="G38" s="210" t="s">
        <v>90</v>
      </c>
    </row>
    <row r="39" spans="1:7" s="205" customFormat="1" ht="13.5" customHeight="1">
      <c r="A39" s="727" t="s">
        <v>338</v>
      </c>
      <c r="B39" s="201" t="s">
        <v>77</v>
      </c>
      <c r="C39" s="223">
        <f>ROUND(C33*F20,0)</f>
        <v>1</v>
      </c>
      <c r="D39" s="223"/>
      <c r="E39" s="223"/>
      <c r="F39" s="224"/>
      <c r="G39" s="1000" t="s">
        <v>433</v>
      </c>
    </row>
    <row r="40" spans="1:7" s="205" customFormat="1" ht="13.5" customHeight="1">
      <c r="A40" s="727" t="s">
        <v>339</v>
      </c>
      <c r="B40" s="201" t="s">
        <v>78</v>
      </c>
      <c r="C40" s="253">
        <f>F21</f>
        <v>0.02</v>
      </c>
      <c r="D40" s="227" t="s">
        <v>102</v>
      </c>
      <c r="E40" s="223"/>
      <c r="F40" s="224"/>
      <c r="G40" s="225" t="s">
        <v>93</v>
      </c>
    </row>
    <row r="41" spans="1:7" s="205" customFormat="1" ht="13.5" customHeight="1">
      <c r="A41" s="727" t="s">
        <v>340</v>
      </c>
      <c r="B41" s="201" t="s">
        <v>80</v>
      </c>
      <c r="C41" s="223">
        <f ca="1">ROUND(SUM(C42:C43),0)</f>
        <v>3</v>
      </c>
      <c r="D41" s="226">
        <f ca="1">C44</f>
        <v>1E-3</v>
      </c>
      <c r="E41" s="227" t="s">
        <v>102</v>
      </c>
      <c r="F41" s="228"/>
      <c r="G41" s="1000" t="str">
        <f>IF('数据-取费表'!B22&lt;=1,"单利计息","复利计息")</f>
        <v>复利计息</v>
      </c>
    </row>
    <row r="42" spans="1:7" ht="13.5" customHeight="1">
      <c r="A42" s="730" t="s">
        <v>349</v>
      </c>
      <c r="B42" s="206" t="s">
        <v>423</v>
      </c>
      <c r="C42" s="229">
        <f ca="1">ROUND(IF('数据-取费表'!B22&lt;=1,C33*F22*'数据-取费表'!B21/2,C33*(POWER((1+F22),'数据-取费表'!B21/2)-1)),0)</f>
        <v>3</v>
      </c>
      <c r="D42" s="229"/>
      <c r="E42" s="229"/>
      <c r="F42" s="230"/>
      <c r="G42" s="3484" t="s">
        <v>94</v>
      </c>
    </row>
    <row r="43" spans="1:7" ht="13.5" customHeight="1">
      <c r="A43" s="730" t="s">
        <v>347</v>
      </c>
      <c r="B43" s="206" t="s">
        <v>426</v>
      </c>
      <c r="C43" s="229">
        <f ca="1">ROUND(IF('数据-取费表'!B22&lt;=1,C39*F22*'数据-取费表'!B21/2,C39*(POWER((1+F22),'数据-取费表'!B21/2)-1)),0)</f>
        <v>0</v>
      </c>
      <c r="D43" s="229"/>
      <c r="E43" s="229"/>
      <c r="F43" s="230"/>
      <c r="G43" s="3485"/>
    </row>
    <row r="44" spans="1:7" ht="13.5" customHeight="1">
      <c r="A44" s="730" t="s">
        <v>348</v>
      </c>
      <c r="B44" s="206" t="s">
        <v>428</v>
      </c>
      <c r="C44" s="229">
        <f ca="1">ROUND(IF('数据-取费表'!B22&lt;=1,C40*F22*'数据-取费表'!B21/2,C40*(POWER((1+F22),'数据-取费表'!B21/2)-1)),4)</f>
        <v>1E-3</v>
      </c>
      <c r="D44" s="229"/>
      <c r="E44" s="229"/>
      <c r="F44" s="230"/>
      <c r="G44" s="3486"/>
    </row>
    <row r="45" spans="1:7" s="205" customFormat="1" ht="13.5" customHeight="1">
      <c r="A45" s="727" t="s">
        <v>341</v>
      </c>
      <c r="B45" s="235" t="s">
        <v>85</v>
      </c>
      <c r="C45" s="236">
        <f>C46</f>
        <v>12</v>
      </c>
      <c r="D45" s="226">
        <f>C47</f>
        <v>4.0000000000000001E-3</v>
      </c>
      <c r="E45" s="227" t="s">
        <v>102</v>
      </c>
      <c r="F45" s="237"/>
      <c r="G45" s="238" t="s">
        <v>434</v>
      </c>
    </row>
    <row r="46" spans="1:7" s="205" customFormat="1" ht="13.5" customHeight="1">
      <c r="A46" s="730" t="s">
        <v>349</v>
      </c>
      <c r="B46" s="239" t="s">
        <v>427</v>
      </c>
      <c r="C46" s="240">
        <f>ROUND((C33+C39)*F27,0)</f>
        <v>12</v>
      </c>
      <c r="D46" s="254"/>
      <c r="E46" s="227"/>
      <c r="F46" s="237"/>
      <c r="G46" s="238"/>
    </row>
    <row r="47" spans="1:7" s="205" customFormat="1" ht="13.5" customHeight="1">
      <c r="A47" s="730" t="s">
        <v>347</v>
      </c>
      <c r="B47" s="239" t="s">
        <v>429</v>
      </c>
      <c r="C47" s="229">
        <f>ROUND(C40*F27,4)</f>
        <v>4.0000000000000001E-3</v>
      </c>
      <c r="D47" s="254"/>
      <c r="E47" s="227"/>
      <c r="F47" s="237"/>
      <c r="G47" s="238"/>
    </row>
    <row r="48" spans="1:7" s="205" customFormat="1" ht="13.5" customHeight="1">
      <c r="A48" s="727" t="s">
        <v>342</v>
      </c>
      <c r="B48" s="201" t="s">
        <v>95</v>
      </c>
      <c r="C48" s="253">
        <f>F30</f>
        <v>5.6000000000000001E-2</v>
      </c>
      <c r="D48" s="227" t="s">
        <v>103</v>
      </c>
      <c r="E48" s="223"/>
      <c r="F48" s="228"/>
      <c r="G48" s="225" t="s">
        <v>96</v>
      </c>
    </row>
    <row r="49" spans="1:7" ht="16.5" customHeight="1">
      <c r="A49" s="727" t="s">
        <v>343</v>
      </c>
      <c r="B49" s="201" t="s">
        <v>104</v>
      </c>
      <c r="C49" s="223">
        <f ca="1">ROUND((C33+C39+C41+C45)/(1-C40-D41-D45-C48/(1+'数据-取费表'!B42)),0)</f>
        <v>82</v>
      </c>
      <c r="D49" s="223"/>
      <c r="E49" s="223"/>
      <c r="F49" s="255"/>
      <c r="G49" s="225" t="s">
        <v>435</v>
      </c>
    </row>
    <row r="50" spans="1:7" s="249" customFormat="1" ht="24">
      <c r="A50" s="727" t="s">
        <v>344</v>
      </c>
      <c r="B50" s="201" t="s">
        <v>97</v>
      </c>
      <c r="C50" s="223"/>
      <c r="D50" s="223"/>
      <c r="E50" s="223"/>
      <c r="F50" s="255">
        <f>IF('数据-取费表'!B24=0,'数据-取费表'!N16,1)</f>
        <v>0.78</v>
      </c>
      <c r="G50" s="238" t="s">
        <v>98</v>
      </c>
    </row>
    <row r="51" spans="1:7" ht="16.5" customHeight="1">
      <c r="A51" s="727" t="s">
        <v>345</v>
      </c>
      <c r="B51" s="201" t="s">
        <v>105</v>
      </c>
      <c r="C51" s="223">
        <f ca="1">ROUND(C49*F50,0)</f>
        <v>64</v>
      </c>
      <c r="D51" s="223"/>
      <c r="E51" s="223"/>
      <c r="F51" s="255"/>
      <c r="G51" s="225" t="s">
        <v>37</v>
      </c>
    </row>
    <row r="52" spans="1:7" s="199" customFormat="1" ht="16.5" thickBot="1">
      <c r="A52" s="256" t="s">
        <v>38</v>
      </c>
      <c r="B52" s="257"/>
      <c r="C52" s="258">
        <f ca="1">C31+C51</f>
        <v>29669</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17" t="s">
        <v>2838</v>
      </c>
      <c r="B1" s="3617"/>
      <c r="C1" s="3617"/>
      <c r="D1" s="3617"/>
      <c r="E1" s="3617"/>
      <c r="F1" s="3617"/>
      <c r="G1" s="3618"/>
      <c r="I1" s="2933" t="s">
        <v>2839</v>
      </c>
      <c r="J1" s="2934" t="s">
        <v>2840</v>
      </c>
      <c r="K1" s="2934" t="s">
        <v>2841</v>
      </c>
      <c r="L1" s="2934" t="s">
        <v>2842</v>
      </c>
      <c r="M1" s="2934" t="s">
        <v>2843</v>
      </c>
      <c r="N1" s="2934" t="s">
        <v>2844</v>
      </c>
      <c r="O1" s="2934" t="s">
        <v>2845</v>
      </c>
      <c r="P1" s="2934" t="s">
        <v>2846</v>
      </c>
      <c r="Q1" s="2934" t="s">
        <v>2847</v>
      </c>
      <c r="R1" s="2934" t="s">
        <v>2848</v>
      </c>
      <c r="S1" s="2934" t="s">
        <v>2849</v>
      </c>
      <c r="T1" s="2935" t="s">
        <v>2850</v>
      </c>
    </row>
    <row r="2" spans="1:20" ht="12" thickBot="1">
      <c r="A2" s="2936" t="s">
        <v>2851</v>
      </c>
      <c r="B2" s="2936"/>
      <c r="C2" s="2936"/>
      <c r="D2" s="2936"/>
      <c r="E2" s="2936"/>
      <c r="F2" s="2936"/>
      <c r="G2" s="2937" t="s">
        <v>2852</v>
      </c>
      <c r="I2" s="2938" t="s">
        <v>2853</v>
      </c>
      <c r="J2" s="2938" t="s">
        <v>2854</v>
      </c>
      <c r="K2" s="2938" t="s">
        <v>2855</v>
      </c>
      <c r="L2" s="2938" t="s">
        <v>2856</v>
      </c>
      <c r="M2" s="2938" t="s">
        <v>2857</v>
      </c>
      <c r="N2" s="2938" t="s">
        <v>2858</v>
      </c>
      <c r="O2" s="2938" t="s">
        <v>2859</v>
      </c>
      <c r="P2" s="2938" t="s">
        <v>2860</v>
      </c>
      <c r="Q2" s="2938" t="s">
        <v>2861</v>
      </c>
      <c r="R2" s="2938" t="s">
        <v>2862</v>
      </c>
      <c r="S2" s="2938" t="s">
        <v>2863</v>
      </c>
      <c r="T2" s="2938" t="s">
        <v>2864</v>
      </c>
    </row>
    <row r="3" spans="1:20" s="2944" customFormat="1">
      <c r="A3" s="3615" t="s">
        <v>2865</v>
      </c>
      <c r="B3" s="2939"/>
      <c r="C3" s="2940" t="s">
        <v>2808</v>
      </c>
      <c r="D3" s="2940" t="s">
        <v>2866</v>
      </c>
      <c r="E3" s="2940" t="s">
        <v>2810</v>
      </c>
      <c r="F3" s="2940" t="s">
        <v>2867</v>
      </c>
      <c r="G3" s="2940" t="s">
        <v>2628</v>
      </c>
      <c r="H3" s="2941"/>
      <c r="I3" s="2942" t="s">
        <v>2868</v>
      </c>
      <c r="J3" s="2943" t="s">
        <v>128</v>
      </c>
      <c r="K3" s="2943" t="s">
        <v>129</v>
      </c>
      <c r="L3" s="2942" t="s">
        <v>130</v>
      </c>
      <c r="M3" s="2942" t="s">
        <v>131</v>
      </c>
      <c r="N3" s="2942" t="s">
        <v>132</v>
      </c>
      <c r="O3" s="2942" t="s">
        <v>133</v>
      </c>
      <c r="P3" s="2942" t="s">
        <v>134</v>
      </c>
      <c r="Q3" s="2942" t="s">
        <v>135</v>
      </c>
      <c r="R3" s="2942" t="s">
        <v>136</v>
      </c>
      <c r="S3" s="2942" t="s">
        <v>2869</v>
      </c>
      <c r="T3" s="2942" t="s">
        <v>2870</v>
      </c>
    </row>
    <row r="4" spans="1:20" s="2944" customFormat="1" ht="12" thickBot="1">
      <c r="A4" s="3616"/>
      <c r="B4" s="2945" t="s">
        <v>2871</v>
      </c>
      <c r="C4" s="2945" t="s">
        <v>2872</v>
      </c>
      <c r="D4" s="2945" t="s">
        <v>2872</v>
      </c>
      <c r="E4" s="2945" t="s">
        <v>2872</v>
      </c>
      <c r="F4" s="2946" t="s">
        <v>2872</v>
      </c>
      <c r="G4" s="2946" t="s">
        <v>2872</v>
      </c>
      <c r="H4" s="2941"/>
      <c r="I4" s="2943" t="s">
        <v>137</v>
      </c>
      <c r="J4" s="2943" t="s">
        <v>111</v>
      </c>
      <c r="K4" s="2943" t="s">
        <v>138</v>
      </c>
      <c r="L4" s="2942" t="s">
        <v>139</v>
      </c>
      <c r="M4" s="2942" t="s">
        <v>140</v>
      </c>
      <c r="N4" s="2942" t="s">
        <v>141</v>
      </c>
      <c r="O4" s="2942" t="s">
        <v>142</v>
      </c>
      <c r="P4" s="2942" t="s">
        <v>143</v>
      </c>
      <c r="Q4" s="2942" t="s">
        <v>2873</v>
      </c>
      <c r="R4" s="2942" t="s">
        <v>2874</v>
      </c>
      <c r="S4" s="2942" t="s">
        <v>2875</v>
      </c>
      <c r="T4" s="2942" t="s">
        <v>2876</v>
      </c>
    </row>
    <row r="5" spans="1:20">
      <c r="A5" s="2947" t="s">
        <v>2839</v>
      </c>
      <c r="B5" s="2938" t="s">
        <v>2853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2877</v>
      </c>
      <c r="R5" s="2942" t="s">
        <v>2878</v>
      </c>
      <c r="S5" s="2942" t="s">
        <v>153</v>
      </c>
      <c r="T5" s="2942" t="s">
        <v>2879</v>
      </c>
    </row>
    <row r="6" spans="1:20" ht="12" thickBot="1">
      <c r="A6" s="2942" t="s">
        <v>144</v>
      </c>
      <c r="B6" s="2942" t="s">
        <v>2868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2880</v>
      </c>
      <c r="Q6" s="2942" t="s">
        <v>2881</v>
      </c>
      <c r="R6" s="2942" t="s">
        <v>161</v>
      </c>
      <c r="S6" s="2942" t="s">
        <v>2882</v>
      </c>
      <c r="T6" s="2942" t="s">
        <v>2883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2884</v>
      </c>
      <c r="Q7" s="2942" t="s">
        <v>2885</v>
      </c>
      <c r="R7" s="2942" t="s">
        <v>2886</v>
      </c>
      <c r="S7" s="2942" t="s">
        <v>2887</v>
      </c>
      <c r="T7" s="2942" t="s">
        <v>2888</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2889</v>
      </c>
      <c r="Q8" s="2942" t="s">
        <v>174</v>
      </c>
      <c r="R8" s="2942" t="s">
        <v>2890</v>
      </c>
      <c r="S8" s="2942" t="s">
        <v>2891</v>
      </c>
      <c r="T8" s="2949" t="s">
        <v>2892</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2893</v>
      </c>
      <c r="Q9" s="2942" t="s">
        <v>182</v>
      </c>
      <c r="R9" s="2942" t="s">
        <v>183</v>
      </c>
      <c r="S9" s="2942" t="s">
        <v>200</v>
      </c>
    </row>
    <row r="10" spans="1:20">
      <c r="A10" s="2947" t="s">
        <v>184</v>
      </c>
      <c r="B10" s="2938" t="s">
        <v>2854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2895</v>
      </c>
      <c r="P11" s="2942" t="s">
        <v>191</v>
      </c>
      <c r="Q11" s="2942" t="s">
        <v>199</v>
      </c>
      <c r="R11" s="2942" t="s">
        <v>2896</v>
      </c>
      <c r="S11" s="2942" t="s">
        <v>2897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2898</v>
      </c>
      <c r="P12" s="2942" t="s">
        <v>2899</v>
      </c>
      <c r="Q12" s="2942" t="s">
        <v>2900</v>
      </c>
      <c r="R12" s="2942" t="s">
        <v>2901</v>
      </c>
      <c r="S12" s="2942" t="s">
        <v>2902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2904</v>
      </c>
      <c r="K14" s="2943" t="s">
        <v>215</v>
      </c>
      <c r="L14" s="2942" t="s">
        <v>216</v>
      </c>
      <c r="M14" s="2942" t="s">
        <v>217</v>
      </c>
      <c r="N14" s="2942" t="s">
        <v>218</v>
      </c>
      <c r="O14" s="2942" t="s">
        <v>240</v>
      </c>
      <c r="P14" s="2942" t="s">
        <v>213</v>
      </c>
      <c r="Q14" s="2942" t="s">
        <v>2905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2906</v>
      </c>
      <c r="P15" s="2942" t="s">
        <v>2907</v>
      </c>
      <c r="Q15" s="2942" t="s">
        <v>242</v>
      </c>
      <c r="R15" s="2942" t="s">
        <v>2908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2909</v>
      </c>
      <c r="P16" s="2942" t="s">
        <v>227</v>
      </c>
      <c r="Q16" s="2942" t="s">
        <v>250</v>
      </c>
      <c r="R16" s="2942" t="s">
        <v>207</v>
      </c>
      <c r="S16" s="2942" t="s">
        <v>2910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2911</v>
      </c>
      <c r="P17" s="2942" t="s">
        <v>2912</v>
      </c>
      <c r="Q17" s="2942" t="s">
        <v>256</v>
      </c>
      <c r="R17" s="2942" t="s">
        <v>2913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2914</v>
      </c>
      <c r="P18" s="2942" t="s">
        <v>241</v>
      </c>
      <c r="Q18" s="2942" t="s">
        <v>2915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2916</v>
      </c>
      <c r="P19" s="2942" t="s">
        <v>249</v>
      </c>
      <c r="Q19" s="2942" t="s">
        <v>2917</v>
      </c>
      <c r="R19" s="2942" t="s">
        <v>265</v>
      </c>
      <c r="S19" s="2942" t="s">
        <v>2918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2919</v>
      </c>
      <c r="P20" s="2942" t="s">
        <v>2920</v>
      </c>
      <c r="Q20" s="2942" t="s">
        <v>290</v>
      </c>
      <c r="R20" s="2942" t="s">
        <v>2921</v>
      </c>
      <c r="S20" s="2942" t="s">
        <v>277</v>
      </c>
    </row>
    <row r="21" spans="1:19" ht="14.25" customHeight="1" thickBot="1">
      <c r="A21" s="2942" t="s">
        <v>184</v>
      </c>
      <c r="B21" s="2943" t="s">
        <v>208</v>
      </c>
      <c r="C21" s="2942">
        <v>32370</v>
      </c>
      <c r="D21" s="2942">
        <v>26730</v>
      </c>
      <c r="E21" s="2942">
        <v>26640</v>
      </c>
      <c r="F21" s="2942"/>
      <c r="G21" s="2942">
        <v>19440</v>
      </c>
      <c r="J21" s="2949" t="s">
        <v>2922</v>
      </c>
      <c r="K21" s="2943" t="s">
        <v>267</v>
      </c>
      <c r="L21" s="2942" t="s">
        <v>268</v>
      </c>
      <c r="M21" s="2942" t="s">
        <v>269</v>
      </c>
      <c r="N21" s="2942" t="s">
        <v>270</v>
      </c>
      <c r="O21" s="2942" t="s">
        <v>264</v>
      </c>
      <c r="P21" s="2942" t="s">
        <v>283</v>
      </c>
      <c r="Q21" s="2942" t="s">
        <v>293</v>
      </c>
      <c r="R21" s="2942" t="s">
        <v>2923</v>
      </c>
      <c r="S21" s="2949" t="s">
        <v>2924</v>
      </c>
    </row>
    <row r="22" spans="1:19" ht="14.25" customHeight="1">
      <c r="A22" s="2942" t="s">
        <v>184</v>
      </c>
      <c r="B22" s="2943" t="s">
        <v>2904</v>
      </c>
      <c r="C22" s="2942">
        <v>29830</v>
      </c>
      <c r="D22" s="2942">
        <v>27600</v>
      </c>
      <c r="E22" s="2942">
        <v>28150</v>
      </c>
      <c r="F22" s="2942"/>
      <c r="G22" s="2942">
        <v>20080</v>
      </c>
      <c r="K22" s="2943" t="s">
        <v>2925</v>
      </c>
      <c r="L22" s="2942" t="s">
        <v>272</v>
      </c>
      <c r="M22" s="2942" t="s">
        <v>273</v>
      </c>
      <c r="N22" s="2942" t="s">
        <v>274</v>
      </c>
      <c r="O22" s="2942" t="s">
        <v>2926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2927</v>
      </c>
      <c r="L23" s="2942" t="s">
        <v>278</v>
      </c>
      <c r="M23" s="2942" t="s">
        <v>279</v>
      </c>
      <c r="N23" s="2942" t="s">
        <v>2928</v>
      </c>
      <c r="O23" s="2942" t="s">
        <v>2929</v>
      </c>
      <c r="P23" s="2942" t="s">
        <v>289</v>
      </c>
      <c r="Q23" s="2942" t="s">
        <v>298</v>
      </c>
      <c r="R23" s="2942" t="s">
        <v>2930</v>
      </c>
    </row>
    <row r="24" spans="1:19" ht="14.25" customHeight="1">
      <c r="A24" s="2942" t="s">
        <v>184</v>
      </c>
      <c r="B24" s="2943" t="s">
        <v>230</v>
      </c>
      <c r="C24" s="2942">
        <v>27930</v>
      </c>
      <c r="D24" s="2942">
        <v>32260</v>
      </c>
      <c r="E24" s="2942">
        <v>32120</v>
      </c>
      <c r="F24" s="2942"/>
      <c r="G24" s="2942">
        <v>23470</v>
      </c>
      <c r="K24" s="2943" t="s">
        <v>2931</v>
      </c>
      <c r="L24" s="2942" t="s">
        <v>281</v>
      </c>
      <c r="M24" s="2942" t="s">
        <v>282</v>
      </c>
      <c r="N24" s="2942" t="s">
        <v>2932</v>
      </c>
      <c r="O24" s="2942" t="s">
        <v>285</v>
      </c>
      <c r="P24" s="2942" t="s">
        <v>2933</v>
      </c>
      <c r="Q24" s="2951" t="s">
        <v>2934</v>
      </c>
      <c r="R24" s="2942" t="s">
        <v>2935</v>
      </c>
    </row>
    <row r="25" spans="1:19" ht="14.25" customHeight="1">
      <c r="A25" s="2942" t="s">
        <v>184</v>
      </c>
      <c r="B25" s="2943" t="s">
        <v>235</v>
      </c>
      <c r="C25" s="2942">
        <v>32230</v>
      </c>
      <c r="D25" s="2942">
        <v>29640</v>
      </c>
      <c r="E25" s="2942">
        <v>29510</v>
      </c>
      <c r="F25" s="2942"/>
      <c r="G25" s="2942">
        <v>21560</v>
      </c>
      <c r="K25" s="2943" t="s">
        <v>2936</v>
      </c>
      <c r="L25" s="2942" t="s">
        <v>2937</v>
      </c>
      <c r="M25" s="2942" t="s">
        <v>284</v>
      </c>
      <c r="N25" s="2942" t="s">
        <v>292</v>
      </c>
      <c r="O25" s="2942" t="s">
        <v>288</v>
      </c>
      <c r="P25" s="2942" t="s">
        <v>275</v>
      </c>
      <c r="Q25" s="2951" t="s">
        <v>271</v>
      </c>
      <c r="R25" s="2942" t="s">
        <v>2938</v>
      </c>
    </row>
    <row r="26" spans="1:19" ht="14.25" customHeight="1" thickBot="1">
      <c r="A26" s="2942" t="s">
        <v>184</v>
      </c>
      <c r="B26" s="2943" t="s">
        <v>244</v>
      </c>
      <c r="C26" s="2942">
        <v>31690</v>
      </c>
      <c r="D26" s="2942">
        <v>27650</v>
      </c>
      <c r="E26" s="2942">
        <v>28200</v>
      </c>
      <c r="F26" s="2942"/>
      <c r="G26" s="2942">
        <v>20110</v>
      </c>
      <c r="K26" s="2948" t="s">
        <v>2939</v>
      </c>
      <c r="L26" s="2942" t="s">
        <v>2940</v>
      </c>
      <c r="M26" s="2942" t="s">
        <v>287</v>
      </c>
      <c r="N26" s="2942" t="s">
        <v>294</v>
      </c>
      <c r="O26" s="2942" t="s">
        <v>2941</v>
      </c>
      <c r="P26" s="2942" t="s">
        <v>2942</v>
      </c>
      <c r="Q26" s="2951" t="s">
        <v>276</v>
      </c>
      <c r="R26" s="2942" t="s">
        <v>2943</v>
      </c>
    </row>
    <row r="27" spans="1:19" ht="14.25" customHeight="1">
      <c r="A27" s="2942" t="s">
        <v>184</v>
      </c>
      <c r="B27" s="2943" t="s">
        <v>251</v>
      </c>
      <c r="C27" s="2942">
        <v>29610</v>
      </c>
      <c r="D27" s="2942">
        <v>27770</v>
      </c>
      <c r="E27" s="2942">
        <v>28300</v>
      </c>
      <c r="F27" s="2942"/>
      <c r="G27" s="2942">
        <v>20210</v>
      </c>
      <c r="L27" s="2942" t="s">
        <v>2944</v>
      </c>
      <c r="M27" s="2942" t="s">
        <v>291</v>
      </c>
      <c r="N27" s="2942" t="s">
        <v>297</v>
      </c>
      <c r="O27" s="2942" t="s">
        <v>2945</v>
      </c>
      <c r="P27" s="2942" t="s">
        <v>2946</v>
      </c>
      <c r="Q27" s="2942" t="s">
        <v>2947</v>
      </c>
      <c r="R27" s="2942" t="s">
        <v>2948</v>
      </c>
    </row>
    <row r="28" spans="1:19" ht="14.25" customHeight="1">
      <c r="A28" s="2942" t="s">
        <v>184</v>
      </c>
      <c r="B28" s="2943" t="s">
        <v>259</v>
      </c>
      <c r="C28" s="2942"/>
      <c r="D28" s="2942">
        <v>31520</v>
      </c>
      <c r="E28" s="2942">
        <v>31410</v>
      </c>
      <c r="F28" s="2942"/>
      <c r="G28" s="2942">
        <v>22940</v>
      </c>
      <c r="L28" s="2942" t="s">
        <v>2949</v>
      </c>
      <c r="M28" s="2942" t="s">
        <v>2950</v>
      </c>
      <c r="N28" s="2942" t="s">
        <v>2951</v>
      </c>
      <c r="O28" s="2942" t="s">
        <v>2952</v>
      </c>
      <c r="P28" s="2942" t="s">
        <v>2953</v>
      </c>
      <c r="Q28" s="2942" t="s">
        <v>2954</v>
      </c>
      <c r="R28" s="2942" t="s">
        <v>2955</v>
      </c>
    </row>
    <row r="29" spans="1:19" ht="14.25" customHeight="1" thickBot="1">
      <c r="A29" s="2950" t="s">
        <v>184</v>
      </c>
      <c r="B29" s="2952" t="s">
        <v>2922</v>
      </c>
      <c r="C29" s="2953"/>
      <c r="D29" s="2953">
        <v>29460</v>
      </c>
      <c r="E29" s="2953">
        <v>28640</v>
      </c>
      <c r="F29" s="2953"/>
      <c r="G29" s="2953">
        <v>21430</v>
      </c>
      <c r="L29" s="2942" t="s">
        <v>2956</v>
      </c>
      <c r="M29" s="2942" t="s">
        <v>2957</v>
      </c>
      <c r="N29" s="2942" t="s">
        <v>2958</v>
      </c>
      <c r="O29" s="2942" t="s">
        <v>2959</v>
      </c>
      <c r="P29" s="2942" t="s">
        <v>2960</v>
      </c>
      <c r="Q29" s="2942" t="s">
        <v>2961</v>
      </c>
      <c r="R29" s="2942" t="s">
        <v>280</v>
      </c>
    </row>
    <row r="30" spans="1:19" ht="14.25" customHeight="1">
      <c r="A30" s="2947" t="s">
        <v>296</v>
      </c>
      <c r="B30" s="2938" t="s">
        <v>2855</v>
      </c>
      <c r="C30" s="2938">
        <v>26890</v>
      </c>
      <c r="D30" s="2938">
        <v>26770</v>
      </c>
      <c r="E30" s="2938">
        <v>25700</v>
      </c>
      <c r="F30" s="2938">
        <v>8180</v>
      </c>
      <c r="G30" s="2954">
        <v>18740</v>
      </c>
      <c r="L30" s="2942" t="s">
        <v>2962</v>
      </c>
      <c r="M30" s="2942" t="s">
        <v>2963</v>
      </c>
      <c r="N30" s="2942" t="s">
        <v>2964</v>
      </c>
      <c r="O30" s="2942" t="s">
        <v>2965</v>
      </c>
      <c r="P30" s="2942" t="s">
        <v>2966</v>
      </c>
      <c r="Q30" s="2942" t="s">
        <v>2967</v>
      </c>
      <c r="R30" s="2942" t="s">
        <v>2968</v>
      </c>
    </row>
    <row r="31" spans="1:19" ht="14.25" customHeight="1">
      <c r="A31" s="2942" t="s">
        <v>296</v>
      </c>
      <c r="B31" s="2943" t="s">
        <v>129</v>
      </c>
      <c r="C31" s="2942">
        <v>24550</v>
      </c>
      <c r="D31" s="2942">
        <v>23990</v>
      </c>
      <c r="E31" s="2942">
        <v>22930</v>
      </c>
      <c r="F31" s="2942">
        <v>7470</v>
      </c>
      <c r="G31" s="2955">
        <v>16790</v>
      </c>
      <c r="L31" s="2942" t="s">
        <v>2969</v>
      </c>
      <c r="M31" s="2942" t="s">
        <v>2970</v>
      </c>
      <c r="N31" s="2942" t="s">
        <v>2971</v>
      </c>
      <c r="O31" s="2942" t="s">
        <v>2972</v>
      </c>
      <c r="P31" s="2942" t="s">
        <v>2973</v>
      </c>
      <c r="Q31" s="2942" t="s">
        <v>2974</v>
      </c>
      <c r="R31" s="2942" t="s">
        <v>2975</v>
      </c>
    </row>
    <row r="32" spans="1:19" ht="14.25" customHeight="1" thickBot="1">
      <c r="A32" s="2942" t="s">
        <v>296</v>
      </c>
      <c r="B32" s="2943" t="s">
        <v>138</v>
      </c>
      <c r="C32" s="2942">
        <v>27210</v>
      </c>
      <c r="D32" s="2942">
        <v>23240</v>
      </c>
      <c r="E32" s="2942">
        <v>23260</v>
      </c>
      <c r="F32" s="2942">
        <v>7130</v>
      </c>
      <c r="G32" s="2955">
        <v>16270</v>
      </c>
      <c r="L32" s="2942" t="s">
        <v>2976</v>
      </c>
      <c r="M32" s="2942" t="s">
        <v>2977</v>
      </c>
      <c r="N32" s="2942" t="s">
        <v>300</v>
      </c>
      <c r="O32" s="2942" t="s">
        <v>2978</v>
      </c>
      <c r="P32" s="2942" t="s">
        <v>299</v>
      </c>
      <c r="Q32" s="2942" t="s">
        <v>2979</v>
      </c>
      <c r="R32" s="2949" t="s">
        <v>2980</v>
      </c>
    </row>
    <row r="33" spans="1:17" ht="14.25" customHeight="1" thickBot="1">
      <c r="A33" s="2942" t="s">
        <v>296</v>
      </c>
      <c r="B33" s="2943" t="s">
        <v>147</v>
      </c>
      <c r="C33" s="2942">
        <v>27300</v>
      </c>
      <c r="D33" s="2942">
        <v>22980</v>
      </c>
      <c r="E33" s="2942">
        <v>24260</v>
      </c>
      <c r="F33" s="2942">
        <v>5860</v>
      </c>
      <c r="G33" s="2955">
        <v>16090</v>
      </c>
      <c r="L33" s="2949" t="s">
        <v>2981</v>
      </c>
      <c r="M33" s="2942" t="s">
        <v>2982</v>
      </c>
      <c r="N33" s="2942" t="s">
        <v>301</v>
      </c>
      <c r="O33" s="2942" t="s">
        <v>2983</v>
      </c>
      <c r="P33" s="2942" t="s">
        <v>2984</v>
      </c>
      <c r="Q33" s="2942" t="s">
        <v>2985</v>
      </c>
    </row>
    <row r="34" spans="1:17" ht="14.25" customHeight="1">
      <c r="A34" s="2942" t="s">
        <v>296</v>
      </c>
      <c r="B34" s="2943" t="s">
        <v>156</v>
      </c>
      <c r="C34" s="2942">
        <v>23090</v>
      </c>
      <c r="D34" s="2942">
        <v>23390</v>
      </c>
      <c r="E34" s="2942">
        <v>23510</v>
      </c>
      <c r="F34" s="2942">
        <v>6700</v>
      </c>
      <c r="G34" s="2955">
        <v>16370</v>
      </c>
      <c r="M34" s="2942" t="s">
        <v>2986</v>
      </c>
      <c r="N34" s="2942" t="s">
        <v>302</v>
      </c>
      <c r="O34" s="2942" t="s">
        <v>2987</v>
      </c>
      <c r="P34" s="2942" t="s">
        <v>2988</v>
      </c>
      <c r="Q34" s="2942" t="s">
        <v>2989</v>
      </c>
    </row>
    <row r="35" spans="1:17" ht="14.25" customHeight="1">
      <c r="A35" s="2942" t="s">
        <v>296</v>
      </c>
      <c r="B35" s="2943" t="s">
        <v>163</v>
      </c>
      <c r="C35" s="2942">
        <v>27270</v>
      </c>
      <c r="D35" s="2942">
        <v>24270</v>
      </c>
      <c r="E35" s="2942">
        <v>24950</v>
      </c>
      <c r="F35" s="2942">
        <v>6600</v>
      </c>
      <c r="G35" s="2955">
        <v>16990</v>
      </c>
      <c r="M35" s="2942" t="s">
        <v>2990</v>
      </c>
      <c r="N35" s="2942" t="s">
        <v>2991</v>
      </c>
      <c r="O35" s="2942" t="s">
        <v>2992</v>
      </c>
      <c r="P35" s="2942" t="s">
        <v>2993</v>
      </c>
      <c r="Q35" s="2942" t="s">
        <v>2994</v>
      </c>
    </row>
    <row r="36" spans="1:17" ht="14.25" customHeight="1">
      <c r="A36" s="2942" t="s">
        <v>296</v>
      </c>
      <c r="B36" s="2943" t="s">
        <v>169</v>
      </c>
      <c r="C36" s="2942">
        <v>23490</v>
      </c>
      <c r="D36" s="2942">
        <v>23020</v>
      </c>
      <c r="E36" s="2942">
        <v>25230</v>
      </c>
      <c r="F36" s="2942">
        <v>6780</v>
      </c>
      <c r="G36" s="2955">
        <v>16120</v>
      </c>
      <c r="M36" s="2942" t="s">
        <v>2995</v>
      </c>
      <c r="N36" s="2942" t="s">
        <v>2996</v>
      </c>
      <c r="O36" s="2942" t="s">
        <v>2997</v>
      </c>
      <c r="P36" s="2942" t="s">
        <v>2998</v>
      </c>
      <c r="Q36" s="2942" t="s">
        <v>2999</v>
      </c>
    </row>
    <row r="37" spans="1:17" ht="14.25" customHeight="1">
      <c r="A37" s="2942" t="s">
        <v>296</v>
      </c>
      <c r="B37" s="2943" t="s">
        <v>176</v>
      </c>
      <c r="C37" s="2942">
        <v>24380</v>
      </c>
      <c r="D37" s="2942">
        <v>22240</v>
      </c>
      <c r="E37" s="2942">
        <v>25980</v>
      </c>
      <c r="F37" s="2942">
        <v>8160</v>
      </c>
      <c r="G37" s="2955">
        <v>15570</v>
      </c>
      <c r="M37" s="2942" t="s">
        <v>3000</v>
      </c>
      <c r="N37" s="2942" t="s">
        <v>3001</v>
      </c>
      <c r="O37" s="2942" t="s">
        <v>3002</v>
      </c>
      <c r="P37" s="2942" t="s">
        <v>3003</v>
      </c>
      <c r="Q37" s="2942" t="s">
        <v>3004</v>
      </c>
    </row>
    <row r="38" spans="1:17" ht="14.25" customHeight="1">
      <c r="A38" s="2942" t="s">
        <v>296</v>
      </c>
      <c r="B38" s="2943" t="s">
        <v>186</v>
      </c>
      <c r="C38" s="2942">
        <v>23120</v>
      </c>
      <c r="D38" s="2942">
        <v>24630</v>
      </c>
      <c r="E38" s="2942">
        <v>25030</v>
      </c>
      <c r="F38" s="2942">
        <v>7710</v>
      </c>
      <c r="G38" s="2955">
        <v>17240</v>
      </c>
      <c r="M38" s="2942" t="s">
        <v>3005</v>
      </c>
      <c r="N38" s="2942" t="s">
        <v>3006</v>
      </c>
      <c r="O38" s="2942" t="s">
        <v>3007</v>
      </c>
      <c r="P38" s="2942" t="s">
        <v>3008</v>
      </c>
      <c r="Q38" s="2942" t="s">
        <v>3009</v>
      </c>
    </row>
    <row r="39" spans="1:17" ht="14.25" customHeight="1">
      <c r="A39" s="2942" t="s">
        <v>296</v>
      </c>
      <c r="B39" s="2943" t="s">
        <v>195</v>
      </c>
      <c r="C39" s="2942">
        <v>22330</v>
      </c>
      <c r="D39" s="2942">
        <v>21140</v>
      </c>
      <c r="E39" s="2942">
        <v>23970</v>
      </c>
      <c r="F39" s="2942">
        <v>7940</v>
      </c>
      <c r="G39" s="2955">
        <v>14790</v>
      </c>
      <c r="M39" s="2942" t="s">
        <v>3010</v>
      </c>
      <c r="N39" s="2942" t="s">
        <v>3011</v>
      </c>
      <c r="O39" s="2942" t="s">
        <v>3012</v>
      </c>
      <c r="P39" s="2942" t="s">
        <v>3013</v>
      </c>
      <c r="Q39" s="2942" t="s">
        <v>3014</v>
      </c>
    </row>
    <row r="40" spans="1:17" ht="14.25" customHeight="1">
      <c r="A40" s="2942" t="s">
        <v>296</v>
      </c>
      <c r="B40" s="2943" t="s">
        <v>202</v>
      </c>
      <c r="C40" s="2942">
        <v>24740</v>
      </c>
      <c r="D40" s="2942">
        <v>24690</v>
      </c>
      <c r="E40" s="2942">
        <v>22610</v>
      </c>
      <c r="F40" s="2942"/>
      <c r="G40" s="2955">
        <v>17280</v>
      </c>
      <c r="M40" s="2942" t="s">
        <v>3015</v>
      </c>
      <c r="N40" s="2942" t="s">
        <v>3016</v>
      </c>
      <c r="O40" s="2942" t="s">
        <v>3017</v>
      </c>
      <c r="P40" s="2942" t="s">
        <v>3018</v>
      </c>
      <c r="Q40" s="2942" t="s">
        <v>3019</v>
      </c>
    </row>
    <row r="41" spans="1:17" ht="14.25" customHeight="1" thickBot="1">
      <c r="A41" s="2942" t="s">
        <v>296</v>
      </c>
      <c r="B41" s="2943" t="s">
        <v>209</v>
      </c>
      <c r="C41" s="2942">
        <v>21220</v>
      </c>
      <c r="D41" s="2942">
        <v>21120</v>
      </c>
      <c r="E41" s="2942">
        <v>22590</v>
      </c>
      <c r="F41" s="2942"/>
      <c r="G41" s="2955">
        <v>14780</v>
      </c>
      <c r="M41" s="2949" t="s">
        <v>3020</v>
      </c>
      <c r="N41" s="2942" t="s">
        <v>3021</v>
      </c>
      <c r="O41" s="2942" t="s">
        <v>3022</v>
      </c>
      <c r="P41" s="2942" t="s">
        <v>3023</v>
      </c>
      <c r="Q41" s="2942" t="s">
        <v>3024</v>
      </c>
    </row>
    <row r="42" spans="1:17" ht="14.25" customHeight="1">
      <c r="A42" s="2942" t="s">
        <v>296</v>
      </c>
      <c r="B42" s="2943" t="s">
        <v>215</v>
      </c>
      <c r="C42" s="2942">
        <v>24800</v>
      </c>
      <c r="D42" s="2942">
        <v>22280</v>
      </c>
      <c r="E42" s="2942">
        <v>24350</v>
      </c>
      <c r="F42" s="2942"/>
      <c r="G42" s="2955">
        <v>15590</v>
      </c>
      <c r="N42" s="2942" t="s">
        <v>3025</v>
      </c>
      <c r="O42" s="2942" t="s">
        <v>3026</v>
      </c>
      <c r="P42" s="2942" t="s">
        <v>3027</v>
      </c>
      <c r="Q42" s="2942" t="s">
        <v>3028</v>
      </c>
    </row>
    <row r="43" spans="1:17" ht="14.25" customHeight="1">
      <c r="A43" s="2942" t="s">
        <v>3029</v>
      </c>
      <c r="B43" s="2943" t="s">
        <v>223</v>
      </c>
      <c r="C43" s="2942">
        <v>21210</v>
      </c>
      <c r="D43" s="2942">
        <v>21160</v>
      </c>
      <c r="E43" s="2942">
        <v>22650</v>
      </c>
      <c r="F43" s="2942"/>
      <c r="G43" s="2955">
        <v>14800</v>
      </c>
      <c r="N43" s="2942" t="s">
        <v>3030</v>
      </c>
      <c r="O43" s="2942" t="s">
        <v>3031</v>
      </c>
      <c r="P43" s="2942" t="s">
        <v>3032</v>
      </c>
      <c r="Q43" s="2942" t="s">
        <v>3033</v>
      </c>
    </row>
    <row r="44" spans="1:17" ht="14.25" customHeight="1" thickBot="1">
      <c r="A44" s="2942" t="s">
        <v>296</v>
      </c>
      <c r="B44" s="2943" t="s">
        <v>231</v>
      </c>
      <c r="C44" s="2942">
        <v>22370</v>
      </c>
      <c r="D44" s="2942">
        <v>23140</v>
      </c>
      <c r="E44" s="2942">
        <v>25090</v>
      </c>
      <c r="F44" s="2942"/>
      <c r="G44" s="2955">
        <v>16190</v>
      </c>
      <c r="N44" s="2942" t="s">
        <v>3034</v>
      </c>
      <c r="O44" s="2942" t="s">
        <v>3035</v>
      </c>
      <c r="P44" s="2949" t="s">
        <v>3036</v>
      </c>
      <c r="Q44" s="2942" t="s">
        <v>3037</v>
      </c>
    </row>
    <row r="45" spans="1:17" ht="14.25" customHeight="1" thickBot="1">
      <c r="A45" s="2942" t="s">
        <v>296</v>
      </c>
      <c r="B45" s="2943" t="s">
        <v>236</v>
      </c>
      <c r="C45" s="2942">
        <v>21240</v>
      </c>
      <c r="D45" s="2942">
        <v>27050</v>
      </c>
      <c r="E45" s="2942">
        <v>28000</v>
      </c>
      <c r="F45" s="2942"/>
      <c r="G45" s="2955">
        <v>18940</v>
      </c>
      <c r="N45" s="2942" t="s">
        <v>3038</v>
      </c>
      <c r="O45" s="2949" t="s">
        <v>3039</v>
      </c>
      <c r="Q45" s="2942" t="s">
        <v>3040</v>
      </c>
    </row>
    <row r="46" spans="1:17" ht="14.25" customHeight="1">
      <c r="A46" s="2942" t="s">
        <v>296</v>
      </c>
      <c r="B46" s="2943" t="s">
        <v>245</v>
      </c>
      <c r="C46" s="2942">
        <v>23240</v>
      </c>
      <c r="D46" s="2942">
        <v>23000</v>
      </c>
      <c r="E46" s="2942">
        <v>24980</v>
      </c>
      <c r="F46" s="2942"/>
      <c r="G46" s="2955">
        <v>16100</v>
      </c>
      <c r="N46" s="2942" t="s">
        <v>3041</v>
      </c>
      <c r="Q46" s="2942" t="s">
        <v>3042</v>
      </c>
    </row>
    <row r="47" spans="1:17" ht="14.25" customHeight="1">
      <c r="A47" s="2942" t="s">
        <v>296</v>
      </c>
      <c r="B47" s="2943" t="s">
        <v>252</v>
      </c>
      <c r="C47" s="2942">
        <v>27150</v>
      </c>
      <c r="D47" s="2942">
        <v>23310</v>
      </c>
      <c r="E47" s="2942">
        <v>25150</v>
      </c>
      <c r="F47" s="2942"/>
      <c r="G47" s="2955">
        <v>16310</v>
      </c>
      <c r="N47" s="2942" t="s">
        <v>3043</v>
      </c>
      <c r="Q47" s="2942" t="s">
        <v>3044</v>
      </c>
    </row>
    <row r="48" spans="1:17" ht="14.25" customHeight="1">
      <c r="A48" s="2942" t="s">
        <v>296</v>
      </c>
      <c r="B48" s="2943" t="s">
        <v>260</v>
      </c>
      <c r="C48" s="2942">
        <v>23100</v>
      </c>
      <c r="D48" s="2942">
        <v>21110</v>
      </c>
      <c r="E48" s="2942">
        <v>23080</v>
      </c>
      <c r="F48" s="2942"/>
      <c r="G48" s="2955">
        <v>14780</v>
      </c>
      <c r="N48" s="2942" t="s">
        <v>3045</v>
      </c>
      <c r="Q48" s="2942" t="s">
        <v>3046</v>
      </c>
    </row>
    <row r="49" spans="1:17" ht="14.25" customHeight="1">
      <c r="A49" s="2942" t="s">
        <v>296</v>
      </c>
      <c r="B49" s="2943" t="s">
        <v>267</v>
      </c>
      <c r="C49" s="2942">
        <v>23400</v>
      </c>
      <c r="D49" s="2942">
        <v>22920</v>
      </c>
      <c r="E49" s="2942">
        <v>24900</v>
      </c>
      <c r="F49" s="2942"/>
      <c r="G49" s="2955">
        <v>16040</v>
      </c>
      <c r="N49" s="2942" t="s">
        <v>3047</v>
      </c>
      <c r="Q49" s="2942" t="s">
        <v>3048</v>
      </c>
    </row>
    <row r="50" spans="1:17" ht="14.25" customHeight="1">
      <c r="A50" s="2942" t="s">
        <v>296</v>
      </c>
      <c r="B50" s="2943" t="s">
        <v>2925</v>
      </c>
      <c r="C50" s="2942">
        <v>21200</v>
      </c>
      <c r="D50" s="2942">
        <v>26540</v>
      </c>
      <c r="E50" s="2942">
        <v>23200</v>
      </c>
      <c r="F50" s="2942"/>
      <c r="G50" s="2955">
        <v>18580</v>
      </c>
      <c r="N50" s="2942" t="s">
        <v>3049</v>
      </c>
      <c r="Q50" s="2943" t="s">
        <v>3050</v>
      </c>
    </row>
    <row r="51" spans="1:17" ht="14.25" customHeight="1" thickBot="1">
      <c r="A51" s="2942" t="s">
        <v>296</v>
      </c>
      <c r="B51" s="2943" t="s">
        <v>2927</v>
      </c>
      <c r="C51" s="2942">
        <v>23000</v>
      </c>
      <c r="D51" s="2942">
        <v>23460</v>
      </c>
      <c r="E51" s="2942">
        <v>25290</v>
      </c>
      <c r="F51" s="2942"/>
      <c r="G51" s="2955">
        <v>16420</v>
      </c>
      <c r="N51" s="2942" t="s">
        <v>3051</v>
      </c>
      <c r="Q51" s="2949" t="s">
        <v>3052</v>
      </c>
    </row>
    <row r="52" spans="1:17" ht="14.25" customHeight="1">
      <c r="A52" s="2942" t="s">
        <v>296</v>
      </c>
      <c r="B52" s="2943" t="s">
        <v>2931</v>
      </c>
      <c r="C52" s="2942">
        <v>26660</v>
      </c>
      <c r="D52" s="2942">
        <v>22350</v>
      </c>
      <c r="E52" s="2942">
        <v>22920</v>
      </c>
      <c r="F52" s="2942"/>
      <c r="G52" s="2955">
        <v>15640</v>
      </c>
      <c r="N52" s="2942" t="s">
        <v>3053</v>
      </c>
    </row>
    <row r="53" spans="1:17" ht="14.25" customHeight="1">
      <c r="A53" s="2942" t="s">
        <v>296</v>
      </c>
      <c r="B53" s="2943" t="s">
        <v>2936</v>
      </c>
      <c r="C53" s="2942">
        <v>23580</v>
      </c>
      <c r="D53" s="2942"/>
      <c r="E53" s="2942">
        <v>24280</v>
      </c>
      <c r="F53" s="2942"/>
      <c r="G53" s="2955"/>
      <c r="N53" s="2942" t="s">
        <v>3054</v>
      </c>
    </row>
    <row r="54" spans="1:17" ht="14.25" customHeight="1" thickBot="1">
      <c r="A54" s="2956" t="s">
        <v>296</v>
      </c>
      <c r="B54" s="2948" t="s">
        <v>2939</v>
      </c>
      <c r="C54" s="2949">
        <v>22460</v>
      </c>
      <c r="D54" s="2949"/>
      <c r="E54" s="2949"/>
      <c r="F54" s="2949"/>
      <c r="G54" s="2957"/>
      <c r="N54" s="2942" t="s">
        <v>3055</v>
      </c>
    </row>
    <row r="55" spans="1:17" ht="14.25" customHeight="1">
      <c r="A55" s="2947" t="s">
        <v>110</v>
      </c>
      <c r="B55" s="2938" t="s">
        <v>3056</v>
      </c>
      <c r="C55" s="2942">
        <v>21970</v>
      </c>
      <c r="D55" s="2942">
        <v>20370</v>
      </c>
      <c r="E55" s="2942">
        <v>20180</v>
      </c>
      <c r="F55" s="2942">
        <v>5730</v>
      </c>
      <c r="G55" s="2942">
        <v>13820</v>
      </c>
      <c r="N55" s="2942" t="s">
        <v>3057</v>
      </c>
    </row>
    <row r="56" spans="1:17" ht="14.25" customHeight="1">
      <c r="A56" s="2942" t="s">
        <v>110</v>
      </c>
      <c r="B56" s="2942" t="s">
        <v>130</v>
      </c>
      <c r="C56" s="2942">
        <v>20470</v>
      </c>
      <c r="D56" s="2942">
        <v>20700</v>
      </c>
      <c r="E56" s="2942">
        <v>20380</v>
      </c>
      <c r="F56" s="2942">
        <v>4760</v>
      </c>
      <c r="G56" s="2942">
        <v>14050</v>
      </c>
      <c r="N56" s="2942" t="s">
        <v>3058</v>
      </c>
    </row>
    <row r="57" spans="1:17" ht="14.25" customHeight="1">
      <c r="A57" s="2942" t="s">
        <v>110</v>
      </c>
      <c r="B57" s="2942" t="s">
        <v>139</v>
      </c>
      <c r="C57" s="2942">
        <v>20790</v>
      </c>
      <c r="D57" s="2942">
        <v>21370</v>
      </c>
      <c r="E57" s="2942">
        <v>20890</v>
      </c>
      <c r="F57" s="2942">
        <v>4910</v>
      </c>
      <c r="G57" s="2942">
        <v>14510</v>
      </c>
      <c r="N57" s="2942" t="s">
        <v>3059</v>
      </c>
    </row>
    <row r="58" spans="1:17" ht="14.25" customHeight="1">
      <c r="A58" s="2942" t="s">
        <v>110</v>
      </c>
      <c r="B58" s="2942" t="s">
        <v>148</v>
      </c>
      <c r="C58" s="2942">
        <v>21460</v>
      </c>
      <c r="D58" s="2942">
        <v>20920</v>
      </c>
      <c r="E58" s="2942">
        <v>23410</v>
      </c>
      <c r="F58" s="2942">
        <v>5100</v>
      </c>
      <c r="G58" s="2942">
        <v>14200</v>
      </c>
      <c r="N58" s="2942" t="s">
        <v>3060</v>
      </c>
    </row>
    <row r="59" spans="1:17" ht="14.25" customHeight="1">
      <c r="A59" s="2942" t="s">
        <v>110</v>
      </c>
      <c r="B59" s="2942" t="s">
        <v>157</v>
      </c>
      <c r="C59" s="2942">
        <v>21000</v>
      </c>
      <c r="D59" s="2942">
        <v>21550</v>
      </c>
      <c r="E59" s="2942">
        <v>21150</v>
      </c>
      <c r="F59" s="2942">
        <v>5250</v>
      </c>
      <c r="G59" s="2942">
        <v>14630</v>
      </c>
      <c r="N59" s="2942" t="s">
        <v>3061</v>
      </c>
    </row>
    <row r="60" spans="1:17" ht="14.25" customHeight="1">
      <c r="A60" s="2942" t="s">
        <v>110</v>
      </c>
      <c r="B60" s="2942" t="s">
        <v>164</v>
      </c>
      <c r="C60" s="2942">
        <v>21640</v>
      </c>
      <c r="D60" s="2942">
        <v>21260</v>
      </c>
      <c r="E60" s="2942">
        <v>24040</v>
      </c>
      <c r="F60" s="2942">
        <v>4470</v>
      </c>
      <c r="G60" s="2942">
        <v>14430</v>
      </c>
      <c r="N60" s="2942" t="s">
        <v>3062</v>
      </c>
    </row>
    <row r="61" spans="1:17" ht="14.25" customHeight="1">
      <c r="A61" s="2942" t="s">
        <v>110</v>
      </c>
      <c r="B61" s="2942" t="s">
        <v>170</v>
      </c>
      <c r="C61" s="2942">
        <v>21330</v>
      </c>
      <c r="D61" s="2942">
        <v>18640</v>
      </c>
      <c r="E61" s="2942">
        <v>21190</v>
      </c>
      <c r="F61" s="2942">
        <v>4180</v>
      </c>
      <c r="G61" s="2942">
        <v>12650</v>
      </c>
      <c r="N61" s="2942" t="s">
        <v>3063</v>
      </c>
    </row>
    <row r="62" spans="1:17" ht="14.25" customHeight="1">
      <c r="A62" s="2942" t="s">
        <v>110</v>
      </c>
      <c r="B62" s="2942" t="s">
        <v>177</v>
      </c>
      <c r="C62" s="2942">
        <v>18710</v>
      </c>
      <c r="D62" s="2942">
        <v>19400</v>
      </c>
      <c r="E62" s="2942">
        <v>23750</v>
      </c>
      <c r="F62" s="2942">
        <v>4860</v>
      </c>
      <c r="G62" s="2942">
        <v>13170</v>
      </c>
      <c r="N62" s="2942" t="s">
        <v>3064</v>
      </c>
    </row>
    <row r="63" spans="1:17" ht="14.25" customHeight="1">
      <c r="A63" s="2942" t="s">
        <v>110</v>
      </c>
      <c r="B63" s="2942" t="s">
        <v>187</v>
      </c>
      <c r="C63" s="2942">
        <v>19480</v>
      </c>
      <c r="D63" s="2942">
        <v>16830</v>
      </c>
      <c r="E63" s="2942">
        <v>21590</v>
      </c>
      <c r="F63" s="2942">
        <v>4560</v>
      </c>
      <c r="G63" s="2942">
        <v>11420</v>
      </c>
      <c r="N63" s="2942" t="s">
        <v>3065</v>
      </c>
    </row>
    <row r="64" spans="1:17" ht="14.25" customHeight="1" thickBot="1">
      <c r="A64" s="2942" t="s">
        <v>110</v>
      </c>
      <c r="B64" s="2942" t="s">
        <v>196</v>
      </c>
      <c r="C64" s="2942">
        <v>16920</v>
      </c>
      <c r="D64" s="2942">
        <v>19190</v>
      </c>
      <c r="E64" s="2942">
        <v>22200</v>
      </c>
      <c r="F64" s="2942">
        <v>4390</v>
      </c>
      <c r="G64" s="2942">
        <v>13030</v>
      </c>
      <c r="N64" s="2949" t="s">
        <v>3066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2937</v>
      </c>
      <c r="C78" s="2942">
        <v>19820</v>
      </c>
      <c r="D78" s="2942">
        <v>19780</v>
      </c>
      <c r="E78" s="2942">
        <v>18560</v>
      </c>
      <c r="F78" s="2942"/>
      <c r="G78" s="2942">
        <v>13430</v>
      </c>
    </row>
    <row r="79" spans="1:7" s="2776" customFormat="1" ht="14.25" customHeight="1">
      <c r="A79" s="2942" t="s">
        <v>110</v>
      </c>
      <c r="B79" s="2942" t="s">
        <v>2940</v>
      </c>
      <c r="C79" s="2942">
        <v>21660</v>
      </c>
      <c r="D79" s="2942">
        <v>18000</v>
      </c>
      <c r="E79" s="2942">
        <v>22570</v>
      </c>
      <c r="F79" s="2942"/>
      <c r="G79" s="2942">
        <v>12220</v>
      </c>
    </row>
    <row r="80" spans="1:7" s="2776" customFormat="1" ht="14.25" customHeight="1">
      <c r="A80" s="2942" t="s">
        <v>110</v>
      </c>
      <c r="B80" s="2942" t="s">
        <v>2944</v>
      </c>
      <c r="C80" s="2942">
        <v>19850</v>
      </c>
      <c r="D80" s="2942"/>
      <c r="E80" s="2942">
        <v>21700</v>
      </c>
      <c r="F80" s="2942"/>
      <c r="G80" s="2942"/>
    </row>
    <row r="81" spans="1:7" s="2776" customFormat="1" ht="14.25" customHeight="1">
      <c r="A81" s="2942" t="s">
        <v>110</v>
      </c>
      <c r="B81" s="2942" t="s">
        <v>2949</v>
      </c>
      <c r="C81" s="2942">
        <v>18080</v>
      </c>
      <c r="D81" s="2942"/>
      <c r="E81" s="2942">
        <v>20900</v>
      </c>
      <c r="F81" s="2942"/>
      <c r="G81" s="2942"/>
    </row>
    <row r="82" spans="1:7" s="2776" customFormat="1" ht="14.25" customHeight="1">
      <c r="A82" s="2942" t="s">
        <v>110</v>
      </c>
      <c r="B82" s="2942" t="s">
        <v>2956</v>
      </c>
      <c r="C82" s="2942"/>
      <c r="D82" s="2942"/>
      <c r="E82" s="2942">
        <v>20840</v>
      </c>
      <c r="F82" s="2942"/>
      <c r="G82" s="2942"/>
    </row>
    <row r="83" spans="1:7" s="2776" customFormat="1" ht="14.25" customHeight="1">
      <c r="A83" s="2942" t="s">
        <v>110</v>
      </c>
      <c r="B83" s="2942" t="s">
        <v>3067</v>
      </c>
      <c r="C83" s="2942"/>
      <c r="D83" s="2942"/>
      <c r="E83" s="2942"/>
      <c r="F83" s="2942">
        <v>4770</v>
      </c>
      <c r="G83" s="2942"/>
    </row>
    <row r="84" spans="1:7" s="2776" customFormat="1" ht="14.25" customHeight="1">
      <c r="A84" s="2942" t="s">
        <v>110</v>
      </c>
      <c r="B84" s="2942" t="s">
        <v>3068</v>
      </c>
      <c r="C84" s="2942"/>
      <c r="D84" s="2942"/>
      <c r="E84" s="2942"/>
      <c r="F84" s="2942">
        <v>4600</v>
      </c>
      <c r="G84" s="2942"/>
    </row>
    <row r="85" spans="1:7" s="2776" customFormat="1" ht="14.25" customHeight="1">
      <c r="A85" s="2942" t="s">
        <v>110</v>
      </c>
      <c r="B85" s="2942" t="s">
        <v>3069</v>
      </c>
      <c r="C85" s="2942"/>
      <c r="D85" s="2942"/>
      <c r="E85" s="2942"/>
      <c r="F85" s="2942">
        <v>4680</v>
      </c>
      <c r="G85" s="2942"/>
    </row>
    <row r="86" spans="1:7" s="2776" customFormat="1" ht="14.25" customHeight="1" thickBot="1">
      <c r="A86" s="2950" t="s">
        <v>110</v>
      </c>
      <c r="B86" s="2952" t="s">
        <v>3070</v>
      </c>
      <c r="C86" s="2953">
        <v>16610</v>
      </c>
      <c r="D86" s="2953">
        <v>16540</v>
      </c>
      <c r="E86" s="2953">
        <v>18850</v>
      </c>
      <c r="F86" s="2953"/>
      <c r="G86" s="2953">
        <v>11220</v>
      </c>
    </row>
    <row r="87" spans="1:7" s="2776" customFormat="1" ht="14.25" customHeight="1">
      <c r="A87" s="2947" t="s">
        <v>303</v>
      </c>
      <c r="B87" s="2938" t="s">
        <v>3071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2950</v>
      </c>
      <c r="C113" s="2942">
        <v>15520</v>
      </c>
      <c r="D113" s="2942">
        <v>15450</v>
      </c>
      <c r="E113" s="2942"/>
      <c r="F113" s="2942"/>
      <c r="G113" s="2955">
        <v>10210</v>
      </c>
    </row>
    <row r="114" spans="1:7" s="2776" customFormat="1" ht="14.25" customHeight="1">
      <c r="A114" s="2942" t="s">
        <v>303</v>
      </c>
      <c r="B114" s="2942" t="s">
        <v>2957</v>
      </c>
      <c r="C114" s="2942">
        <v>13110</v>
      </c>
      <c r="D114" s="2942">
        <v>13050</v>
      </c>
      <c r="E114" s="2942"/>
      <c r="F114" s="2942"/>
      <c r="G114" s="2955">
        <v>8620</v>
      </c>
    </row>
    <row r="115" spans="1:7" s="2776" customFormat="1" ht="14.25" customHeight="1">
      <c r="A115" s="2942" t="s">
        <v>303</v>
      </c>
      <c r="B115" s="2942" t="s">
        <v>2963</v>
      </c>
      <c r="C115" s="2942">
        <v>12460</v>
      </c>
      <c r="D115" s="2942">
        <v>12390</v>
      </c>
      <c r="E115" s="2942"/>
      <c r="F115" s="2942"/>
      <c r="G115" s="2955">
        <v>8190</v>
      </c>
    </row>
    <row r="116" spans="1:7" s="2776" customFormat="1" ht="14.25" customHeight="1">
      <c r="A116" s="2942" t="s">
        <v>303</v>
      </c>
      <c r="B116" s="2942" t="s">
        <v>2970</v>
      </c>
      <c r="C116" s="2942">
        <v>13580</v>
      </c>
      <c r="D116" s="2942">
        <v>13520</v>
      </c>
      <c r="E116" s="2942"/>
      <c r="F116" s="2942"/>
      <c r="G116" s="2955">
        <v>8930</v>
      </c>
    </row>
    <row r="117" spans="1:7" s="2776" customFormat="1" ht="14.25" customHeight="1">
      <c r="A117" s="2942" t="s">
        <v>303</v>
      </c>
      <c r="B117" s="2942" t="s">
        <v>2977</v>
      </c>
      <c r="C117" s="2942">
        <v>17120</v>
      </c>
      <c r="D117" s="2942">
        <v>17040</v>
      </c>
      <c r="E117" s="2942"/>
      <c r="F117" s="2942"/>
      <c r="G117" s="2955">
        <v>11260</v>
      </c>
    </row>
    <row r="118" spans="1:7" s="2776" customFormat="1" ht="14.25" customHeight="1">
      <c r="A118" s="2942" t="s">
        <v>303</v>
      </c>
      <c r="B118" s="2942" t="s">
        <v>2982</v>
      </c>
      <c r="C118" s="2942">
        <v>14860</v>
      </c>
      <c r="D118" s="2942">
        <v>14790</v>
      </c>
      <c r="E118" s="2942"/>
      <c r="F118" s="2942"/>
      <c r="G118" s="2955">
        <v>9780</v>
      </c>
    </row>
    <row r="119" spans="1:7" s="2776" customFormat="1" ht="14.25" customHeight="1">
      <c r="A119" s="2942" t="s">
        <v>303</v>
      </c>
      <c r="B119" s="2942" t="s">
        <v>2986</v>
      </c>
      <c r="C119" s="2942">
        <v>16470</v>
      </c>
      <c r="D119" s="2942">
        <v>16400</v>
      </c>
      <c r="E119" s="2942"/>
      <c r="F119" s="2942"/>
      <c r="G119" s="2955">
        <v>10840</v>
      </c>
    </row>
    <row r="120" spans="1:7" s="2776" customFormat="1" ht="14.25" customHeight="1">
      <c r="A120" s="2942" t="s">
        <v>303</v>
      </c>
      <c r="B120" s="2942" t="s">
        <v>3072</v>
      </c>
      <c r="C120" s="2942"/>
      <c r="D120" s="2942"/>
      <c r="E120" s="2942"/>
      <c r="F120" s="2942">
        <v>4160</v>
      </c>
      <c r="G120" s="2955"/>
    </row>
    <row r="121" spans="1:7" s="2776" customFormat="1" ht="14.25" customHeight="1">
      <c r="A121" s="2942" t="s">
        <v>303</v>
      </c>
      <c r="B121" s="2942" t="s">
        <v>3073</v>
      </c>
      <c r="C121" s="2942"/>
      <c r="D121" s="2942"/>
      <c r="E121" s="2942"/>
      <c r="F121" s="2942">
        <v>3880</v>
      </c>
      <c r="G121" s="2955"/>
    </row>
    <row r="122" spans="1:7" s="2776" customFormat="1" ht="14.25" customHeight="1">
      <c r="A122" s="2942" t="s">
        <v>303</v>
      </c>
      <c r="B122" s="2942" t="s">
        <v>3074</v>
      </c>
      <c r="C122" s="2942">
        <v>13750</v>
      </c>
      <c r="D122" s="2942">
        <v>13680</v>
      </c>
      <c r="E122" s="2942">
        <v>16460</v>
      </c>
      <c r="F122" s="2942">
        <v>2880</v>
      </c>
      <c r="G122" s="2955">
        <v>9040</v>
      </c>
    </row>
    <row r="123" spans="1:7" s="2776" customFormat="1" ht="14.25" customHeight="1">
      <c r="A123" s="2942" t="s">
        <v>303</v>
      </c>
      <c r="B123" s="2942" t="s">
        <v>3005</v>
      </c>
      <c r="C123" s="2942">
        <v>13590</v>
      </c>
      <c r="D123" s="2942">
        <v>13520</v>
      </c>
      <c r="E123" s="2942">
        <v>16290</v>
      </c>
      <c r="F123" s="2942">
        <v>2790</v>
      </c>
      <c r="G123" s="2955">
        <v>8930</v>
      </c>
    </row>
    <row r="124" spans="1:7" s="2776" customFormat="1" ht="14.25" customHeight="1">
      <c r="A124" s="2942" t="s">
        <v>303</v>
      </c>
      <c r="B124" s="2942" t="s">
        <v>3010</v>
      </c>
      <c r="C124" s="2942">
        <v>13400</v>
      </c>
      <c r="D124" s="2942">
        <v>13320</v>
      </c>
      <c r="E124" s="2942">
        <v>16100</v>
      </c>
      <c r="F124" s="2942">
        <v>2320</v>
      </c>
      <c r="G124" s="2955">
        <v>8800</v>
      </c>
    </row>
    <row r="125" spans="1:7" s="2776" customFormat="1" ht="14.25" customHeight="1">
      <c r="A125" s="2942" t="s">
        <v>303</v>
      </c>
      <c r="B125" s="2942" t="s">
        <v>3015</v>
      </c>
      <c r="C125" s="2942">
        <v>12860</v>
      </c>
      <c r="D125" s="2942">
        <v>12790</v>
      </c>
      <c r="E125" s="2942">
        <v>15370</v>
      </c>
      <c r="F125" s="2942">
        <v>2280</v>
      </c>
      <c r="G125" s="2955">
        <v>8450</v>
      </c>
    </row>
    <row r="126" spans="1:7" s="2776" customFormat="1" ht="14.25" customHeight="1" thickBot="1">
      <c r="A126" s="2956" t="s">
        <v>303</v>
      </c>
      <c r="B126" s="2949" t="s">
        <v>3020</v>
      </c>
      <c r="C126" s="2949">
        <v>12960</v>
      </c>
      <c r="D126" s="2949">
        <v>12890</v>
      </c>
      <c r="E126" s="2949">
        <v>15530</v>
      </c>
      <c r="F126" s="2949">
        <v>2910</v>
      </c>
      <c r="G126" s="2957">
        <v>8520</v>
      </c>
    </row>
    <row r="127" spans="1:7" s="2776" customFormat="1" ht="14.25" customHeight="1">
      <c r="A127" s="2947" t="s">
        <v>29</v>
      </c>
      <c r="B127" s="2938" t="s">
        <v>3075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3076</v>
      </c>
      <c r="C148" s="2942">
        <v>10370</v>
      </c>
      <c r="D148" s="2942">
        <v>10310</v>
      </c>
      <c r="E148" s="2942">
        <v>12970</v>
      </c>
      <c r="F148" s="2942"/>
      <c r="G148" s="2942">
        <v>6630</v>
      </c>
    </row>
    <row r="149" spans="1:7" s="2776" customFormat="1" ht="14.25" customHeight="1">
      <c r="A149" s="2942" t="s">
        <v>29</v>
      </c>
      <c r="B149" s="2942" t="s">
        <v>3077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2951</v>
      </c>
      <c r="C153" s="2942">
        <v>10880</v>
      </c>
      <c r="D153" s="2942">
        <v>10820</v>
      </c>
      <c r="E153" s="2942">
        <v>13660</v>
      </c>
      <c r="F153" s="2942">
        <v>2260</v>
      </c>
      <c r="G153" s="2942">
        <v>6970</v>
      </c>
    </row>
    <row r="154" spans="1:7" s="2776" customFormat="1" ht="14.25" customHeight="1">
      <c r="A154" s="2942" t="s">
        <v>29</v>
      </c>
      <c r="B154" s="2942" t="s">
        <v>3078</v>
      </c>
      <c r="C154" s="2942">
        <v>11220</v>
      </c>
      <c r="D154" s="2942">
        <v>11160</v>
      </c>
      <c r="E154" s="2942">
        <v>14130</v>
      </c>
      <c r="F154" s="2942">
        <v>2230</v>
      </c>
      <c r="G154" s="2942">
        <v>7180</v>
      </c>
    </row>
    <row r="155" spans="1:7" s="2776" customFormat="1" ht="14.25" customHeight="1">
      <c r="A155" s="2942" t="s">
        <v>29</v>
      </c>
      <c r="B155" s="2942" t="s">
        <v>2964</v>
      </c>
      <c r="C155" s="2942">
        <v>10430</v>
      </c>
      <c r="D155" s="2942">
        <v>10380</v>
      </c>
      <c r="E155" s="2942">
        <v>13140</v>
      </c>
      <c r="F155" s="2942">
        <v>2080</v>
      </c>
      <c r="G155" s="2942">
        <v>6650</v>
      </c>
    </row>
    <row r="156" spans="1:7" s="2776" customFormat="1" ht="14.25" customHeight="1">
      <c r="A156" s="2942" t="s">
        <v>29</v>
      </c>
      <c r="B156" s="2942" t="s">
        <v>3079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3080</v>
      </c>
      <c r="C160" s="2942">
        <v>11180</v>
      </c>
      <c r="D160" s="2942">
        <v>11140</v>
      </c>
      <c r="E160" s="2942">
        <v>14050</v>
      </c>
      <c r="F160" s="2942">
        <v>2270</v>
      </c>
      <c r="G160" s="2942">
        <v>7170</v>
      </c>
    </row>
    <row r="161" spans="1:7" s="2776" customFormat="1" ht="14.25" customHeight="1">
      <c r="A161" s="2942" t="s">
        <v>29</v>
      </c>
      <c r="B161" s="2942" t="s">
        <v>2996</v>
      </c>
      <c r="C161" s="2942">
        <v>11160</v>
      </c>
      <c r="D161" s="2942">
        <v>11120</v>
      </c>
      <c r="E161" s="2942">
        <v>14020</v>
      </c>
      <c r="F161" s="2942">
        <v>2150</v>
      </c>
      <c r="G161" s="2942">
        <v>7160</v>
      </c>
    </row>
    <row r="162" spans="1:7" s="2776" customFormat="1" ht="14.25" customHeight="1">
      <c r="A162" s="2942" t="s">
        <v>29</v>
      </c>
      <c r="B162" s="2942" t="s">
        <v>3001</v>
      </c>
      <c r="C162" s="2942">
        <v>9620</v>
      </c>
      <c r="D162" s="2942">
        <v>9570</v>
      </c>
      <c r="E162" s="2942">
        <v>12320</v>
      </c>
      <c r="F162" s="2942">
        <v>2010</v>
      </c>
      <c r="G162" s="2942">
        <v>6160</v>
      </c>
    </row>
    <row r="163" spans="1:7" s="2776" customFormat="1" ht="14.25" customHeight="1">
      <c r="A163" s="2942" t="s">
        <v>29</v>
      </c>
      <c r="B163" s="2942" t="s">
        <v>3006</v>
      </c>
      <c r="C163" s="2942">
        <v>9320</v>
      </c>
      <c r="D163" s="2942">
        <v>9270</v>
      </c>
      <c r="E163" s="2942">
        <v>11790</v>
      </c>
      <c r="F163" s="2942">
        <v>1920</v>
      </c>
      <c r="G163" s="2942">
        <v>5960</v>
      </c>
    </row>
    <row r="164" spans="1:7" s="2776" customFormat="1" ht="14.25" customHeight="1">
      <c r="A164" s="2942" t="s">
        <v>29</v>
      </c>
      <c r="B164" s="2942" t="s">
        <v>3011</v>
      </c>
      <c r="C164" s="2942"/>
      <c r="D164" s="2942"/>
      <c r="E164" s="2942"/>
      <c r="F164" s="2942">
        <v>1980</v>
      </c>
      <c r="G164" s="2942"/>
    </row>
    <row r="165" spans="1:7" s="2776" customFormat="1" ht="14.25" customHeight="1">
      <c r="A165" s="2942" t="s">
        <v>29</v>
      </c>
      <c r="B165" s="2942" t="s">
        <v>3081</v>
      </c>
      <c r="C165" s="2942">
        <v>11060</v>
      </c>
      <c r="D165" s="2942">
        <v>11030</v>
      </c>
      <c r="E165" s="2942">
        <v>13850</v>
      </c>
      <c r="F165" s="2942">
        <v>2170</v>
      </c>
      <c r="G165" s="2942">
        <v>7090</v>
      </c>
    </row>
    <row r="166" spans="1:7" s="2776" customFormat="1" ht="14.25" customHeight="1">
      <c r="A166" s="2942" t="s">
        <v>29</v>
      </c>
      <c r="B166" s="2942" t="s">
        <v>3021</v>
      </c>
      <c r="C166" s="2942">
        <v>11050</v>
      </c>
      <c r="D166" s="2942">
        <v>11010</v>
      </c>
      <c r="E166" s="2942">
        <v>13920</v>
      </c>
      <c r="F166" s="2942">
        <v>2140</v>
      </c>
      <c r="G166" s="2942">
        <v>7080</v>
      </c>
    </row>
    <row r="167" spans="1:7" s="2776" customFormat="1" ht="14.25" customHeight="1">
      <c r="A167" s="2942" t="s">
        <v>29</v>
      </c>
      <c r="B167" s="2942" t="s">
        <v>3025</v>
      </c>
      <c r="C167" s="2942">
        <v>10930</v>
      </c>
      <c r="D167" s="2942">
        <v>10890</v>
      </c>
      <c r="E167" s="2942">
        <v>13790</v>
      </c>
      <c r="F167" s="2942">
        <v>2010</v>
      </c>
      <c r="G167" s="2942">
        <v>7000</v>
      </c>
    </row>
    <row r="168" spans="1:7" s="2776" customFormat="1" ht="14.25" customHeight="1">
      <c r="A168" s="2942" t="s">
        <v>29</v>
      </c>
      <c r="B168" s="2942" t="s">
        <v>3030</v>
      </c>
      <c r="C168" s="2942">
        <v>9420</v>
      </c>
      <c r="D168" s="2942">
        <v>9380</v>
      </c>
      <c r="E168" s="2942">
        <v>11970</v>
      </c>
      <c r="F168" s="2942"/>
      <c r="G168" s="2942">
        <v>6040</v>
      </c>
    </row>
    <row r="169" spans="1:7" s="2776" customFormat="1" ht="14.25" customHeight="1">
      <c r="A169" s="2942" t="s">
        <v>29</v>
      </c>
      <c r="B169" s="2942" t="s">
        <v>3082</v>
      </c>
      <c r="C169" s="2942"/>
      <c r="D169" s="2942"/>
      <c r="E169" s="2942"/>
      <c r="F169" s="2942">
        <v>2880</v>
      </c>
      <c r="G169" s="2942"/>
    </row>
    <row r="170" spans="1:7" s="2776" customFormat="1" ht="14.25" customHeight="1">
      <c r="A170" s="2942" t="s">
        <v>29</v>
      </c>
      <c r="B170" s="2942" t="s">
        <v>3038</v>
      </c>
      <c r="C170" s="2942"/>
      <c r="D170" s="2942"/>
      <c r="E170" s="2942"/>
      <c r="F170" s="2942">
        <v>2880</v>
      </c>
      <c r="G170" s="2942"/>
    </row>
    <row r="171" spans="1:7" s="2776" customFormat="1" ht="14.25" customHeight="1">
      <c r="A171" s="2942" t="s">
        <v>29</v>
      </c>
      <c r="B171" s="2942" t="s">
        <v>3041</v>
      </c>
      <c r="C171" s="2942"/>
      <c r="D171" s="2942"/>
      <c r="E171" s="2942"/>
      <c r="F171" s="2942">
        <v>2880</v>
      </c>
      <c r="G171" s="2942"/>
    </row>
    <row r="172" spans="1:7" s="2776" customFormat="1" ht="14.25" customHeight="1">
      <c r="A172" s="2942" t="s">
        <v>29</v>
      </c>
      <c r="B172" s="2942" t="s">
        <v>3043</v>
      </c>
      <c r="C172" s="2942"/>
      <c r="D172" s="2942"/>
      <c r="E172" s="2942"/>
      <c r="F172" s="2942">
        <v>2880</v>
      </c>
      <c r="G172" s="2942"/>
    </row>
    <row r="173" spans="1:7" s="2776" customFormat="1" ht="14.25" customHeight="1">
      <c r="A173" s="2942" t="s">
        <v>29</v>
      </c>
      <c r="B173" s="2942" t="s">
        <v>3045</v>
      </c>
      <c r="C173" s="2942"/>
      <c r="D173" s="2942"/>
      <c r="E173" s="2942"/>
      <c r="F173" s="2942">
        <v>2150</v>
      </c>
      <c r="G173" s="2942"/>
    </row>
    <row r="174" spans="1:7" s="2776" customFormat="1" ht="14.25" customHeight="1">
      <c r="A174" s="2942" t="s">
        <v>29</v>
      </c>
      <c r="B174" s="2942" t="s">
        <v>3047</v>
      </c>
      <c r="C174" s="2942"/>
      <c r="D174" s="2942"/>
      <c r="E174" s="2942"/>
      <c r="F174" s="2942">
        <v>2030</v>
      </c>
      <c r="G174" s="2942"/>
    </row>
    <row r="175" spans="1:7" s="2776" customFormat="1" ht="14.25" customHeight="1">
      <c r="A175" s="2942" t="s">
        <v>29</v>
      </c>
      <c r="B175" s="2942" t="s">
        <v>3049</v>
      </c>
      <c r="C175" s="2942"/>
      <c r="D175" s="2942"/>
      <c r="E175" s="2942"/>
      <c r="F175" s="2942">
        <v>2780</v>
      </c>
      <c r="G175" s="2942"/>
    </row>
    <row r="176" spans="1:7" s="2776" customFormat="1" ht="14.25" customHeight="1">
      <c r="A176" s="2942" t="s">
        <v>29</v>
      </c>
      <c r="B176" s="2942" t="s">
        <v>3051</v>
      </c>
      <c r="C176" s="2942"/>
      <c r="D176" s="2942"/>
      <c r="E176" s="2942"/>
      <c r="F176" s="2942">
        <v>2780</v>
      </c>
      <c r="G176" s="2942"/>
    </row>
    <row r="177" spans="1:7" s="2776" customFormat="1" ht="14.25" customHeight="1">
      <c r="A177" s="2942" t="s">
        <v>29</v>
      </c>
      <c r="B177" s="2942" t="s">
        <v>3083</v>
      </c>
      <c r="C177" s="2942"/>
      <c r="D177" s="2942"/>
      <c r="E177" s="2942"/>
      <c r="F177" s="2942">
        <v>2780</v>
      </c>
      <c r="G177" s="2942"/>
    </row>
    <row r="178" spans="1:7" s="2776" customFormat="1" ht="14.25" customHeight="1">
      <c r="A178" s="2942" t="s">
        <v>29</v>
      </c>
      <c r="B178" s="2942" t="s">
        <v>3084</v>
      </c>
      <c r="C178" s="2942"/>
      <c r="D178" s="2942"/>
      <c r="E178" s="2942"/>
      <c r="F178" s="2942">
        <v>2060</v>
      </c>
      <c r="G178" s="2942"/>
    </row>
    <row r="179" spans="1:7" s="2776" customFormat="1" ht="14.25" customHeight="1">
      <c r="A179" s="2942" t="s">
        <v>29</v>
      </c>
      <c r="B179" s="2942" t="s">
        <v>3085</v>
      </c>
      <c r="C179" s="2942"/>
      <c r="D179" s="2942"/>
      <c r="E179" s="2942"/>
      <c r="F179" s="2942">
        <v>2120</v>
      </c>
      <c r="G179" s="2942"/>
    </row>
    <row r="180" spans="1:7" s="2776" customFormat="1" ht="14.25" customHeight="1">
      <c r="A180" s="2942" t="s">
        <v>29</v>
      </c>
      <c r="B180" s="2942" t="s">
        <v>3057</v>
      </c>
      <c r="C180" s="2942"/>
      <c r="D180" s="2942"/>
      <c r="E180" s="2942"/>
      <c r="F180" s="2942">
        <v>2340</v>
      </c>
      <c r="G180" s="2942"/>
    </row>
    <row r="181" spans="1:7" s="2776" customFormat="1" ht="14.25" customHeight="1">
      <c r="A181" s="2942" t="s">
        <v>29</v>
      </c>
      <c r="B181" s="2942" t="s">
        <v>3058</v>
      </c>
      <c r="C181" s="2942"/>
      <c r="D181" s="2942"/>
      <c r="E181" s="2942"/>
      <c r="F181" s="2942">
        <v>2340</v>
      </c>
      <c r="G181" s="2942"/>
    </row>
    <row r="182" spans="1:7" s="2776" customFormat="1" ht="14.25" customHeight="1">
      <c r="A182" s="2942" t="s">
        <v>29</v>
      </c>
      <c r="B182" s="2942" t="s">
        <v>3059</v>
      </c>
      <c r="C182" s="2942"/>
      <c r="D182" s="2942"/>
      <c r="E182" s="2942"/>
      <c r="F182" s="2942">
        <v>2340</v>
      </c>
      <c r="G182" s="2942"/>
    </row>
    <row r="183" spans="1:7" s="2776" customFormat="1" ht="14.25" customHeight="1">
      <c r="A183" s="2942" t="s">
        <v>29</v>
      </c>
      <c r="B183" s="2942" t="s">
        <v>3060</v>
      </c>
      <c r="C183" s="2942"/>
      <c r="D183" s="2942"/>
      <c r="E183" s="2942"/>
      <c r="F183" s="2942">
        <v>2340</v>
      </c>
      <c r="G183" s="2942"/>
    </row>
    <row r="184" spans="1:7" s="2776" customFormat="1" ht="14.25" customHeight="1">
      <c r="A184" s="2942" t="s">
        <v>29</v>
      </c>
      <c r="B184" s="2942" t="s">
        <v>3061</v>
      </c>
      <c r="C184" s="2942"/>
      <c r="D184" s="2942"/>
      <c r="E184" s="2942"/>
      <c r="F184" s="2942">
        <v>2340</v>
      </c>
      <c r="G184" s="2942"/>
    </row>
    <row r="185" spans="1:7" s="2776" customFormat="1" ht="14.25" customHeight="1">
      <c r="A185" s="2942" t="s">
        <v>29</v>
      </c>
      <c r="B185" s="2942" t="s">
        <v>3062</v>
      </c>
      <c r="C185" s="2942"/>
      <c r="D185" s="2942"/>
      <c r="E185" s="2942"/>
      <c r="F185" s="2942">
        <v>2530</v>
      </c>
      <c r="G185" s="2942"/>
    </row>
    <row r="186" spans="1:7" s="2776" customFormat="1" ht="14.25" customHeight="1">
      <c r="A186" s="2942" t="s">
        <v>29</v>
      </c>
      <c r="B186" s="2942" t="s">
        <v>3063</v>
      </c>
      <c r="C186" s="2942"/>
      <c r="D186" s="2942"/>
      <c r="E186" s="2942"/>
      <c r="F186" s="2942">
        <v>2550</v>
      </c>
      <c r="G186" s="2942"/>
    </row>
    <row r="187" spans="1:7" s="2776" customFormat="1" ht="14.25" customHeight="1">
      <c r="A187" s="2942" t="s">
        <v>29</v>
      </c>
      <c r="B187" s="2942" t="s">
        <v>3064</v>
      </c>
      <c r="C187" s="2942"/>
      <c r="D187" s="2942"/>
      <c r="E187" s="2942"/>
      <c r="F187" s="2942">
        <v>2070</v>
      </c>
      <c r="G187" s="2942"/>
    </row>
    <row r="188" spans="1:7" s="2776" customFormat="1" ht="14.25" customHeight="1">
      <c r="A188" s="2942" t="s">
        <v>29</v>
      </c>
      <c r="B188" s="2942" t="s">
        <v>3065</v>
      </c>
      <c r="C188" s="2942"/>
      <c r="D188" s="2942"/>
      <c r="E188" s="2942"/>
      <c r="F188" s="2942">
        <v>2340</v>
      </c>
      <c r="G188" s="2942"/>
    </row>
    <row r="189" spans="1:7" s="2776" customFormat="1" ht="14.25" customHeight="1" thickBot="1">
      <c r="A189" s="2950" t="s">
        <v>29</v>
      </c>
      <c r="B189" s="2953" t="s">
        <v>3066</v>
      </c>
      <c r="C189" s="2953"/>
      <c r="D189" s="2953"/>
      <c r="E189" s="2953"/>
      <c r="F189" s="2953">
        <v>2050</v>
      </c>
      <c r="G189" s="2953"/>
    </row>
    <row r="190" spans="1:7" s="2776" customFormat="1" ht="14.25" customHeight="1">
      <c r="A190" s="2947" t="s">
        <v>304</v>
      </c>
      <c r="B190" s="2938" t="s">
        <v>3086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3087</v>
      </c>
      <c r="C199" s="2942">
        <v>8690</v>
      </c>
      <c r="D199" s="2942">
        <v>8630</v>
      </c>
      <c r="E199" s="2942">
        <v>11350</v>
      </c>
      <c r="F199" s="2942">
        <v>1600</v>
      </c>
      <c r="G199" s="2955">
        <v>5450</v>
      </c>
    </row>
    <row r="200" spans="1:7" s="2776" customFormat="1" ht="14.25" customHeight="1">
      <c r="A200" s="2942" t="s">
        <v>304</v>
      </c>
      <c r="B200" s="2942" t="s">
        <v>2898</v>
      </c>
      <c r="C200" s="2942"/>
      <c r="D200" s="2942"/>
      <c r="E200" s="2942"/>
      <c r="F200" s="2942">
        <v>1510</v>
      </c>
      <c r="G200" s="2955"/>
    </row>
    <row r="201" spans="1:7" s="2776" customFormat="1" ht="14.25" customHeight="1">
      <c r="A201" s="2942" t="s">
        <v>304</v>
      </c>
      <c r="B201" s="2942" t="s">
        <v>3088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3089</v>
      </c>
      <c r="C203" s="2942">
        <v>8130</v>
      </c>
      <c r="D203" s="2942">
        <v>8070</v>
      </c>
      <c r="E203" s="2942">
        <v>10820</v>
      </c>
      <c r="F203" s="2942">
        <v>1690</v>
      </c>
      <c r="G203" s="2955">
        <v>5100</v>
      </c>
    </row>
    <row r="204" spans="1:7" s="2776" customFormat="1" ht="14.25" customHeight="1">
      <c r="A204" s="2942" t="s">
        <v>304</v>
      </c>
      <c r="B204" s="2942" t="s">
        <v>2909</v>
      </c>
      <c r="C204" s="2942">
        <v>8350</v>
      </c>
      <c r="D204" s="2942">
        <v>8290</v>
      </c>
      <c r="E204" s="2942">
        <v>11080</v>
      </c>
      <c r="F204" s="2942">
        <v>1450</v>
      </c>
      <c r="G204" s="2955">
        <v>5240</v>
      </c>
    </row>
    <row r="205" spans="1:7" s="2776" customFormat="1" ht="14.25" customHeight="1">
      <c r="A205" s="2942" t="s">
        <v>304</v>
      </c>
      <c r="B205" s="2942" t="s">
        <v>2911</v>
      </c>
      <c r="C205" s="2942">
        <v>7190</v>
      </c>
      <c r="D205" s="2942">
        <v>7130</v>
      </c>
      <c r="E205" s="2942">
        <v>9490</v>
      </c>
      <c r="F205" s="2942">
        <v>1470</v>
      </c>
      <c r="G205" s="2955">
        <v>4510</v>
      </c>
    </row>
    <row r="206" spans="1:7" s="2776" customFormat="1" ht="14.25" customHeight="1">
      <c r="A206" s="2942" t="s">
        <v>304</v>
      </c>
      <c r="B206" s="2942" t="s">
        <v>2914</v>
      </c>
      <c r="C206" s="2942">
        <v>7000</v>
      </c>
      <c r="D206" s="2942">
        <v>6950</v>
      </c>
      <c r="E206" s="2942">
        <v>9170</v>
      </c>
      <c r="F206" s="2942">
        <v>1400</v>
      </c>
      <c r="G206" s="2955">
        <v>4380</v>
      </c>
    </row>
    <row r="207" spans="1:7" s="2776" customFormat="1" ht="14.25" customHeight="1">
      <c r="A207" s="2942" t="s">
        <v>304</v>
      </c>
      <c r="B207" s="2942" t="s">
        <v>2916</v>
      </c>
      <c r="C207" s="2942">
        <v>6950</v>
      </c>
      <c r="D207" s="2942">
        <v>6900</v>
      </c>
      <c r="E207" s="2942">
        <v>9110</v>
      </c>
      <c r="F207" s="2942">
        <v>1790</v>
      </c>
      <c r="G207" s="2955">
        <v>4360</v>
      </c>
    </row>
    <row r="208" spans="1:7" s="2776" customFormat="1" ht="14.25" customHeight="1">
      <c r="A208" s="2942" t="s">
        <v>304</v>
      </c>
      <c r="B208" s="2942" t="s">
        <v>3090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2926</v>
      </c>
      <c r="C210" s="2942">
        <v>8710</v>
      </c>
      <c r="D210" s="2942">
        <v>8660</v>
      </c>
      <c r="E210" s="2942">
        <v>11440</v>
      </c>
      <c r="F210" s="2942">
        <v>1740</v>
      </c>
      <c r="G210" s="2955">
        <v>5470</v>
      </c>
    </row>
    <row r="211" spans="1:7" s="2776" customFormat="1" ht="14.25" customHeight="1">
      <c r="A211" s="2942" t="s">
        <v>304</v>
      </c>
      <c r="B211" s="2942" t="s">
        <v>3091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3092</v>
      </c>
      <c r="C214" s="2942">
        <v>8090</v>
      </c>
      <c r="D214" s="2942">
        <v>8030</v>
      </c>
      <c r="E214" s="2942">
        <v>10780</v>
      </c>
      <c r="F214" s="2942">
        <v>1570</v>
      </c>
      <c r="G214" s="2955">
        <v>5070</v>
      </c>
    </row>
    <row r="215" spans="1:7" s="2776" customFormat="1" ht="14.25" customHeight="1">
      <c r="A215" s="2942" t="s">
        <v>304</v>
      </c>
      <c r="B215" s="2942" t="s">
        <v>3093</v>
      </c>
      <c r="C215" s="2942">
        <v>7950</v>
      </c>
      <c r="D215" s="2942">
        <v>7900</v>
      </c>
      <c r="E215" s="2942">
        <v>10560</v>
      </c>
      <c r="F215" s="2942">
        <v>1630</v>
      </c>
      <c r="G215" s="2955">
        <v>4990</v>
      </c>
    </row>
    <row r="216" spans="1:7" s="2776" customFormat="1" ht="14.25" customHeight="1">
      <c r="A216" s="2942" t="s">
        <v>304</v>
      </c>
      <c r="B216" s="2942" t="s">
        <v>3094</v>
      </c>
      <c r="C216" s="2942">
        <v>8490</v>
      </c>
      <c r="D216" s="2942">
        <v>8440</v>
      </c>
      <c r="E216" s="2942">
        <v>11260</v>
      </c>
      <c r="F216" s="2942">
        <v>1690</v>
      </c>
      <c r="G216" s="2955">
        <v>5330</v>
      </c>
    </row>
    <row r="217" spans="1:7" s="2776" customFormat="1" ht="14.25" customHeight="1">
      <c r="A217" s="2942" t="s">
        <v>304</v>
      </c>
      <c r="B217" s="2942" t="s">
        <v>2959</v>
      </c>
      <c r="C217" s="2942">
        <v>8200</v>
      </c>
      <c r="D217" s="2942">
        <v>8150</v>
      </c>
      <c r="E217" s="2942">
        <v>10910</v>
      </c>
      <c r="F217" s="2942">
        <v>1670</v>
      </c>
      <c r="G217" s="2955">
        <v>5150</v>
      </c>
    </row>
    <row r="218" spans="1:7" s="2776" customFormat="1" ht="14.25" customHeight="1">
      <c r="A218" s="2942" t="s">
        <v>304</v>
      </c>
      <c r="B218" s="2942" t="s">
        <v>3095</v>
      </c>
      <c r="C218" s="2942"/>
      <c r="D218" s="2942"/>
      <c r="E218" s="2942"/>
      <c r="F218" s="2942">
        <v>2040</v>
      </c>
      <c r="G218" s="2955"/>
    </row>
    <row r="219" spans="1:7" s="2776" customFormat="1" ht="14.25" customHeight="1">
      <c r="A219" s="2942" t="s">
        <v>304</v>
      </c>
      <c r="B219" s="2942" t="s">
        <v>3096</v>
      </c>
      <c r="C219" s="2942"/>
      <c r="D219" s="2942"/>
      <c r="E219" s="2942"/>
      <c r="F219" s="2942">
        <v>2040</v>
      </c>
      <c r="G219" s="2955"/>
    </row>
    <row r="220" spans="1:7" s="2776" customFormat="1" ht="14.25" customHeight="1">
      <c r="A220" s="2942" t="s">
        <v>304</v>
      </c>
      <c r="B220" s="2942" t="s">
        <v>3097</v>
      </c>
      <c r="C220" s="2942"/>
      <c r="D220" s="2942"/>
      <c r="E220" s="2942"/>
      <c r="F220" s="2942">
        <v>2040</v>
      </c>
      <c r="G220" s="2955"/>
    </row>
    <row r="221" spans="1:7" s="2776" customFormat="1" ht="14.25" customHeight="1">
      <c r="A221" s="2942" t="s">
        <v>304</v>
      </c>
      <c r="B221" s="2942" t="s">
        <v>3098</v>
      </c>
      <c r="C221" s="2942"/>
      <c r="D221" s="2942"/>
      <c r="E221" s="2942"/>
      <c r="F221" s="2942">
        <v>2040</v>
      </c>
      <c r="G221" s="2955"/>
    </row>
    <row r="222" spans="1:7" s="2776" customFormat="1" ht="14.25" customHeight="1">
      <c r="A222" s="2942" t="s">
        <v>304</v>
      </c>
      <c r="B222" s="2942" t="s">
        <v>3099</v>
      </c>
      <c r="C222" s="2942"/>
      <c r="D222" s="2942"/>
      <c r="E222" s="2942"/>
      <c r="F222" s="2942">
        <v>2040</v>
      </c>
      <c r="G222" s="2955"/>
    </row>
    <row r="223" spans="1:7" s="2776" customFormat="1" ht="14.25" customHeight="1">
      <c r="A223" s="2942" t="s">
        <v>304</v>
      </c>
      <c r="B223" s="2942" t="s">
        <v>3100</v>
      </c>
      <c r="C223" s="2942"/>
      <c r="D223" s="2942"/>
      <c r="E223" s="2942"/>
      <c r="F223" s="2942">
        <v>1930</v>
      </c>
      <c r="G223" s="2955"/>
    </row>
    <row r="224" spans="1:7" s="2776" customFormat="1" ht="14.25" customHeight="1">
      <c r="A224" s="2942" t="s">
        <v>304</v>
      </c>
      <c r="B224" s="2942" t="s">
        <v>3101</v>
      </c>
      <c r="C224" s="2942"/>
      <c r="D224" s="2942"/>
      <c r="E224" s="2942"/>
      <c r="F224" s="2942">
        <v>1930</v>
      </c>
      <c r="G224" s="2955"/>
    </row>
    <row r="225" spans="1:7" s="2776" customFormat="1" ht="14.25" customHeight="1">
      <c r="A225" s="2942" t="s">
        <v>304</v>
      </c>
      <c r="B225" s="2942" t="s">
        <v>3102</v>
      </c>
      <c r="C225" s="2942"/>
      <c r="D225" s="2942"/>
      <c r="E225" s="2942"/>
      <c r="F225" s="2942">
        <v>1930</v>
      </c>
      <c r="G225" s="2955"/>
    </row>
    <row r="226" spans="1:7" s="2776" customFormat="1" ht="14.25" customHeight="1">
      <c r="A226" s="2942" t="s">
        <v>304</v>
      </c>
      <c r="B226" s="2942" t="s">
        <v>3103</v>
      </c>
      <c r="C226" s="2942"/>
      <c r="D226" s="2942"/>
      <c r="E226" s="2942"/>
      <c r="F226" s="2942">
        <v>1700</v>
      </c>
      <c r="G226" s="2955"/>
    </row>
    <row r="227" spans="1:7" s="2776" customFormat="1" ht="14.25" customHeight="1">
      <c r="A227" s="2942" t="s">
        <v>304</v>
      </c>
      <c r="B227" s="2942" t="s">
        <v>3104</v>
      </c>
      <c r="C227" s="2942"/>
      <c r="D227" s="2942"/>
      <c r="E227" s="2942"/>
      <c r="F227" s="2942">
        <v>1520</v>
      </c>
      <c r="G227" s="2955"/>
    </row>
    <row r="228" spans="1:7" s="2776" customFormat="1" ht="14.25" customHeight="1">
      <c r="A228" s="2942" t="s">
        <v>304</v>
      </c>
      <c r="B228" s="2942" t="s">
        <v>3105</v>
      </c>
      <c r="C228" s="2942"/>
      <c r="D228" s="2942"/>
      <c r="E228" s="2942"/>
      <c r="F228" s="2942">
        <v>1520</v>
      </c>
      <c r="G228" s="2955"/>
    </row>
    <row r="229" spans="1:7" s="2776" customFormat="1" ht="14.25" customHeight="1">
      <c r="A229" s="2942" t="s">
        <v>304</v>
      </c>
      <c r="B229" s="2942" t="s">
        <v>3022</v>
      </c>
      <c r="C229" s="2942"/>
      <c r="D229" s="2942"/>
      <c r="E229" s="2942"/>
      <c r="F229" s="2942">
        <v>1520</v>
      </c>
      <c r="G229" s="2955"/>
    </row>
    <row r="230" spans="1:7" s="2776" customFormat="1" ht="14.25" customHeight="1">
      <c r="A230" s="2942" t="s">
        <v>304</v>
      </c>
      <c r="B230" s="2942" t="s">
        <v>3106</v>
      </c>
      <c r="C230" s="2942"/>
      <c r="D230" s="2942"/>
      <c r="E230" s="2942"/>
      <c r="F230" s="2942">
        <v>1820</v>
      </c>
      <c r="G230" s="2955"/>
    </row>
    <row r="231" spans="1:7" s="2776" customFormat="1" ht="14.25" customHeight="1">
      <c r="A231" s="2942" t="s">
        <v>304</v>
      </c>
      <c r="B231" s="2942" t="s">
        <v>3107</v>
      </c>
      <c r="C231" s="2942"/>
      <c r="D231" s="2942"/>
      <c r="E231" s="2942"/>
      <c r="F231" s="2942">
        <v>1760</v>
      </c>
      <c r="G231" s="2955"/>
    </row>
    <row r="232" spans="1:7" s="2776" customFormat="1" ht="14.25" customHeight="1">
      <c r="A232" s="2942" t="s">
        <v>304</v>
      </c>
      <c r="B232" s="2942" t="s">
        <v>3108</v>
      </c>
      <c r="C232" s="2942"/>
      <c r="D232" s="2942"/>
      <c r="E232" s="2942"/>
      <c r="F232" s="2942">
        <v>1840</v>
      </c>
      <c r="G232" s="2955"/>
    </row>
    <row r="233" spans="1:7" s="2776" customFormat="1" ht="14.25" customHeight="1" thickBot="1">
      <c r="A233" s="2956" t="s">
        <v>304</v>
      </c>
      <c r="B233" s="2949" t="s">
        <v>3039</v>
      </c>
      <c r="C233" s="2949"/>
      <c r="D233" s="2949"/>
      <c r="E233" s="2949"/>
      <c r="F233" s="2949">
        <v>1770</v>
      </c>
      <c r="G233" s="2957"/>
    </row>
    <row r="234" spans="1:7" s="2776" customFormat="1" ht="14.25" customHeight="1">
      <c r="A234" s="2947" t="s">
        <v>305</v>
      </c>
      <c r="B234" s="2938" t="s">
        <v>3109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2880</v>
      </c>
      <c r="C238" s="2942">
        <v>6920</v>
      </c>
      <c r="D238" s="2942">
        <v>6890</v>
      </c>
      <c r="E238" s="2942">
        <v>8640</v>
      </c>
      <c r="F238" s="2942">
        <v>1310</v>
      </c>
      <c r="G238" s="2942">
        <v>4230</v>
      </c>
    </row>
    <row r="239" spans="1:7" s="2776" customFormat="1" ht="14.25" customHeight="1">
      <c r="A239" s="2942" t="s">
        <v>305</v>
      </c>
      <c r="B239" s="2942" t="s">
        <v>3110</v>
      </c>
      <c r="C239" s="2942">
        <v>6780</v>
      </c>
      <c r="D239" s="2942">
        <v>6750</v>
      </c>
      <c r="E239" s="2942">
        <v>8440</v>
      </c>
      <c r="F239" s="2942">
        <v>1160</v>
      </c>
      <c r="G239" s="2942">
        <v>4140</v>
      </c>
    </row>
    <row r="240" spans="1:7" s="2776" customFormat="1" ht="14.25" customHeight="1">
      <c r="A240" s="2942" t="s">
        <v>305</v>
      </c>
      <c r="B240" s="2942" t="s">
        <v>3111</v>
      </c>
      <c r="C240" s="2942">
        <v>5420</v>
      </c>
      <c r="D240" s="2942">
        <v>5380</v>
      </c>
      <c r="E240" s="2942">
        <v>6640</v>
      </c>
      <c r="F240" s="2942">
        <v>1020</v>
      </c>
      <c r="G240" s="2942">
        <v>3300</v>
      </c>
    </row>
    <row r="241" spans="1:7" s="2776" customFormat="1" ht="14.25" customHeight="1">
      <c r="A241" s="2942" t="s">
        <v>305</v>
      </c>
      <c r="B241" s="2942" t="s">
        <v>3112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2942</v>
      </c>
      <c r="C258" s="2942">
        <v>6190</v>
      </c>
      <c r="D258" s="2942">
        <v>6160</v>
      </c>
      <c r="E258" s="2942">
        <v>7680</v>
      </c>
      <c r="F258" s="2942">
        <v>1170</v>
      </c>
      <c r="G258" s="2942">
        <v>3780</v>
      </c>
    </row>
    <row r="259" spans="1:7" s="2776" customFormat="1" ht="14.25" customHeight="1">
      <c r="A259" s="2942" t="s">
        <v>305</v>
      </c>
      <c r="B259" s="2942" t="s">
        <v>3118</v>
      </c>
      <c r="C259" s="2942">
        <v>7610</v>
      </c>
      <c r="D259" s="2942">
        <v>7570</v>
      </c>
      <c r="E259" s="2942">
        <v>9350</v>
      </c>
      <c r="F259" s="2942">
        <v>1350</v>
      </c>
      <c r="G259" s="2942">
        <v>4650</v>
      </c>
    </row>
    <row r="260" spans="1:7" s="2776" customFormat="1" ht="14.25" customHeight="1">
      <c r="A260" s="2942" t="s">
        <v>305</v>
      </c>
      <c r="B260" s="2942" t="s">
        <v>3119</v>
      </c>
      <c r="C260" s="2942">
        <v>6920</v>
      </c>
      <c r="D260" s="2942">
        <v>6880</v>
      </c>
      <c r="E260" s="2942">
        <v>8380</v>
      </c>
      <c r="F260" s="2942">
        <v>1160</v>
      </c>
      <c r="G260" s="2942">
        <v>4220</v>
      </c>
    </row>
    <row r="261" spans="1:7" s="2776" customFormat="1" ht="14.25" customHeight="1">
      <c r="A261" s="2942" t="s">
        <v>305</v>
      </c>
      <c r="B261" s="2942" t="s">
        <v>3120</v>
      </c>
      <c r="C261" s="2942">
        <v>6850</v>
      </c>
      <c r="D261" s="2942">
        <v>6810</v>
      </c>
      <c r="E261" s="2942">
        <v>8290</v>
      </c>
      <c r="F261" s="2942">
        <v>1130</v>
      </c>
      <c r="G261" s="2942">
        <v>4180</v>
      </c>
    </row>
    <row r="262" spans="1:7" s="2776" customFormat="1" ht="14.25" customHeight="1">
      <c r="A262" s="2942" t="s">
        <v>305</v>
      </c>
      <c r="B262" s="2942" t="s">
        <v>3121</v>
      </c>
      <c r="C262" s="2942">
        <v>5860</v>
      </c>
      <c r="D262" s="2942">
        <v>5820</v>
      </c>
      <c r="E262" s="2942">
        <v>7640</v>
      </c>
      <c r="F262" s="2942">
        <v>1070</v>
      </c>
      <c r="G262" s="2942">
        <v>3570</v>
      </c>
    </row>
    <row r="263" spans="1:7" s="2776" customFormat="1" ht="14.25" customHeight="1">
      <c r="A263" s="2942" t="s">
        <v>305</v>
      </c>
      <c r="B263" s="2942" t="s">
        <v>3122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3123</v>
      </c>
      <c r="C265" s="2942"/>
      <c r="D265" s="2942"/>
      <c r="E265" s="2942"/>
      <c r="F265" s="2942">
        <v>1500</v>
      </c>
      <c r="G265" s="2942"/>
    </row>
    <row r="266" spans="1:7" s="2776" customFormat="1" ht="14.25" customHeight="1">
      <c r="A266" s="2942" t="s">
        <v>305</v>
      </c>
      <c r="B266" s="2942" t="s">
        <v>3124</v>
      </c>
      <c r="C266" s="2942"/>
      <c r="D266" s="2942"/>
      <c r="E266" s="2942"/>
      <c r="F266" s="2942">
        <v>1500</v>
      </c>
      <c r="G266" s="2942"/>
    </row>
    <row r="267" spans="1:7" s="2776" customFormat="1" ht="14.25" customHeight="1">
      <c r="A267" s="2942" t="s">
        <v>305</v>
      </c>
      <c r="B267" s="2942" t="s">
        <v>3125</v>
      </c>
      <c r="C267" s="2942"/>
      <c r="D267" s="2942"/>
      <c r="E267" s="2942"/>
      <c r="F267" s="2942">
        <v>1500</v>
      </c>
      <c r="G267" s="2942"/>
    </row>
    <row r="268" spans="1:7" s="2776" customFormat="1" ht="14.25" customHeight="1">
      <c r="A268" s="2942" t="s">
        <v>305</v>
      </c>
      <c r="B268" s="2942" t="s">
        <v>3126</v>
      </c>
      <c r="C268" s="2942"/>
      <c r="D268" s="2942"/>
      <c r="E268" s="2942"/>
      <c r="F268" s="2942">
        <v>1290</v>
      </c>
      <c r="G268" s="2942"/>
    </row>
    <row r="269" spans="1:7" s="2776" customFormat="1" ht="14.25" customHeight="1">
      <c r="A269" s="2942" t="s">
        <v>305</v>
      </c>
      <c r="B269" s="2942" t="s">
        <v>3127</v>
      </c>
      <c r="C269" s="2942"/>
      <c r="D269" s="2942"/>
      <c r="E269" s="2942"/>
      <c r="F269" s="2942">
        <v>1150</v>
      </c>
      <c r="G269" s="2942"/>
    </row>
    <row r="270" spans="1:7" s="2776" customFormat="1" ht="14.25" customHeight="1">
      <c r="A270" s="2942" t="s">
        <v>305</v>
      </c>
      <c r="B270" s="2942" t="s">
        <v>3128</v>
      </c>
      <c r="C270" s="2942"/>
      <c r="D270" s="2942"/>
      <c r="E270" s="2942"/>
      <c r="F270" s="2942">
        <v>1380</v>
      </c>
      <c r="G270" s="2942"/>
    </row>
    <row r="271" spans="1:7" s="2776" customFormat="1" ht="14.25" customHeight="1">
      <c r="A271" s="2942" t="s">
        <v>305</v>
      </c>
      <c r="B271" s="2942" t="s">
        <v>3129</v>
      </c>
      <c r="C271" s="2942"/>
      <c r="D271" s="2942"/>
      <c r="E271" s="2942"/>
      <c r="F271" s="2942">
        <v>1460</v>
      </c>
      <c r="G271" s="2942"/>
    </row>
    <row r="272" spans="1:7" s="2776" customFormat="1" ht="14.25" customHeight="1">
      <c r="A272" s="2942" t="s">
        <v>305</v>
      </c>
      <c r="B272" s="2942" t="s">
        <v>3130</v>
      </c>
      <c r="C272" s="2942"/>
      <c r="D272" s="2942"/>
      <c r="E272" s="2942"/>
      <c r="F272" s="2942">
        <v>1460</v>
      </c>
      <c r="G272" s="2942"/>
    </row>
    <row r="273" spans="1:7" s="2776" customFormat="1" ht="14.25" customHeight="1">
      <c r="A273" s="2942" t="s">
        <v>305</v>
      </c>
      <c r="B273" s="2942" t="s">
        <v>3023</v>
      </c>
      <c r="C273" s="2942"/>
      <c r="D273" s="2942"/>
      <c r="E273" s="2942"/>
      <c r="F273" s="2942">
        <v>1490</v>
      </c>
      <c r="G273" s="2942"/>
    </row>
    <row r="274" spans="1:7" s="2776" customFormat="1" ht="14.25" customHeight="1">
      <c r="A274" s="2942" t="s">
        <v>305</v>
      </c>
      <c r="B274" s="2942" t="s">
        <v>3131</v>
      </c>
      <c r="C274" s="2942"/>
      <c r="D274" s="2942"/>
      <c r="E274" s="2942"/>
      <c r="F274" s="2942">
        <v>1490</v>
      </c>
      <c r="G274" s="2942"/>
    </row>
    <row r="275" spans="1:7" s="2776" customFormat="1" ht="14.25" customHeight="1">
      <c r="A275" s="2942" t="s">
        <v>305</v>
      </c>
      <c r="B275" s="2942" t="s">
        <v>3132</v>
      </c>
      <c r="C275" s="2942"/>
      <c r="D275" s="2942"/>
      <c r="E275" s="2942"/>
      <c r="F275" s="2942">
        <v>1220</v>
      </c>
      <c r="G275" s="2942"/>
    </row>
    <row r="276" spans="1:7" s="2776" customFormat="1" ht="14.25" customHeight="1" thickBot="1">
      <c r="A276" s="2950" t="s">
        <v>305</v>
      </c>
      <c r="B276" s="2952" t="s">
        <v>3133</v>
      </c>
      <c r="C276" s="2953"/>
      <c r="D276" s="2953"/>
      <c r="E276" s="2953"/>
      <c r="F276" s="2953">
        <v>1380</v>
      </c>
      <c r="G276" s="2953"/>
    </row>
    <row r="277" spans="1:7" s="2776" customFormat="1" ht="14.25" customHeight="1">
      <c r="A277" s="2947" t="s">
        <v>306</v>
      </c>
      <c r="B277" s="2938" t="s">
        <v>3134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3135</v>
      </c>
      <c r="C279" s="2942">
        <v>4760</v>
      </c>
      <c r="D279" s="2942">
        <v>4720</v>
      </c>
      <c r="E279" s="2942">
        <v>5540</v>
      </c>
      <c r="F279" s="2942">
        <v>810</v>
      </c>
      <c r="G279" s="2955">
        <v>2850</v>
      </c>
    </row>
    <row r="280" spans="1:7" s="2776" customFormat="1" ht="14.25" customHeight="1">
      <c r="A280" s="2942" t="s">
        <v>306</v>
      </c>
      <c r="B280" s="2942" t="s">
        <v>3136</v>
      </c>
      <c r="C280" s="2942">
        <v>4010</v>
      </c>
      <c r="D280" s="2942">
        <v>3950</v>
      </c>
      <c r="E280" s="2942">
        <v>4710</v>
      </c>
      <c r="F280" s="2942">
        <v>800</v>
      </c>
      <c r="G280" s="2955">
        <v>2390</v>
      </c>
    </row>
    <row r="281" spans="1:7" s="2776" customFormat="1" ht="14.25" customHeight="1">
      <c r="A281" s="2942" t="s">
        <v>306</v>
      </c>
      <c r="B281" s="2942" t="s">
        <v>3137</v>
      </c>
      <c r="C281" s="2942">
        <v>4480</v>
      </c>
      <c r="D281" s="2942">
        <v>4420</v>
      </c>
      <c r="E281" s="2942">
        <v>5230</v>
      </c>
      <c r="F281" s="2942">
        <v>870</v>
      </c>
      <c r="G281" s="2955">
        <v>2660</v>
      </c>
    </row>
    <row r="282" spans="1:7" s="2776" customFormat="1" ht="14.25" customHeight="1">
      <c r="A282" s="2942" t="s">
        <v>306</v>
      </c>
      <c r="B282" s="2942" t="s">
        <v>3138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2915</v>
      </c>
      <c r="C293" s="2942">
        <v>5320</v>
      </c>
      <c r="D293" s="2942">
        <v>5270</v>
      </c>
      <c r="E293" s="2942">
        <v>6160</v>
      </c>
      <c r="F293" s="2942">
        <v>990</v>
      </c>
      <c r="G293" s="2955">
        <v>3170</v>
      </c>
    </row>
    <row r="294" spans="1:7" s="2776" customFormat="1" ht="14.25" customHeight="1">
      <c r="A294" s="2942" t="s">
        <v>306</v>
      </c>
      <c r="B294" s="2942" t="s">
        <v>3141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3142</v>
      </c>
      <c r="C302" s="2942">
        <v>5520</v>
      </c>
      <c r="D302" s="2942">
        <v>5470</v>
      </c>
      <c r="E302" s="2942">
        <v>6410</v>
      </c>
      <c r="F302" s="2942">
        <v>950</v>
      </c>
      <c r="G302" s="2955">
        <v>3300</v>
      </c>
    </row>
    <row r="303" spans="1:7" s="2776" customFormat="1" ht="14.25" customHeight="1">
      <c r="A303" s="2942" t="s">
        <v>306</v>
      </c>
      <c r="B303" s="2942" t="s">
        <v>2954</v>
      </c>
      <c r="C303" s="2942">
        <v>5630</v>
      </c>
      <c r="D303" s="2942">
        <v>5590</v>
      </c>
      <c r="E303" s="2942">
        <v>6550</v>
      </c>
      <c r="F303" s="2942">
        <v>1010</v>
      </c>
      <c r="G303" s="2955">
        <v>3370</v>
      </c>
    </row>
    <row r="304" spans="1:7" s="2776" customFormat="1" ht="14.25" customHeight="1">
      <c r="A304" s="2942" t="s">
        <v>306</v>
      </c>
      <c r="B304" s="2942" t="s">
        <v>2961</v>
      </c>
      <c r="C304" s="2942">
        <v>5680</v>
      </c>
      <c r="D304" s="2942">
        <v>5620</v>
      </c>
      <c r="E304" s="2942">
        <v>6620</v>
      </c>
      <c r="F304" s="2942">
        <v>1050</v>
      </c>
      <c r="G304" s="2955">
        <v>3390</v>
      </c>
    </row>
    <row r="305" spans="1:7" s="2776" customFormat="1" ht="14.25" customHeight="1">
      <c r="A305" s="2942" t="s">
        <v>306</v>
      </c>
      <c r="B305" s="2942" t="s">
        <v>2967</v>
      </c>
      <c r="C305" s="2942">
        <v>5590</v>
      </c>
      <c r="D305" s="2942">
        <v>5530</v>
      </c>
      <c r="E305" s="2942">
        <v>6460</v>
      </c>
      <c r="F305" s="2942">
        <v>900</v>
      </c>
      <c r="G305" s="2955">
        <v>3340</v>
      </c>
    </row>
    <row r="306" spans="1:7" s="2776" customFormat="1" ht="14.25" customHeight="1">
      <c r="A306" s="2942" t="s">
        <v>306</v>
      </c>
      <c r="B306" s="2942" t="s">
        <v>3143</v>
      </c>
      <c r="C306" s="2942">
        <v>5560</v>
      </c>
      <c r="D306" s="2942">
        <v>5510</v>
      </c>
      <c r="E306" s="2942">
        <v>6440</v>
      </c>
      <c r="F306" s="2942">
        <v>900</v>
      </c>
      <c r="G306" s="2955">
        <v>3320</v>
      </c>
    </row>
    <row r="307" spans="1:7" s="2776" customFormat="1" ht="14.25" customHeight="1">
      <c r="A307" s="2942" t="s">
        <v>306</v>
      </c>
      <c r="B307" s="2942" t="s">
        <v>2979</v>
      </c>
      <c r="C307" s="2942">
        <v>5650</v>
      </c>
      <c r="D307" s="2942">
        <v>5600</v>
      </c>
      <c r="E307" s="2942">
        <v>6590</v>
      </c>
      <c r="F307" s="2942">
        <v>930</v>
      </c>
      <c r="G307" s="2955">
        <v>3380</v>
      </c>
    </row>
    <row r="308" spans="1:7" s="2776" customFormat="1" ht="14.25" customHeight="1">
      <c r="A308" s="2942" t="s">
        <v>306</v>
      </c>
      <c r="B308" s="2942" t="s">
        <v>3144</v>
      </c>
      <c r="C308" s="2942">
        <v>5620</v>
      </c>
      <c r="D308" s="2942">
        <v>5580</v>
      </c>
      <c r="E308" s="2942">
        <v>6540</v>
      </c>
      <c r="F308" s="2942">
        <v>910</v>
      </c>
      <c r="G308" s="2955">
        <v>3370</v>
      </c>
    </row>
    <row r="309" spans="1:7" s="2776" customFormat="1" ht="14.25" customHeight="1">
      <c r="A309" s="2942" t="s">
        <v>306</v>
      </c>
      <c r="B309" s="2942" t="s">
        <v>3145</v>
      </c>
      <c r="C309" s="2942">
        <v>5060</v>
      </c>
      <c r="D309" s="2942">
        <v>5020</v>
      </c>
      <c r="E309" s="2942">
        <v>6370</v>
      </c>
      <c r="F309" s="2942">
        <v>800</v>
      </c>
      <c r="G309" s="2955">
        <v>3020</v>
      </c>
    </row>
    <row r="310" spans="1:7" s="2776" customFormat="1" ht="14.25" customHeight="1">
      <c r="A310" s="2942" t="s">
        <v>306</v>
      </c>
      <c r="B310" s="2942" t="s">
        <v>2994</v>
      </c>
      <c r="C310" s="2942">
        <v>5150</v>
      </c>
      <c r="D310" s="2942">
        <v>5110</v>
      </c>
      <c r="E310" s="2942">
        <v>6500</v>
      </c>
      <c r="F310" s="2942">
        <v>880</v>
      </c>
      <c r="G310" s="2955">
        <v>3080</v>
      </c>
    </row>
    <row r="311" spans="1:7" s="2776" customFormat="1" ht="14.25" customHeight="1">
      <c r="A311" s="2942" t="s">
        <v>306</v>
      </c>
      <c r="B311" s="2942" t="s">
        <v>3146</v>
      </c>
      <c r="C311" s="2942">
        <v>4750</v>
      </c>
      <c r="D311" s="2942">
        <v>4710</v>
      </c>
      <c r="E311" s="2942">
        <v>5510</v>
      </c>
      <c r="F311" s="2942">
        <v>880</v>
      </c>
      <c r="G311" s="2955">
        <v>2840</v>
      </c>
    </row>
    <row r="312" spans="1:7" s="2776" customFormat="1" ht="14.25" customHeight="1">
      <c r="A312" s="2942" t="s">
        <v>306</v>
      </c>
      <c r="B312" s="2942" t="s">
        <v>3004</v>
      </c>
      <c r="C312" s="2942">
        <v>4690</v>
      </c>
      <c r="D312" s="2942">
        <v>4640</v>
      </c>
      <c r="E312" s="2942">
        <v>5420</v>
      </c>
      <c r="F312" s="2942">
        <v>800</v>
      </c>
      <c r="G312" s="2955">
        <v>2800</v>
      </c>
    </row>
    <row r="313" spans="1:7" s="2776" customFormat="1" ht="14.25" customHeight="1">
      <c r="A313" s="2942" t="s">
        <v>306</v>
      </c>
      <c r="B313" s="2942" t="s">
        <v>3009</v>
      </c>
      <c r="C313" s="2942">
        <v>4810</v>
      </c>
      <c r="D313" s="2942">
        <v>4760</v>
      </c>
      <c r="E313" s="2942">
        <v>5550</v>
      </c>
      <c r="F313" s="2942">
        <v>920</v>
      </c>
      <c r="G313" s="2955">
        <v>2870</v>
      </c>
    </row>
    <row r="314" spans="1:7" s="2776" customFormat="1" ht="14.25" customHeight="1">
      <c r="A314" s="2942" t="s">
        <v>306</v>
      </c>
      <c r="B314" s="2942" t="s">
        <v>3147</v>
      </c>
      <c r="C314" s="2942"/>
      <c r="D314" s="2942"/>
      <c r="E314" s="2942"/>
      <c r="F314" s="2942">
        <v>1020</v>
      </c>
      <c r="G314" s="2955"/>
    </row>
    <row r="315" spans="1:7" s="2776" customFormat="1" ht="14.25" customHeight="1">
      <c r="A315" s="2942" t="s">
        <v>306</v>
      </c>
      <c r="B315" s="2942" t="s">
        <v>3148</v>
      </c>
      <c r="C315" s="2942"/>
      <c r="D315" s="2942"/>
      <c r="E315" s="2942"/>
      <c r="F315" s="2942">
        <v>1050</v>
      </c>
      <c r="G315" s="2955"/>
    </row>
    <row r="316" spans="1:7" s="2776" customFormat="1" ht="14.25" customHeight="1">
      <c r="A316" s="2942" t="s">
        <v>306</v>
      </c>
      <c r="B316" s="2942" t="s">
        <v>3024</v>
      </c>
      <c r="C316" s="2942"/>
      <c r="D316" s="2942"/>
      <c r="E316" s="2942"/>
      <c r="F316" s="2942">
        <v>900</v>
      </c>
      <c r="G316" s="2955"/>
    </row>
    <row r="317" spans="1:7" s="2776" customFormat="1" ht="14.25" customHeight="1">
      <c r="A317" s="2942" t="s">
        <v>306</v>
      </c>
      <c r="B317" s="2942" t="s">
        <v>3149</v>
      </c>
      <c r="C317" s="2942"/>
      <c r="D317" s="2942"/>
      <c r="E317" s="2942"/>
      <c r="F317" s="2942">
        <v>920</v>
      </c>
      <c r="G317" s="2955"/>
    </row>
    <row r="318" spans="1:7" s="2776" customFormat="1" ht="14.25" customHeight="1">
      <c r="A318" s="2942" t="s">
        <v>306</v>
      </c>
      <c r="B318" s="2942" t="s">
        <v>3150</v>
      </c>
      <c r="C318" s="2942"/>
      <c r="D318" s="2942"/>
      <c r="E318" s="2942"/>
      <c r="F318" s="2942">
        <v>1080</v>
      </c>
      <c r="G318" s="2955"/>
    </row>
    <row r="319" spans="1:7" s="2776" customFormat="1" ht="14.25" customHeight="1">
      <c r="A319" s="2942" t="s">
        <v>306</v>
      </c>
      <c r="B319" s="2942" t="s">
        <v>3037</v>
      </c>
      <c r="C319" s="2942"/>
      <c r="D319" s="2942"/>
      <c r="E319" s="2942"/>
      <c r="F319" s="2942">
        <v>1020</v>
      </c>
      <c r="G319" s="2955"/>
    </row>
    <row r="320" spans="1:7" s="2776" customFormat="1" ht="14.25" customHeight="1">
      <c r="A320" s="2942" t="s">
        <v>306</v>
      </c>
      <c r="B320" s="2942" t="s">
        <v>3040</v>
      </c>
      <c r="C320" s="2942"/>
      <c r="D320" s="2942"/>
      <c r="E320" s="2942"/>
      <c r="F320" s="2942">
        <v>1050</v>
      </c>
      <c r="G320" s="2955"/>
    </row>
    <row r="321" spans="1:7" s="2776" customFormat="1" ht="14.25" customHeight="1">
      <c r="A321" s="2942" t="s">
        <v>306</v>
      </c>
      <c r="B321" s="2942" t="s">
        <v>3042</v>
      </c>
      <c r="C321" s="2942"/>
      <c r="D321" s="2942"/>
      <c r="E321" s="2942"/>
      <c r="F321" s="2942">
        <v>960</v>
      </c>
      <c r="G321" s="2955"/>
    </row>
    <row r="322" spans="1:7" s="2776" customFormat="1" ht="14.25" customHeight="1">
      <c r="A322" s="2942" t="s">
        <v>306</v>
      </c>
      <c r="B322" s="2942" t="s">
        <v>3044</v>
      </c>
      <c r="C322" s="2942"/>
      <c r="D322" s="2942"/>
      <c r="E322" s="2942"/>
      <c r="F322" s="2942">
        <v>960</v>
      </c>
      <c r="G322" s="2955"/>
    </row>
    <row r="323" spans="1:7" s="2776" customFormat="1" ht="14.25" customHeight="1">
      <c r="A323" s="2942" t="s">
        <v>306</v>
      </c>
      <c r="B323" s="2942" t="s">
        <v>3046</v>
      </c>
      <c r="C323" s="2942"/>
      <c r="D323" s="2942"/>
      <c r="E323" s="2942"/>
      <c r="F323" s="2942">
        <v>880</v>
      </c>
      <c r="G323" s="2955"/>
    </row>
    <row r="324" spans="1:7" s="2776" customFormat="1" ht="14.25" customHeight="1">
      <c r="A324" s="2942" t="s">
        <v>306</v>
      </c>
      <c r="B324" s="2942" t="s">
        <v>3048</v>
      </c>
      <c r="C324" s="2942"/>
      <c r="D324" s="2942"/>
      <c r="E324" s="2942"/>
      <c r="F324" s="2942">
        <v>930</v>
      </c>
      <c r="G324" s="2955"/>
    </row>
    <row r="325" spans="1:7" s="2776" customFormat="1" ht="14.25" customHeight="1">
      <c r="A325" s="2942" t="s">
        <v>306</v>
      </c>
      <c r="B325" s="2943" t="s">
        <v>3050</v>
      </c>
      <c r="C325" s="2942"/>
      <c r="D325" s="2942"/>
      <c r="E325" s="2942"/>
      <c r="F325" s="2942">
        <v>900</v>
      </c>
      <c r="G325" s="2955"/>
    </row>
    <row r="326" spans="1:7" s="2776" customFormat="1" ht="14.25" customHeight="1" thickBot="1">
      <c r="A326" s="2956" t="s">
        <v>306</v>
      </c>
      <c r="B326" s="2949" t="s">
        <v>3052</v>
      </c>
      <c r="C326" s="2949"/>
      <c r="D326" s="2949"/>
      <c r="E326" s="2949"/>
      <c r="F326" s="2949">
        <v>790</v>
      </c>
      <c r="G326" s="2957"/>
    </row>
    <row r="327" spans="1:7" s="2776" customFormat="1" ht="14.25" customHeight="1">
      <c r="A327" s="2947" t="s">
        <v>307</v>
      </c>
      <c r="B327" s="2938" t="s">
        <v>3151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3152</v>
      </c>
      <c r="C329" s="2942">
        <v>2730</v>
      </c>
      <c r="D329" s="2942">
        <v>2690</v>
      </c>
      <c r="E329" s="2942">
        <v>3100</v>
      </c>
      <c r="F329" s="2942">
        <v>660</v>
      </c>
      <c r="G329" s="2942">
        <v>1610</v>
      </c>
    </row>
    <row r="330" spans="1:7" s="2776" customFormat="1" ht="14.25" customHeight="1">
      <c r="A330" s="2942" t="s">
        <v>307</v>
      </c>
      <c r="B330" s="2942" t="s">
        <v>3153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2886</v>
      </c>
      <c r="C332" s="2942">
        <v>3520</v>
      </c>
      <c r="D332" s="2942">
        <v>3480</v>
      </c>
      <c r="E332" s="2942">
        <v>3830</v>
      </c>
      <c r="F332" s="2942">
        <v>720</v>
      </c>
      <c r="G332" s="2942">
        <v>2090</v>
      </c>
    </row>
    <row r="333" spans="1:7" s="2776" customFormat="1" ht="14.25" customHeight="1">
      <c r="A333" s="2942" t="s">
        <v>307</v>
      </c>
      <c r="B333" s="2942" t="s">
        <v>3154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2896</v>
      </c>
      <c r="C336" s="2942">
        <v>3570</v>
      </c>
      <c r="D336" s="2942">
        <v>3530</v>
      </c>
      <c r="E336" s="2942">
        <v>3880</v>
      </c>
      <c r="F336" s="2942">
        <v>770</v>
      </c>
      <c r="G336" s="2942">
        <v>2110</v>
      </c>
    </row>
    <row r="337" spans="1:10" s="2776" customFormat="1" ht="14.25" customHeight="1">
      <c r="A337" s="2942" t="s">
        <v>307</v>
      </c>
      <c r="B337" s="2942" t="s">
        <v>3155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2921</v>
      </c>
      <c r="C345" s="2942">
        <v>3190</v>
      </c>
      <c r="D345" s="2942">
        <v>3140</v>
      </c>
      <c r="E345" s="2942">
        <v>3450</v>
      </c>
      <c r="F345" s="2942">
        <v>720</v>
      </c>
      <c r="G345" s="2942">
        <v>1880</v>
      </c>
      <c r="J345" s="2776"/>
    </row>
    <row r="346" spans="1:10">
      <c r="A346" s="2942" t="s">
        <v>307</v>
      </c>
      <c r="B346" s="2942" t="s">
        <v>3158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2930</v>
      </c>
      <c r="C348" s="2942">
        <v>4000</v>
      </c>
      <c r="D348" s="2942">
        <v>3950</v>
      </c>
      <c r="E348" s="2942">
        <v>4430</v>
      </c>
      <c r="F348" s="2942">
        <v>760</v>
      </c>
      <c r="G348" s="2942">
        <v>2360</v>
      </c>
      <c r="J348" s="2776"/>
    </row>
    <row r="349" spans="1:10">
      <c r="A349" s="2942" t="s">
        <v>307</v>
      </c>
      <c r="B349" s="2942" t="s">
        <v>2935</v>
      </c>
      <c r="C349" s="2942">
        <v>3820</v>
      </c>
      <c r="D349" s="2942">
        <v>3780</v>
      </c>
      <c r="E349" s="2942">
        <v>4170</v>
      </c>
      <c r="F349" s="2942">
        <v>710</v>
      </c>
      <c r="G349" s="2942">
        <v>2260</v>
      </c>
      <c r="J349" s="2776"/>
    </row>
    <row r="350" spans="1:10">
      <c r="A350" s="2942" t="s">
        <v>307</v>
      </c>
      <c r="B350" s="2942" t="s">
        <v>3159</v>
      </c>
      <c r="C350" s="2942">
        <v>3760</v>
      </c>
      <c r="D350" s="2942">
        <v>3730</v>
      </c>
      <c r="E350" s="2942">
        <v>4100</v>
      </c>
      <c r="F350" s="2942">
        <v>800</v>
      </c>
      <c r="G350" s="2942">
        <v>2230</v>
      </c>
      <c r="J350" s="2776"/>
    </row>
    <row r="351" spans="1:10">
      <c r="A351" s="2942" t="s">
        <v>307</v>
      </c>
      <c r="B351" s="2942" t="s">
        <v>2943</v>
      </c>
      <c r="C351" s="2942">
        <v>3610</v>
      </c>
      <c r="D351" s="2942">
        <v>3580</v>
      </c>
      <c r="E351" s="2942">
        <v>3930</v>
      </c>
      <c r="F351" s="2942">
        <v>700</v>
      </c>
      <c r="G351" s="2942">
        <v>2140</v>
      </c>
      <c r="J351" s="2776"/>
    </row>
    <row r="352" spans="1:10">
      <c r="A352" s="2942" t="s">
        <v>307</v>
      </c>
      <c r="B352" s="2942" t="s">
        <v>2948</v>
      </c>
      <c r="C352" s="2942">
        <v>3670</v>
      </c>
      <c r="D352" s="2942">
        <v>3630</v>
      </c>
      <c r="E352" s="2942">
        <v>4000</v>
      </c>
      <c r="F352" s="2942">
        <v>750</v>
      </c>
      <c r="G352" s="2942">
        <v>2180</v>
      </c>
    </row>
    <row r="353" spans="1:7" s="2777" customFormat="1">
      <c r="A353" s="2942" t="s">
        <v>307</v>
      </c>
      <c r="B353" s="2942" t="s">
        <v>3160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2968</v>
      </c>
      <c r="C355" s="2942">
        <v>3650</v>
      </c>
      <c r="D355" s="2942">
        <v>3610</v>
      </c>
      <c r="E355" s="2942">
        <v>4200</v>
      </c>
      <c r="F355" s="2942">
        <v>640</v>
      </c>
      <c r="G355" s="2942">
        <v>2160</v>
      </c>
    </row>
    <row r="356" spans="1:7" s="2777" customFormat="1">
      <c r="A356" s="2942" t="s">
        <v>307</v>
      </c>
      <c r="B356" s="2942" t="s">
        <v>2975</v>
      </c>
      <c r="C356" s="2942">
        <v>3260</v>
      </c>
      <c r="D356" s="2942">
        <v>3230</v>
      </c>
      <c r="E356" s="2942">
        <v>3740</v>
      </c>
      <c r="F356" s="2942">
        <v>600</v>
      </c>
      <c r="G356" s="2942">
        <v>1930</v>
      </c>
    </row>
    <row r="357" spans="1:7" s="2777" customFormat="1" ht="12" thickBot="1">
      <c r="A357" s="2950" t="s">
        <v>307</v>
      </c>
      <c r="B357" s="2953" t="s">
        <v>3161</v>
      </c>
      <c r="C357" s="2953">
        <v>3690</v>
      </c>
      <c r="D357" s="2953">
        <v>3650</v>
      </c>
      <c r="E357" s="2953">
        <v>4020</v>
      </c>
      <c r="F357" s="2953">
        <v>700</v>
      </c>
      <c r="G357" s="2953">
        <v>2190</v>
      </c>
    </row>
    <row r="358" spans="1:7" s="2777" customFormat="1">
      <c r="A358" s="2947" t="s">
        <v>3162</v>
      </c>
      <c r="B358" s="2938" t="s">
        <v>3163</v>
      </c>
      <c r="C358" s="2938">
        <v>2080</v>
      </c>
      <c r="D358" s="2938">
        <v>2040</v>
      </c>
      <c r="E358" s="2938">
        <v>2010</v>
      </c>
      <c r="F358" s="2938">
        <v>530</v>
      </c>
      <c r="G358" s="2954">
        <v>1230</v>
      </c>
    </row>
    <row r="359" spans="1:7" s="2777" customFormat="1">
      <c r="A359" s="2942" t="s">
        <v>3162</v>
      </c>
      <c r="B359" s="2942" t="s">
        <v>3164</v>
      </c>
      <c r="C359" s="2942">
        <v>1850</v>
      </c>
      <c r="D359" s="2942">
        <v>1820</v>
      </c>
      <c r="E359" s="2942">
        <v>1780</v>
      </c>
      <c r="F359" s="2942">
        <v>520</v>
      </c>
      <c r="G359" s="2955">
        <v>1100</v>
      </c>
    </row>
    <row r="360" spans="1:7" s="2777" customFormat="1">
      <c r="A360" s="2942" t="s">
        <v>3162</v>
      </c>
      <c r="B360" s="2942" t="s">
        <v>3165</v>
      </c>
      <c r="C360" s="2942">
        <v>2020</v>
      </c>
      <c r="D360" s="2942">
        <v>1990</v>
      </c>
      <c r="E360" s="2942">
        <v>1950</v>
      </c>
      <c r="F360" s="2942">
        <v>500</v>
      </c>
      <c r="G360" s="2955">
        <v>1200</v>
      </c>
    </row>
    <row r="361" spans="1:7" s="2777" customFormat="1">
      <c r="A361" s="2942" t="s">
        <v>3162</v>
      </c>
      <c r="B361" s="2942" t="s">
        <v>153</v>
      </c>
      <c r="C361" s="2942">
        <v>2260</v>
      </c>
      <c r="D361" s="2942">
        <v>2220</v>
      </c>
      <c r="E361" s="2942">
        <v>2180</v>
      </c>
      <c r="F361" s="2942">
        <v>580</v>
      </c>
      <c r="G361" s="2955">
        <v>1340</v>
      </c>
    </row>
    <row r="362" spans="1:7" s="2777" customFormat="1">
      <c r="A362" s="2942" t="s">
        <v>3162</v>
      </c>
      <c r="B362" s="2942" t="s">
        <v>3166</v>
      </c>
      <c r="C362" s="2942">
        <v>2650</v>
      </c>
      <c r="D362" s="2942">
        <v>2610</v>
      </c>
      <c r="E362" s="2942">
        <v>2570</v>
      </c>
      <c r="F362" s="2942">
        <v>630</v>
      </c>
      <c r="G362" s="2955">
        <v>1570</v>
      </c>
    </row>
    <row r="363" spans="1:7" s="2777" customFormat="1">
      <c r="A363" s="2942" t="s">
        <v>3162</v>
      </c>
      <c r="B363" s="2942" t="s">
        <v>2887</v>
      </c>
      <c r="C363" s="2942">
        <v>2390</v>
      </c>
      <c r="D363" s="2942">
        <v>2360</v>
      </c>
      <c r="E363" s="2942">
        <v>2320</v>
      </c>
      <c r="F363" s="2942">
        <v>600</v>
      </c>
      <c r="G363" s="2955">
        <v>1420</v>
      </c>
    </row>
    <row r="364" spans="1:7" s="2777" customFormat="1">
      <c r="A364" s="2942" t="s">
        <v>3162</v>
      </c>
      <c r="B364" s="2942" t="s">
        <v>3167</v>
      </c>
      <c r="C364" s="2942">
        <v>2050</v>
      </c>
      <c r="D364" s="2942">
        <v>2030</v>
      </c>
      <c r="E364" s="2942">
        <v>1990</v>
      </c>
      <c r="F364" s="2942">
        <v>550</v>
      </c>
      <c r="G364" s="2955">
        <v>1220</v>
      </c>
    </row>
    <row r="365" spans="1:7" s="2777" customFormat="1">
      <c r="A365" s="2942" t="s">
        <v>3162</v>
      </c>
      <c r="B365" s="2942" t="s">
        <v>200</v>
      </c>
      <c r="C365" s="2942">
        <v>2140</v>
      </c>
      <c r="D365" s="2942">
        <v>2100</v>
      </c>
      <c r="E365" s="2942">
        <v>2060</v>
      </c>
      <c r="F365" s="2942">
        <v>540</v>
      </c>
      <c r="G365" s="2955">
        <v>1270</v>
      </c>
    </row>
    <row r="366" spans="1:7" s="2777" customFormat="1">
      <c r="A366" s="2942" t="s">
        <v>3162</v>
      </c>
      <c r="B366" s="2942" t="s">
        <v>2894</v>
      </c>
      <c r="C366" s="2942">
        <v>2410</v>
      </c>
      <c r="D366" s="2942">
        <v>2370</v>
      </c>
      <c r="E366" s="2942">
        <v>2330</v>
      </c>
      <c r="F366" s="2942">
        <v>570</v>
      </c>
      <c r="G366" s="2955">
        <v>1440</v>
      </c>
    </row>
    <row r="367" spans="1:7" s="2777" customFormat="1">
      <c r="A367" s="2942" t="s">
        <v>3162</v>
      </c>
      <c r="B367" s="2942" t="s">
        <v>3168</v>
      </c>
      <c r="C367" s="2942">
        <v>2300</v>
      </c>
      <c r="D367" s="2942">
        <v>2260</v>
      </c>
      <c r="E367" s="2942">
        <v>2220</v>
      </c>
      <c r="F367" s="2942">
        <v>560</v>
      </c>
      <c r="G367" s="2955">
        <v>1370</v>
      </c>
    </row>
    <row r="368" spans="1:7" s="2777" customFormat="1">
      <c r="A368" s="2942" t="s">
        <v>3162</v>
      </c>
      <c r="B368" s="2942" t="s">
        <v>3169</v>
      </c>
      <c r="C368" s="2942">
        <v>2430</v>
      </c>
      <c r="D368" s="2942">
        <v>2390</v>
      </c>
      <c r="E368" s="2942">
        <v>2350</v>
      </c>
      <c r="F368" s="2942">
        <v>570</v>
      </c>
      <c r="G368" s="2955">
        <v>1450</v>
      </c>
    </row>
    <row r="369" spans="1:7" s="2777" customFormat="1">
      <c r="A369" s="2942" t="s">
        <v>3162</v>
      </c>
      <c r="B369" s="2942" t="s">
        <v>214</v>
      </c>
      <c r="C369" s="2942">
        <v>2320</v>
      </c>
      <c r="D369" s="2942">
        <v>2290</v>
      </c>
      <c r="E369" s="2942">
        <v>2250</v>
      </c>
      <c r="F369" s="2942">
        <v>550</v>
      </c>
      <c r="G369" s="2955">
        <v>1380</v>
      </c>
    </row>
    <row r="370" spans="1:7" s="2777" customFormat="1">
      <c r="A370" s="2942" t="s">
        <v>3162</v>
      </c>
      <c r="B370" s="2942" t="s">
        <v>221</v>
      </c>
      <c r="C370" s="2942">
        <v>2190</v>
      </c>
      <c r="D370" s="2942">
        <v>2170</v>
      </c>
      <c r="E370" s="2942">
        <v>2130</v>
      </c>
      <c r="F370" s="2942">
        <v>530</v>
      </c>
      <c r="G370" s="2955">
        <v>1310</v>
      </c>
    </row>
    <row r="371" spans="1:7" s="2777" customFormat="1">
      <c r="A371" s="2942" t="s">
        <v>3162</v>
      </c>
      <c r="B371" s="2942" t="s">
        <v>229</v>
      </c>
      <c r="C371" s="2942">
        <v>2460</v>
      </c>
      <c r="D371" s="2942">
        <v>2420</v>
      </c>
      <c r="E371" s="2942">
        <v>2370</v>
      </c>
      <c r="F371" s="2942">
        <v>560</v>
      </c>
      <c r="G371" s="2955">
        <v>1470</v>
      </c>
    </row>
    <row r="372" spans="1:7" s="2777" customFormat="1">
      <c r="A372" s="2942" t="s">
        <v>3162</v>
      </c>
      <c r="B372" s="2942" t="s">
        <v>3170</v>
      </c>
      <c r="C372" s="2942">
        <v>2250</v>
      </c>
      <c r="D372" s="2942">
        <v>2210</v>
      </c>
      <c r="E372" s="2942">
        <v>2180</v>
      </c>
      <c r="F372" s="2942">
        <v>550</v>
      </c>
      <c r="G372" s="2955">
        <v>1340</v>
      </c>
    </row>
    <row r="373" spans="1:7" s="2777" customFormat="1">
      <c r="A373" s="2942" t="s">
        <v>3162</v>
      </c>
      <c r="B373" s="2942" t="s">
        <v>258</v>
      </c>
      <c r="C373" s="2942">
        <v>2210</v>
      </c>
      <c r="D373" s="2942">
        <v>2190</v>
      </c>
      <c r="E373" s="2942">
        <v>2150</v>
      </c>
      <c r="F373" s="2942">
        <v>530</v>
      </c>
      <c r="G373" s="2955">
        <v>1320</v>
      </c>
    </row>
    <row r="374" spans="1:7" s="2777" customFormat="1">
      <c r="A374" s="2942" t="s">
        <v>3162</v>
      </c>
      <c r="B374" s="2942" t="s">
        <v>266</v>
      </c>
      <c r="C374" s="2942">
        <v>2320</v>
      </c>
      <c r="D374" s="2942">
        <v>2280</v>
      </c>
      <c r="E374" s="2942">
        <v>2230</v>
      </c>
      <c r="F374" s="2942">
        <v>580</v>
      </c>
      <c r="G374" s="2955">
        <v>1380</v>
      </c>
    </row>
    <row r="375" spans="1:7" s="2777" customFormat="1">
      <c r="A375" s="2942" t="s">
        <v>3162</v>
      </c>
      <c r="B375" s="2942" t="s">
        <v>3171</v>
      </c>
      <c r="C375" s="2942">
        <v>2090</v>
      </c>
      <c r="D375" s="2942">
        <v>2050</v>
      </c>
      <c r="E375" s="2942">
        <v>2020</v>
      </c>
      <c r="F375" s="2942">
        <v>520</v>
      </c>
      <c r="G375" s="2955">
        <v>1240</v>
      </c>
    </row>
    <row r="376" spans="1:7" s="2777" customFormat="1">
      <c r="A376" s="2942" t="s">
        <v>3162</v>
      </c>
      <c r="B376" s="2942" t="s">
        <v>277</v>
      </c>
      <c r="C376" s="2942">
        <v>2010</v>
      </c>
      <c r="D376" s="2942">
        <v>1980</v>
      </c>
      <c r="E376" s="2942">
        <v>1940</v>
      </c>
      <c r="F376" s="2942">
        <v>540</v>
      </c>
      <c r="G376" s="2955">
        <v>1190</v>
      </c>
    </row>
    <row r="377" spans="1:7" s="2777" customFormat="1" ht="12" thickBot="1">
      <c r="A377" s="2950" t="s">
        <v>3162</v>
      </c>
      <c r="B377" s="2953" t="s">
        <v>2924</v>
      </c>
      <c r="C377" s="2953">
        <v>1930</v>
      </c>
      <c r="D377" s="2953">
        <v>1890</v>
      </c>
      <c r="E377" s="2953">
        <v>1860</v>
      </c>
      <c r="F377" s="2953">
        <v>530</v>
      </c>
      <c r="G377" s="2958">
        <v>1150</v>
      </c>
    </row>
    <row r="378" spans="1:7" s="2777" customFormat="1">
      <c r="A378" s="2959" t="s">
        <v>3172</v>
      </c>
      <c r="B378" s="2938" t="s">
        <v>3173</v>
      </c>
      <c r="C378" s="2938">
        <v>1520</v>
      </c>
      <c r="D378" s="2938">
        <v>1490</v>
      </c>
      <c r="E378" s="2938">
        <v>1460</v>
      </c>
      <c r="F378" s="2938">
        <v>460</v>
      </c>
      <c r="G378" s="2954">
        <v>940</v>
      </c>
    </row>
    <row r="379" spans="1:7" s="2777" customFormat="1">
      <c r="A379" s="2960" t="s">
        <v>3172</v>
      </c>
      <c r="B379" s="2942" t="s">
        <v>3174</v>
      </c>
      <c r="C379" s="2942">
        <v>1500</v>
      </c>
      <c r="D379" s="2942">
        <v>1470</v>
      </c>
      <c r="E379" s="2942">
        <v>1430</v>
      </c>
      <c r="F379" s="2942">
        <v>460</v>
      </c>
      <c r="G379" s="2955">
        <v>920</v>
      </c>
    </row>
    <row r="380" spans="1:7" s="2777" customFormat="1">
      <c r="A380" s="2960" t="s">
        <v>3172</v>
      </c>
      <c r="B380" s="2942" t="s">
        <v>3175</v>
      </c>
      <c r="C380" s="2942">
        <v>1620</v>
      </c>
      <c r="D380" s="2942">
        <v>1590</v>
      </c>
      <c r="E380" s="2942">
        <v>1560</v>
      </c>
      <c r="F380" s="2942">
        <v>480</v>
      </c>
      <c r="G380" s="2955">
        <v>1000</v>
      </c>
    </row>
    <row r="381" spans="1:7" s="2777" customFormat="1">
      <c r="A381" s="2960" t="s">
        <v>3172</v>
      </c>
      <c r="B381" s="2942" t="s">
        <v>3176</v>
      </c>
      <c r="C381" s="2942">
        <v>1460</v>
      </c>
      <c r="D381" s="2942">
        <v>1430</v>
      </c>
      <c r="E381" s="2942">
        <v>1390</v>
      </c>
      <c r="F381" s="2942">
        <v>450</v>
      </c>
      <c r="G381" s="2955">
        <v>900</v>
      </c>
    </row>
    <row r="382" spans="1:7" s="2777" customFormat="1">
      <c r="A382" s="2960" t="s">
        <v>3172</v>
      </c>
      <c r="B382" s="2942" t="s">
        <v>3177</v>
      </c>
      <c r="C382" s="2942">
        <v>1310</v>
      </c>
      <c r="D382" s="2942">
        <v>1280</v>
      </c>
      <c r="E382" s="2942">
        <v>1250</v>
      </c>
      <c r="F382" s="2942">
        <v>440</v>
      </c>
      <c r="G382" s="2955">
        <v>800</v>
      </c>
    </row>
    <row r="383" spans="1:7" s="2777" customFormat="1">
      <c r="A383" s="2960" t="s">
        <v>3172</v>
      </c>
      <c r="B383" s="2942" t="s">
        <v>3178</v>
      </c>
      <c r="C383" s="2942">
        <v>1260</v>
      </c>
      <c r="D383" s="2942">
        <v>1230</v>
      </c>
      <c r="E383" s="2942">
        <v>1200</v>
      </c>
      <c r="F383" s="2942">
        <v>420</v>
      </c>
      <c r="G383" s="2955">
        <v>770</v>
      </c>
    </row>
    <row r="384" spans="1:7" s="2777" customFormat="1" ht="12" thickBot="1">
      <c r="A384" s="2961" t="s">
        <v>3172</v>
      </c>
      <c r="B384" s="2949" t="s">
        <v>3179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19" t="s">
        <v>3180</v>
      </c>
      <c r="B1" s="3619"/>
    </row>
    <row r="2" spans="1:7" ht="14.25" thickBot="1">
      <c r="A2" s="2963"/>
      <c r="B2" s="2963"/>
    </row>
    <row r="3" spans="1:7" ht="14.25" thickBot="1">
      <c r="A3" s="2963"/>
      <c r="B3" s="2963"/>
      <c r="C3" s="2964" t="s">
        <v>2808</v>
      </c>
      <c r="D3" s="2964" t="s">
        <v>2866</v>
      </c>
      <c r="E3" s="2964" t="s">
        <v>2810</v>
      </c>
      <c r="F3" s="2964" t="s">
        <v>2867</v>
      </c>
      <c r="G3" s="2964" t="s">
        <v>2628</v>
      </c>
    </row>
    <row r="4" spans="1:7" ht="14.25" thickBot="1">
      <c r="A4" s="2965" t="s">
        <v>2865</v>
      </c>
      <c r="B4" s="2966" t="s">
        <v>2871</v>
      </c>
      <c r="C4" s="2964"/>
      <c r="D4" s="2964"/>
      <c r="E4" s="2964"/>
      <c r="F4" s="2964"/>
      <c r="G4" s="2964"/>
    </row>
    <row r="5" spans="1:7">
      <c r="A5" s="2967" t="s">
        <v>2839</v>
      </c>
      <c r="B5" s="2968" t="s">
        <v>2853</v>
      </c>
      <c r="C5" s="2969">
        <v>9.8000000000000004E-2</v>
      </c>
      <c r="D5" s="2969">
        <v>8.6999999999999994E-2</v>
      </c>
      <c r="E5" s="2969">
        <v>8.6999999999999994E-2</v>
      </c>
      <c r="F5" s="2969">
        <v>9.8000000000000004E-2</v>
      </c>
      <c r="G5" s="2970">
        <v>9.5000000000000001E-2</v>
      </c>
    </row>
    <row r="6" spans="1:7">
      <c r="A6" s="2971" t="s">
        <v>144</v>
      </c>
      <c r="B6" s="2972" t="s">
        <v>2868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2922</v>
      </c>
      <c r="C29" s="2981"/>
      <c r="D29" s="2977">
        <v>5.1999999999999998E-2</v>
      </c>
      <c r="E29" s="2977">
        <v>7.0000000000000007E-2</v>
      </c>
      <c r="F29" s="2981"/>
      <c r="G29" s="2979">
        <v>7.0999999999999994E-2</v>
      </c>
    </row>
    <row r="30" spans="1:7">
      <c r="A30" s="2982" t="s">
        <v>296</v>
      </c>
      <c r="B30" s="2968" t="s">
        <v>2855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2925</v>
      </c>
      <c r="C50" s="2973">
        <v>9.8000000000000004E-2</v>
      </c>
      <c r="D50" s="2973">
        <v>7.2999999999999995E-2</v>
      </c>
      <c r="E50" s="2973">
        <v>7.0999999999999994E-2</v>
      </c>
      <c r="F50" s="2984"/>
      <c r="G50" s="2974">
        <v>7.2999999999999995E-2</v>
      </c>
    </row>
    <row r="51" spans="1:7">
      <c r="A51" s="2983" t="s">
        <v>296</v>
      </c>
      <c r="B51" s="2972" t="s">
        <v>2927</v>
      </c>
      <c r="C51" s="2973">
        <v>9.9000000000000005E-2</v>
      </c>
      <c r="D51" s="2973">
        <v>8.5000000000000006E-2</v>
      </c>
      <c r="E51" s="2973">
        <v>6.3E-2</v>
      </c>
      <c r="F51" s="2984"/>
      <c r="G51" s="2974">
        <v>9.6000000000000002E-2</v>
      </c>
    </row>
    <row r="52" spans="1:7">
      <c r="A52" s="2983" t="s">
        <v>296</v>
      </c>
      <c r="B52" s="2972" t="s">
        <v>2931</v>
      </c>
      <c r="C52" s="2973">
        <v>7.3999999999999996E-2</v>
      </c>
      <c r="D52" s="2973">
        <v>9.6000000000000002E-2</v>
      </c>
      <c r="E52" s="2973">
        <v>0.05</v>
      </c>
      <c r="F52" s="2984"/>
      <c r="G52" s="2974">
        <v>9.8000000000000004E-2</v>
      </c>
    </row>
    <row r="53" spans="1:7">
      <c r="A53" s="2983" t="s">
        <v>296</v>
      </c>
      <c r="B53" s="2972" t="s">
        <v>2936</v>
      </c>
      <c r="C53" s="2973">
        <v>8.5999999999999993E-2</v>
      </c>
      <c r="D53" s="2984"/>
      <c r="E53" s="2973">
        <v>9.1999999999999998E-2</v>
      </c>
      <c r="F53" s="2984"/>
      <c r="G53" s="2985"/>
    </row>
    <row r="54" spans="1:7" ht="14.25" thickBot="1">
      <c r="A54" s="2986" t="s">
        <v>296</v>
      </c>
      <c r="B54" s="2976" t="s">
        <v>2939</v>
      </c>
      <c r="C54" s="2977">
        <v>9.6000000000000002E-2</v>
      </c>
      <c r="D54" s="2978"/>
      <c r="E54" s="2987"/>
      <c r="F54" s="2978"/>
      <c r="G54" s="2988"/>
    </row>
    <row r="55" spans="1:7">
      <c r="A55" s="2982" t="s">
        <v>110</v>
      </c>
      <c r="B55" s="2968" t="s">
        <v>2856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2937</v>
      </c>
      <c r="C78" s="2973">
        <v>0.1</v>
      </c>
      <c r="D78" s="2973">
        <v>8.5000000000000006E-2</v>
      </c>
      <c r="E78" s="2973">
        <v>9.6000000000000002E-2</v>
      </c>
      <c r="F78" s="2984"/>
      <c r="G78" s="2974">
        <v>9.6000000000000002E-2</v>
      </c>
    </row>
    <row r="79" spans="1:7">
      <c r="A79" s="2983" t="s">
        <v>110</v>
      </c>
      <c r="B79" s="2972" t="s">
        <v>2940</v>
      </c>
      <c r="C79" s="2973">
        <v>0.05</v>
      </c>
      <c r="D79" s="2973">
        <v>9.6000000000000002E-2</v>
      </c>
      <c r="E79" s="2973">
        <v>9.5000000000000001E-2</v>
      </c>
      <c r="F79" s="2984"/>
      <c r="G79" s="2974">
        <v>9.8000000000000004E-2</v>
      </c>
    </row>
    <row r="80" spans="1:7">
      <c r="A80" s="2983" t="s">
        <v>110</v>
      </c>
      <c r="B80" s="2972" t="s">
        <v>2944</v>
      </c>
      <c r="C80" s="2973">
        <v>8.5999999999999993E-2</v>
      </c>
      <c r="D80" s="2989"/>
      <c r="E80" s="2973">
        <v>0.1</v>
      </c>
      <c r="F80" s="2984"/>
      <c r="G80" s="2985"/>
    </row>
    <row r="81" spans="1:7">
      <c r="A81" s="2983" t="s">
        <v>110</v>
      </c>
      <c r="B81" s="2972" t="s">
        <v>2949</v>
      </c>
      <c r="C81" s="2973">
        <v>9.6000000000000002E-2</v>
      </c>
      <c r="D81" s="2984"/>
      <c r="E81" s="2973">
        <v>9.8000000000000004E-2</v>
      </c>
      <c r="F81" s="2984"/>
      <c r="G81" s="2985"/>
    </row>
    <row r="82" spans="1:7">
      <c r="A82" s="2983" t="s">
        <v>110</v>
      </c>
      <c r="B82" s="2972" t="s">
        <v>2956</v>
      </c>
      <c r="C82" s="2989"/>
      <c r="D82" s="2984"/>
      <c r="E82" s="2973">
        <v>7.6999999999999999E-2</v>
      </c>
      <c r="F82" s="2984"/>
      <c r="G82" s="2985"/>
    </row>
    <row r="83" spans="1:7">
      <c r="A83" s="2983" t="s">
        <v>110</v>
      </c>
      <c r="B83" s="2972" t="s">
        <v>2962</v>
      </c>
      <c r="C83" s="2984"/>
      <c r="D83" s="2984"/>
      <c r="E83" s="2984"/>
      <c r="F83" s="2973">
        <v>0.1</v>
      </c>
      <c r="G83" s="2990"/>
    </row>
    <row r="84" spans="1:7">
      <c r="A84" s="2983" t="s">
        <v>110</v>
      </c>
      <c r="B84" s="2972" t="s">
        <v>2969</v>
      </c>
      <c r="C84" s="2984"/>
      <c r="D84" s="2984"/>
      <c r="E84" s="2984"/>
      <c r="F84" s="2973">
        <v>0.1</v>
      </c>
      <c r="G84" s="2990"/>
    </row>
    <row r="85" spans="1:7">
      <c r="A85" s="2983" t="s">
        <v>110</v>
      </c>
      <c r="B85" s="2972" t="s">
        <v>2976</v>
      </c>
      <c r="C85" s="2984"/>
      <c r="D85" s="2984"/>
      <c r="E85" s="2984"/>
      <c r="F85" s="2973">
        <v>0.1</v>
      </c>
      <c r="G85" s="2990"/>
    </row>
    <row r="86" spans="1:7" ht="14.25" thickBot="1">
      <c r="A86" s="2986" t="s">
        <v>110</v>
      </c>
      <c r="B86" s="2976" t="s">
        <v>2981</v>
      </c>
      <c r="C86" s="2977">
        <v>9.8000000000000004E-2</v>
      </c>
      <c r="D86" s="2977">
        <v>9.8000000000000004E-2</v>
      </c>
      <c r="E86" s="2977">
        <v>9.6000000000000002E-2</v>
      </c>
      <c r="F86" s="2987"/>
      <c r="G86" s="2979">
        <v>0.1</v>
      </c>
    </row>
    <row r="87" spans="1:7">
      <c r="A87" s="2982" t="s">
        <v>303</v>
      </c>
      <c r="B87" s="2968" t="s">
        <v>2857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2950</v>
      </c>
      <c r="C113" s="2973">
        <v>0.1</v>
      </c>
      <c r="D113" s="2973">
        <v>0.1</v>
      </c>
      <c r="E113" s="2984"/>
      <c r="F113" s="2984"/>
      <c r="G113" s="2974">
        <v>0.1</v>
      </c>
    </row>
    <row r="114" spans="1:7">
      <c r="A114" s="2983" t="s">
        <v>303</v>
      </c>
      <c r="B114" s="2972" t="s">
        <v>2957</v>
      </c>
      <c r="C114" s="2973">
        <v>9.7000000000000003E-2</v>
      </c>
      <c r="D114" s="2973">
        <v>9.7000000000000003E-2</v>
      </c>
      <c r="E114" s="2984"/>
      <c r="F114" s="2984"/>
      <c r="G114" s="2974">
        <v>9.9000000000000005E-2</v>
      </c>
    </row>
    <row r="115" spans="1:7">
      <c r="A115" s="2983" t="s">
        <v>303</v>
      </c>
      <c r="B115" s="2972" t="s">
        <v>2963</v>
      </c>
      <c r="C115" s="2973">
        <v>0.1</v>
      </c>
      <c r="D115" s="2973">
        <v>0.1</v>
      </c>
      <c r="E115" s="2984"/>
      <c r="F115" s="2984"/>
      <c r="G115" s="2974">
        <v>0.1</v>
      </c>
    </row>
    <row r="116" spans="1:7">
      <c r="A116" s="2983" t="s">
        <v>303</v>
      </c>
      <c r="B116" s="2972" t="s">
        <v>2970</v>
      </c>
      <c r="C116" s="2973">
        <v>0.1</v>
      </c>
      <c r="D116" s="2973">
        <v>0.1</v>
      </c>
      <c r="E116" s="2984"/>
      <c r="F116" s="2984"/>
      <c r="G116" s="2974">
        <v>0.1</v>
      </c>
    </row>
    <row r="117" spans="1:7">
      <c r="A117" s="2983" t="s">
        <v>303</v>
      </c>
      <c r="B117" s="2972" t="s">
        <v>2977</v>
      </c>
      <c r="C117" s="2973">
        <v>9.7000000000000003E-2</v>
      </c>
      <c r="D117" s="2973">
        <v>9.7000000000000003E-2</v>
      </c>
      <c r="E117" s="2984"/>
      <c r="F117" s="2984"/>
      <c r="G117" s="2974">
        <v>9.7000000000000003E-2</v>
      </c>
    </row>
    <row r="118" spans="1:7">
      <c r="A118" s="2983" t="s">
        <v>303</v>
      </c>
      <c r="B118" s="2972" t="s">
        <v>2982</v>
      </c>
      <c r="C118" s="2973">
        <v>0.1</v>
      </c>
      <c r="D118" s="2973">
        <v>0.1</v>
      </c>
      <c r="E118" s="2984"/>
      <c r="F118" s="2984"/>
      <c r="G118" s="2974">
        <v>0.1</v>
      </c>
    </row>
    <row r="119" spans="1:7">
      <c r="A119" s="2983" t="s">
        <v>303</v>
      </c>
      <c r="B119" s="2972" t="s">
        <v>2986</v>
      </c>
      <c r="C119" s="2973">
        <v>5.0999999999999997E-2</v>
      </c>
      <c r="D119" s="2973">
        <v>5.1999999999999998E-2</v>
      </c>
      <c r="E119" s="2984"/>
      <c r="F119" s="2989"/>
      <c r="G119" s="2974">
        <v>0.06</v>
      </c>
    </row>
    <row r="120" spans="1:7">
      <c r="A120" s="2983" t="s">
        <v>303</v>
      </c>
      <c r="B120" s="2972" t="s">
        <v>2990</v>
      </c>
      <c r="C120" s="2984"/>
      <c r="D120" s="2984"/>
      <c r="E120" s="2984"/>
      <c r="F120" s="2973">
        <v>0.1</v>
      </c>
      <c r="G120" s="2990"/>
    </row>
    <row r="121" spans="1:7">
      <c r="A121" s="2983" t="s">
        <v>303</v>
      </c>
      <c r="B121" s="2972" t="s">
        <v>2995</v>
      </c>
      <c r="C121" s="2984"/>
      <c r="D121" s="2984"/>
      <c r="E121" s="2984"/>
      <c r="F121" s="2973">
        <v>0.1</v>
      </c>
      <c r="G121" s="2990"/>
    </row>
    <row r="122" spans="1:7">
      <c r="A122" s="2983" t="s">
        <v>303</v>
      </c>
      <c r="B122" s="2972" t="s">
        <v>3000</v>
      </c>
      <c r="C122" s="2973">
        <v>0.1</v>
      </c>
      <c r="D122" s="2973">
        <v>0.1</v>
      </c>
      <c r="E122" s="2973">
        <v>9.8000000000000004E-2</v>
      </c>
      <c r="F122" s="2973">
        <v>0.1</v>
      </c>
      <c r="G122" s="2974">
        <v>0.1</v>
      </c>
    </row>
    <row r="123" spans="1:7">
      <c r="A123" s="2983" t="s">
        <v>303</v>
      </c>
      <c r="B123" s="2972" t="s">
        <v>3005</v>
      </c>
      <c r="C123" s="2973">
        <v>0.1</v>
      </c>
      <c r="D123" s="2973">
        <v>0.1</v>
      </c>
      <c r="E123" s="2973">
        <v>9.8000000000000004E-2</v>
      </c>
      <c r="F123" s="2973">
        <v>0.1</v>
      </c>
      <c r="G123" s="2974">
        <v>0.1</v>
      </c>
    </row>
    <row r="124" spans="1:7">
      <c r="A124" s="2983" t="s">
        <v>303</v>
      </c>
      <c r="B124" s="2972" t="s">
        <v>3010</v>
      </c>
      <c r="C124" s="2973">
        <v>0.1</v>
      </c>
      <c r="D124" s="2973">
        <v>0.1</v>
      </c>
      <c r="E124" s="2973">
        <v>9.8000000000000004E-2</v>
      </c>
      <c r="F124" s="2989"/>
      <c r="G124" s="2974">
        <v>0.1</v>
      </c>
    </row>
    <row r="125" spans="1:7">
      <c r="A125" s="2983" t="s">
        <v>303</v>
      </c>
      <c r="B125" s="2972" t="s">
        <v>3015</v>
      </c>
      <c r="C125" s="2973">
        <v>9.8000000000000004E-2</v>
      </c>
      <c r="D125" s="2973">
        <v>9.8000000000000004E-2</v>
      </c>
      <c r="E125" s="2973">
        <v>9.6000000000000002E-2</v>
      </c>
      <c r="F125" s="2989"/>
      <c r="G125" s="2974">
        <v>0.1</v>
      </c>
    </row>
    <row r="126" spans="1:7" ht="14.25" thickBot="1">
      <c r="A126" s="2986" t="s">
        <v>303</v>
      </c>
      <c r="B126" s="2976" t="s">
        <v>3181</v>
      </c>
      <c r="C126" s="2977">
        <v>0.1</v>
      </c>
      <c r="D126" s="2977">
        <v>0.1</v>
      </c>
      <c r="E126" s="2977">
        <v>9.8000000000000004E-2</v>
      </c>
      <c r="F126" s="2977">
        <v>0.1</v>
      </c>
      <c r="G126" s="2979">
        <v>0.1</v>
      </c>
    </row>
    <row r="127" spans="1:7">
      <c r="A127" s="2982" t="s">
        <v>29</v>
      </c>
      <c r="B127" s="2968" t="s">
        <v>2858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2928</v>
      </c>
      <c r="C148" s="2973">
        <v>0.13</v>
      </c>
      <c r="D148" s="2973">
        <v>0.13</v>
      </c>
      <c r="E148" s="2973">
        <v>0.13</v>
      </c>
      <c r="F148" s="2984"/>
      <c r="G148" s="2974">
        <v>0.13</v>
      </c>
    </row>
    <row r="149" spans="1:7">
      <c r="A149" s="2983" t="s">
        <v>29</v>
      </c>
      <c r="B149" s="2972" t="s">
        <v>2932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2951</v>
      </c>
      <c r="C153" s="2973">
        <v>0.13</v>
      </c>
      <c r="D153" s="2973">
        <v>0.13</v>
      </c>
      <c r="E153" s="2973">
        <v>0.13</v>
      </c>
      <c r="F153" s="2973">
        <v>0.13</v>
      </c>
      <c r="G153" s="2974">
        <v>0.13</v>
      </c>
    </row>
    <row r="154" spans="1:7">
      <c r="A154" s="2983" t="s">
        <v>29</v>
      </c>
      <c r="B154" s="2972" t="s">
        <v>2958</v>
      </c>
      <c r="C154" s="2973">
        <v>0.121</v>
      </c>
      <c r="D154" s="2973">
        <v>0.121</v>
      </c>
      <c r="E154" s="2973">
        <v>0.105</v>
      </c>
      <c r="F154" s="2973">
        <v>0.121</v>
      </c>
      <c r="G154" s="2974">
        <v>0.123</v>
      </c>
    </row>
    <row r="155" spans="1:7">
      <c r="A155" s="2983" t="s">
        <v>29</v>
      </c>
      <c r="B155" s="2972" t="s">
        <v>2964</v>
      </c>
      <c r="C155" s="2973">
        <v>0.1</v>
      </c>
      <c r="D155" s="2973">
        <v>0.1</v>
      </c>
      <c r="E155" s="2973">
        <v>0.1</v>
      </c>
      <c r="F155" s="2973">
        <v>0.1</v>
      </c>
      <c r="G155" s="2974">
        <v>0.1</v>
      </c>
    </row>
    <row r="156" spans="1:7">
      <c r="A156" s="2983" t="s">
        <v>29</v>
      </c>
      <c r="B156" s="2972" t="s">
        <v>2971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2991</v>
      </c>
      <c r="C160" s="2973">
        <v>0.13</v>
      </c>
      <c r="D160" s="2973">
        <v>0.13</v>
      </c>
      <c r="E160" s="2973">
        <v>0.124</v>
      </c>
      <c r="F160" s="2973">
        <v>0.126</v>
      </c>
      <c r="G160" s="2974">
        <v>0.13</v>
      </c>
    </row>
    <row r="161" spans="1:7">
      <c r="A161" s="2983" t="s">
        <v>29</v>
      </c>
      <c r="B161" s="2972" t="s">
        <v>2996</v>
      </c>
      <c r="C161" s="2973">
        <v>0.13</v>
      </c>
      <c r="D161" s="2973">
        <v>0.13</v>
      </c>
      <c r="E161" s="2973">
        <v>0.124</v>
      </c>
      <c r="F161" s="2973">
        <v>0.127</v>
      </c>
      <c r="G161" s="2974">
        <v>0.13</v>
      </c>
    </row>
    <row r="162" spans="1:7">
      <c r="A162" s="2983" t="s">
        <v>29</v>
      </c>
      <c r="B162" s="2972" t="s">
        <v>3001</v>
      </c>
      <c r="C162" s="2973">
        <v>0.1</v>
      </c>
      <c r="D162" s="2973">
        <v>0.1</v>
      </c>
      <c r="E162" s="2973">
        <v>0.1</v>
      </c>
      <c r="F162" s="2973">
        <v>0.121</v>
      </c>
      <c r="G162" s="2974">
        <v>0.105</v>
      </c>
    </row>
    <row r="163" spans="1:7">
      <c r="A163" s="2983" t="s">
        <v>29</v>
      </c>
      <c r="B163" s="2972" t="s">
        <v>3006</v>
      </c>
      <c r="C163" s="2973">
        <v>0.1</v>
      </c>
      <c r="D163" s="2973">
        <v>0.1</v>
      </c>
      <c r="E163" s="2973">
        <v>0.1</v>
      </c>
      <c r="F163" s="2973">
        <v>0.1</v>
      </c>
      <c r="G163" s="2974">
        <v>0.1</v>
      </c>
    </row>
    <row r="164" spans="1:7">
      <c r="A164" s="2983" t="s">
        <v>29</v>
      </c>
      <c r="B164" s="2972" t="s">
        <v>3011</v>
      </c>
      <c r="C164" s="2989"/>
      <c r="D164" s="2989"/>
      <c r="E164" s="2989"/>
      <c r="F164" s="2973">
        <v>0.1</v>
      </c>
      <c r="G164" s="2985"/>
    </row>
    <row r="165" spans="1:7">
      <c r="A165" s="2983" t="s">
        <v>29</v>
      </c>
      <c r="B165" s="2972" t="s">
        <v>3182</v>
      </c>
      <c r="C165" s="2973">
        <v>0.126</v>
      </c>
      <c r="D165" s="2973">
        <v>0.126</v>
      </c>
      <c r="E165" s="2973">
        <v>0.11899999999999999</v>
      </c>
      <c r="F165" s="2973">
        <v>0.13</v>
      </c>
      <c r="G165" s="2974">
        <v>0.128</v>
      </c>
    </row>
    <row r="166" spans="1:7">
      <c r="A166" s="2983" t="s">
        <v>29</v>
      </c>
      <c r="B166" s="2972" t="s">
        <v>3021</v>
      </c>
      <c r="C166" s="2973">
        <v>0.129</v>
      </c>
      <c r="D166" s="2973">
        <v>0.129</v>
      </c>
      <c r="E166" s="2973">
        <v>0.123</v>
      </c>
      <c r="F166" s="2973">
        <v>0.128</v>
      </c>
      <c r="G166" s="2974">
        <v>0.13</v>
      </c>
    </row>
    <row r="167" spans="1:7">
      <c r="A167" s="2983" t="s">
        <v>29</v>
      </c>
      <c r="B167" s="2972" t="s">
        <v>3025</v>
      </c>
      <c r="C167" s="2973">
        <v>0.125</v>
      </c>
      <c r="D167" s="2973">
        <v>0.125</v>
      </c>
      <c r="E167" s="2973">
        <v>0.11700000000000001</v>
      </c>
      <c r="F167" s="2973">
        <v>0.13</v>
      </c>
      <c r="G167" s="2974">
        <v>0.126</v>
      </c>
    </row>
    <row r="168" spans="1:7">
      <c r="A168" s="2983" t="s">
        <v>29</v>
      </c>
      <c r="B168" s="2972" t="s">
        <v>3030</v>
      </c>
      <c r="C168" s="2973">
        <v>0.128</v>
      </c>
      <c r="D168" s="2973">
        <v>0.128</v>
      </c>
      <c r="E168" s="2973">
        <v>0.123</v>
      </c>
      <c r="F168" s="2984"/>
      <c r="G168" s="2974">
        <v>0.13</v>
      </c>
    </row>
    <row r="169" spans="1:7">
      <c r="A169" s="2983" t="s">
        <v>29</v>
      </c>
      <c r="B169" s="2972" t="s">
        <v>3183</v>
      </c>
      <c r="C169" s="2989"/>
      <c r="D169" s="2989"/>
      <c r="E169" s="2989"/>
      <c r="F169" s="2973">
        <v>0.05</v>
      </c>
      <c r="G169" s="2985"/>
    </row>
    <row r="170" spans="1:7">
      <c r="A170" s="2983" t="s">
        <v>29</v>
      </c>
      <c r="B170" s="2972" t="s">
        <v>3184</v>
      </c>
      <c r="C170" s="2989"/>
      <c r="D170" s="2989"/>
      <c r="E170" s="2989"/>
      <c r="F170" s="2973">
        <v>0.05</v>
      </c>
      <c r="G170" s="2985"/>
    </row>
    <row r="171" spans="1:7">
      <c r="A171" s="2983" t="s">
        <v>29</v>
      </c>
      <c r="B171" s="2972" t="s">
        <v>3185</v>
      </c>
      <c r="C171" s="2989"/>
      <c r="D171" s="2989"/>
      <c r="E171" s="2989"/>
      <c r="F171" s="2973">
        <v>0.05</v>
      </c>
      <c r="G171" s="2990"/>
    </row>
    <row r="172" spans="1:7">
      <c r="A172" s="2983" t="s">
        <v>29</v>
      </c>
      <c r="B172" s="2972" t="s">
        <v>3186</v>
      </c>
      <c r="C172" s="2989"/>
      <c r="D172" s="2989"/>
      <c r="E172" s="2989"/>
      <c r="F172" s="2973">
        <v>0.05</v>
      </c>
      <c r="G172" s="2990"/>
    </row>
    <row r="173" spans="1:7">
      <c r="A173" s="2983" t="s">
        <v>29</v>
      </c>
      <c r="B173" s="2972" t="s">
        <v>3187</v>
      </c>
      <c r="C173" s="2989"/>
      <c r="D173" s="2989"/>
      <c r="E173" s="2989"/>
      <c r="F173" s="2973">
        <v>0.05</v>
      </c>
      <c r="G173" s="2985"/>
    </row>
    <row r="174" spans="1:7">
      <c r="A174" s="2983" t="s">
        <v>29</v>
      </c>
      <c r="B174" s="2972" t="s">
        <v>3188</v>
      </c>
      <c r="C174" s="2989"/>
      <c r="D174" s="2989"/>
      <c r="E174" s="2989"/>
      <c r="F174" s="2973">
        <v>0.05</v>
      </c>
      <c r="G174" s="2985"/>
    </row>
    <row r="175" spans="1:7">
      <c r="A175" s="2983" t="s">
        <v>29</v>
      </c>
      <c r="B175" s="2972" t="s">
        <v>3189</v>
      </c>
      <c r="C175" s="2989"/>
      <c r="D175" s="2989"/>
      <c r="E175" s="2989"/>
      <c r="F175" s="2973">
        <v>0.05</v>
      </c>
      <c r="G175" s="2985"/>
    </row>
    <row r="176" spans="1:7">
      <c r="A176" s="2983" t="s">
        <v>29</v>
      </c>
      <c r="B176" s="2972" t="s">
        <v>3190</v>
      </c>
      <c r="C176" s="2989"/>
      <c r="D176" s="2989"/>
      <c r="E176" s="2989"/>
      <c r="F176" s="2973">
        <v>0.05</v>
      </c>
      <c r="G176" s="2985"/>
    </row>
    <row r="177" spans="1:7">
      <c r="A177" s="2983" t="s">
        <v>29</v>
      </c>
      <c r="B177" s="2972" t="s">
        <v>3191</v>
      </c>
      <c r="C177" s="2984"/>
      <c r="D177" s="2984"/>
      <c r="E177" s="2984"/>
      <c r="F177" s="2973">
        <v>0.05</v>
      </c>
      <c r="G177" s="2990"/>
    </row>
    <row r="178" spans="1:7">
      <c r="A178" s="2983" t="s">
        <v>29</v>
      </c>
      <c r="B178" s="2972" t="s">
        <v>3192</v>
      </c>
      <c r="C178" s="2984"/>
      <c r="D178" s="2984"/>
      <c r="E178" s="2984"/>
      <c r="F178" s="2973">
        <v>0.05</v>
      </c>
      <c r="G178" s="2990"/>
    </row>
    <row r="179" spans="1:7">
      <c r="A179" s="2983" t="s">
        <v>29</v>
      </c>
      <c r="B179" s="2972" t="s">
        <v>3193</v>
      </c>
      <c r="C179" s="2984"/>
      <c r="D179" s="2984"/>
      <c r="E179" s="2984"/>
      <c r="F179" s="2973">
        <v>0.05</v>
      </c>
      <c r="G179" s="2990"/>
    </row>
    <row r="180" spans="1:7">
      <c r="A180" s="2983" t="s">
        <v>29</v>
      </c>
      <c r="B180" s="2972" t="s">
        <v>3194</v>
      </c>
      <c r="C180" s="2984"/>
      <c r="D180" s="2984"/>
      <c r="E180" s="2984"/>
      <c r="F180" s="2973">
        <v>0.05</v>
      </c>
      <c r="G180" s="2990"/>
    </row>
    <row r="181" spans="1:7">
      <c r="A181" s="2983" t="s">
        <v>29</v>
      </c>
      <c r="B181" s="2972" t="s">
        <v>3195</v>
      </c>
      <c r="C181" s="2984"/>
      <c r="D181" s="2984"/>
      <c r="E181" s="2984"/>
      <c r="F181" s="2973">
        <v>0.05</v>
      </c>
      <c r="G181" s="2990"/>
    </row>
    <row r="182" spans="1:7">
      <c r="A182" s="2983" t="s">
        <v>29</v>
      </c>
      <c r="B182" s="2972" t="s">
        <v>3196</v>
      </c>
      <c r="C182" s="2984"/>
      <c r="D182" s="2984"/>
      <c r="E182" s="2984"/>
      <c r="F182" s="2973">
        <v>0.05</v>
      </c>
      <c r="G182" s="2990"/>
    </row>
    <row r="183" spans="1:7">
      <c r="A183" s="2983" t="s">
        <v>29</v>
      </c>
      <c r="B183" s="2972" t="s">
        <v>3197</v>
      </c>
      <c r="C183" s="2984"/>
      <c r="D183" s="2984"/>
      <c r="E183" s="2984"/>
      <c r="F183" s="2973">
        <v>0.05</v>
      </c>
      <c r="G183" s="2990"/>
    </row>
    <row r="184" spans="1:7">
      <c r="A184" s="2983" t="s">
        <v>29</v>
      </c>
      <c r="B184" s="2972" t="s">
        <v>3198</v>
      </c>
      <c r="C184" s="2984"/>
      <c r="D184" s="2984"/>
      <c r="E184" s="2984"/>
      <c r="F184" s="2973">
        <v>0.05</v>
      </c>
      <c r="G184" s="2990"/>
    </row>
    <row r="185" spans="1:7">
      <c r="A185" s="2983" t="s">
        <v>29</v>
      </c>
      <c r="B185" s="2972" t="s">
        <v>3199</v>
      </c>
      <c r="C185" s="2984"/>
      <c r="D185" s="2984"/>
      <c r="E185" s="2984"/>
      <c r="F185" s="2973">
        <v>0.05</v>
      </c>
      <c r="G185" s="2990"/>
    </row>
    <row r="186" spans="1:7">
      <c r="A186" s="2983" t="s">
        <v>29</v>
      </c>
      <c r="B186" s="2972" t="s">
        <v>3200</v>
      </c>
      <c r="C186" s="2984"/>
      <c r="D186" s="2984"/>
      <c r="E186" s="2984"/>
      <c r="F186" s="2973">
        <v>0.05</v>
      </c>
      <c r="G186" s="2990"/>
    </row>
    <row r="187" spans="1:7">
      <c r="A187" s="2983" t="s">
        <v>29</v>
      </c>
      <c r="B187" s="2972" t="s">
        <v>3201</v>
      </c>
      <c r="C187" s="2984"/>
      <c r="D187" s="2984"/>
      <c r="E187" s="2984"/>
      <c r="F187" s="2973">
        <v>0.05</v>
      </c>
      <c r="G187" s="2990"/>
    </row>
    <row r="188" spans="1:7">
      <c r="A188" s="2983" t="s">
        <v>29</v>
      </c>
      <c r="B188" s="2972" t="s">
        <v>3202</v>
      </c>
      <c r="C188" s="2984"/>
      <c r="D188" s="2984"/>
      <c r="E188" s="2984"/>
      <c r="F188" s="2973">
        <v>0.05</v>
      </c>
      <c r="G188" s="2990"/>
    </row>
    <row r="189" spans="1:7" ht="14.25" thickBot="1">
      <c r="A189" s="2986" t="s">
        <v>29</v>
      </c>
      <c r="B189" s="2976" t="s">
        <v>3203</v>
      </c>
      <c r="C189" s="2978"/>
      <c r="D189" s="2978"/>
      <c r="E189" s="2978"/>
      <c r="F189" s="2977">
        <v>0.05</v>
      </c>
      <c r="G189" s="2991"/>
    </row>
    <row r="190" spans="1:7">
      <c r="A190" s="2982" t="s">
        <v>304</v>
      </c>
      <c r="B190" s="2968" t="s">
        <v>2859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2895</v>
      </c>
      <c r="C199" s="2973">
        <v>0.13</v>
      </c>
      <c r="D199" s="2973">
        <v>0.13</v>
      </c>
      <c r="E199" s="2973">
        <v>0.13</v>
      </c>
      <c r="F199" s="2973">
        <v>0.13</v>
      </c>
      <c r="G199" s="2974">
        <v>0.13</v>
      </c>
    </row>
    <row r="200" spans="1:7">
      <c r="A200" s="2983" t="s">
        <v>304</v>
      </c>
      <c r="B200" s="2972" t="s">
        <v>2898</v>
      </c>
      <c r="C200" s="2989"/>
      <c r="D200" s="2989"/>
      <c r="E200" s="2989"/>
      <c r="F200" s="2973">
        <v>0.13</v>
      </c>
      <c r="G200" s="2985"/>
    </row>
    <row r="201" spans="1:7">
      <c r="A201" s="2983" t="s">
        <v>304</v>
      </c>
      <c r="B201" s="2972" t="s">
        <v>2903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2906</v>
      </c>
      <c r="C203" s="2973">
        <v>0.129</v>
      </c>
      <c r="D203" s="2973">
        <v>0.129</v>
      </c>
      <c r="E203" s="2973">
        <v>0.13</v>
      </c>
      <c r="F203" s="2973">
        <v>0.13</v>
      </c>
      <c r="G203" s="2974">
        <v>0.13</v>
      </c>
    </row>
    <row r="204" spans="1:7">
      <c r="A204" s="2983" t="s">
        <v>304</v>
      </c>
      <c r="B204" s="2972" t="s">
        <v>2909</v>
      </c>
      <c r="C204" s="2973">
        <v>0.129</v>
      </c>
      <c r="D204" s="2973">
        <v>0.129</v>
      </c>
      <c r="E204" s="2973">
        <v>0.123</v>
      </c>
      <c r="F204" s="2973">
        <v>0.13</v>
      </c>
      <c r="G204" s="2974">
        <v>0.13</v>
      </c>
    </row>
    <row r="205" spans="1:7">
      <c r="A205" s="2983" t="s">
        <v>304</v>
      </c>
      <c r="B205" s="2972" t="s">
        <v>2911</v>
      </c>
      <c r="C205" s="2973">
        <v>0.13</v>
      </c>
      <c r="D205" s="2973">
        <v>0.13</v>
      </c>
      <c r="E205" s="2973">
        <v>0.13</v>
      </c>
      <c r="F205" s="2973">
        <v>0.13</v>
      </c>
      <c r="G205" s="2974">
        <v>0.13</v>
      </c>
    </row>
    <row r="206" spans="1:7">
      <c r="A206" s="2983" t="s">
        <v>304</v>
      </c>
      <c r="B206" s="2972" t="s">
        <v>2914</v>
      </c>
      <c r="C206" s="2973">
        <v>0.13</v>
      </c>
      <c r="D206" s="2973">
        <v>0.13</v>
      </c>
      <c r="E206" s="2973">
        <v>0.13</v>
      </c>
      <c r="F206" s="2973">
        <v>0.128</v>
      </c>
      <c r="G206" s="2974">
        <v>0.13</v>
      </c>
    </row>
    <row r="207" spans="1:7">
      <c r="A207" s="2983" t="s">
        <v>304</v>
      </c>
      <c r="B207" s="2972" t="s">
        <v>2916</v>
      </c>
      <c r="C207" s="2973">
        <v>0.13</v>
      </c>
      <c r="D207" s="2973">
        <v>0.13</v>
      </c>
      <c r="E207" s="2973">
        <v>0.13</v>
      </c>
      <c r="F207" s="2973">
        <v>0.13</v>
      </c>
      <c r="G207" s="2974">
        <v>0.13</v>
      </c>
    </row>
    <row r="208" spans="1:7">
      <c r="A208" s="2983" t="s">
        <v>304</v>
      </c>
      <c r="B208" s="2972" t="s">
        <v>2919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2926</v>
      </c>
      <c r="C210" s="2973">
        <v>0.121</v>
      </c>
      <c r="D210" s="2973">
        <v>0.121</v>
      </c>
      <c r="E210" s="2973">
        <v>0.125</v>
      </c>
      <c r="F210" s="2973">
        <v>0.13</v>
      </c>
      <c r="G210" s="2974">
        <v>0.123</v>
      </c>
    </row>
    <row r="211" spans="1:7">
      <c r="A211" s="2983" t="s">
        <v>304</v>
      </c>
      <c r="B211" s="2972" t="s">
        <v>2929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2941</v>
      </c>
      <c r="C214" s="2973">
        <v>0.128</v>
      </c>
      <c r="D214" s="2973">
        <v>0.128</v>
      </c>
      <c r="E214" s="2973">
        <v>0.13</v>
      </c>
      <c r="F214" s="2973">
        <v>0.13</v>
      </c>
      <c r="G214" s="2974">
        <v>0.13</v>
      </c>
    </row>
    <row r="215" spans="1:7">
      <c r="A215" s="2983" t="s">
        <v>304</v>
      </c>
      <c r="B215" s="2972" t="s">
        <v>2945</v>
      </c>
      <c r="C215" s="2973">
        <v>0.13</v>
      </c>
      <c r="D215" s="2973">
        <v>0.13</v>
      </c>
      <c r="E215" s="2973">
        <v>0.13</v>
      </c>
      <c r="F215" s="2973">
        <v>0.129</v>
      </c>
      <c r="G215" s="2974">
        <v>0.13</v>
      </c>
    </row>
    <row r="216" spans="1:7">
      <c r="A216" s="2983" t="s">
        <v>304</v>
      </c>
      <c r="B216" s="2972" t="s">
        <v>2952</v>
      </c>
      <c r="C216" s="2973">
        <v>0.13</v>
      </c>
      <c r="D216" s="2973">
        <v>0.13</v>
      </c>
      <c r="E216" s="2973">
        <v>0.13</v>
      </c>
      <c r="F216" s="2973">
        <v>0.13</v>
      </c>
      <c r="G216" s="2974">
        <v>0.13</v>
      </c>
    </row>
    <row r="217" spans="1:7">
      <c r="A217" s="2983" t="s">
        <v>304</v>
      </c>
      <c r="B217" s="2972" t="s">
        <v>2959</v>
      </c>
      <c r="C217" s="2973">
        <v>0.129</v>
      </c>
      <c r="D217" s="2973">
        <v>0.129</v>
      </c>
      <c r="E217" s="2973">
        <v>0.13</v>
      </c>
      <c r="F217" s="2973">
        <v>0.13</v>
      </c>
      <c r="G217" s="2974">
        <v>0.13</v>
      </c>
    </row>
    <row r="218" spans="1:7">
      <c r="A218" s="2983" t="s">
        <v>304</v>
      </c>
      <c r="B218" s="2972" t="s">
        <v>2965</v>
      </c>
      <c r="C218" s="2984"/>
      <c r="D218" s="2984"/>
      <c r="E218" s="2984"/>
      <c r="F218" s="2973">
        <v>0.05</v>
      </c>
      <c r="G218" s="2990"/>
    </row>
    <row r="219" spans="1:7">
      <c r="A219" s="2983" t="s">
        <v>304</v>
      </c>
      <c r="B219" s="2972" t="s">
        <v>2972</v>
      </c>
      <c r="C219" s="2984"/>
      <c r="D219" s="2984"/>
      <c r="E219" s="2984"/>
      <c r="F219" s="2973">
        <v>0.05</v>
      </c>
      <c r="G219" s="2990"/>
    </row>
    <row r="220" spans="1:7">
      <c r="A220" s="2983" t="s">
        <v>304</v>
      </c>
      <c r="B220" s="2972" t="s">
        <v>2978</v>
      </c>
      <c r="C220" s="2984"/>
      <c r="D220" s="2984"/>
      <c r="E220" s="2984"/>
      <c r="F220" s="2973">
        <v>0.05</v>
      </c>
      <c r="G220" s="2990"/>
    </row>
    <row r="221" spans="1:7">
      <c r="A221" s="2983" t="s">
        <v>304</v>
      </c>
      <c r="B221" s="2972" t="s">
        <v>2983</v>
      </c>
      <c r="C221" s="2984"/>
      <c r="D221" s="2984"/>
      <c r="E221" s="2984"/>
      <c r="F221" s="2973">
        <v>0.05</v>
      </c>
      <c r="G221" s="2990"/>
    </row>
    <row r="222" spans="1:7">
      <c r="A222" s="2983" t="s">
        <v>304</v>
      </c>
      <c r="B222" s="2972" t="s">
        <v>2987</v>
      </c>
      <c r="C222" s="2984"/>
      <c r="D222" s="2984"/>
      <c r="E222" s="2984"/>
      <c r="F222" s="2973">
        <v>0.05</v>
      </c>
      <c r="G222" s="2990"/>
    </row>
    <row r="223" spans="1:7">
      <c r="A223" s="2983" t="s">
        <v>304</v>
      </c>
      <c r="B223" s="2972" t="s">
        <v>2992</v>
      </c>
      <c r="C223" s="2984"/>
      <c r="D223" s="2984"/>
      <c r="E223" s="2984"/>
      <c r="F223" s="2973">
        <v>0.05</v>
      </c>
      <c r="G223" s="2990"/>
    </row>
    <row r="224" spans="1:7">
      <c r="A224" s="2983" t="s">
        <v>304</v>
      </c>
      <c r="B224" s="2972" t="s">
        <v>2997</v>
      </c>
      <c r="C224" s="2984"/>
      <c r="D224" s="2984"/>
      <c r="E224" s="2984"/>
      <c r="F224" s="2973">
        <v>0.05</v>
      </c>
      <c r="G224" s="2990"/>
    </row>
    <row r="225" spans="1:7">
      <c r="A225" s="2983" t="s">
        <v>304</v>
      </c>
      <c r="B225" s="2972" t="s">
        <v>3002</v>
      </c>
      <c r="C225" s="2984"/>
      <c r="D225" s="2984"/>
      <c r="E225" s="2984"/>
      <c r="F225" s="2973">
        <v>0.05</v>
      </c>
      <c r="G225" s="2990"/>
    </row>
    <row r="226" spans="1:7">
      <c r="A226" s="2983" t="s">
        <v>304</v>
      </c>
      <c r="B226" s="2972" t="s">
        <v>3204</v>
      </c>
      <c r="C226" s="2984"/>
      <c r="D226" s="2984"/>
      <c r="E226" s="2984"/>
      <c r="F226" s="2973">
        <v>0.05</v>
      </c>
      <c r="G226" s="2990"/>
    </row>
    <row r="227" spans="1:7">
      <c r="A227" s="2983" t="s">
        <v>304</v>
      </c>
      <c r="B227" s="2972" t="s">
        <v>3205</v>
      </c>
      <c r="C227" s="2984"/>
      <c r="D227" s="2984"/>
      <c r="E227" s="2984"/>
      <c r="F227" s="2973">
        <v>0.05</v>
      </c>
      <c r="G227" s="2990"/>
    </row>
    <row r="228" spans="1:7">
      <c r="A228" s="2983" t="s">
        <v>304</v>
      </c>
      <c r="B228" s="2972" t="s">
        <v>3206</v>
      </c>
      <c r="C228" s="2984"/>
      <c r="D228" s="2984"/>
      <c r="E228" s="2984"/>
      <c r="F228" s="2973">
        <v>0.05</v>
      </c>
      <c r="G228" s="2990"/>
    </row>
    <row r="229" spans="1:7">
      <c r="A229" s="2983" t="s">
        <v>304</v>
      </c>
      <c r="B229" s="2972" t="s">
        <v>3207</v>
      </c>
      <c r="C229" s="2984"/>
      <c r="D229" s="2984"/>
      <c r="E229" s="2984"/>
      <c r="F229" s="2973">
        <v>0.05</v>
      </c>
      <c r="G229" s="2990"/>
    </row>
    <row r="230" spans="1:7">
      <c r="A230" s="2983" t="s">
        <v>304</v>
      </c>
      <c r="B230" s="2972" t="s">
        <v>3208</v>
      </c>
      <c r="C230" s="2984"/>
      <c r="D230" s="2984"/>
      <c r="E230" s="2984"/>
      <c r="F230" s="2973">
        <v>0.05</v>
      </c>
      <c r="G230" s="2990"/>
    </row>
    <row r="231" spans="1:7">
      <c r="A231" s="2983" t="s">
        <v>304</v>
      </c>
      <c r="B231" s="2972" t="s">
        <v>3209</v>
      </c>
      <c r="C231" s="2984"/>
      <c r="D231" s="2984"/>
      <c r="E231" s="2984"/>
      <c r="F231" s="2973">
        <v>0.05</v>
      </c>
      <c r="G231" s="2990"/>
    </row>
    <row r="232" spans="1:7">
      <c r="A232" s="2983" t="s">
        <v>304</v>
      </c>
      <c r="B232" s="2972" t="s">
        <v>3210</v>
      </c>
      <c r="C232" s="2984"/>
      <c r="D232" s="2984"/>
      <c r="E232" s="2984"/>
      <c r="F232" s="2973">
        <v>0.05</v>
      </c>
      <c r="G232" s="2990"/>
    </row>
    <row r="233" spans="1:7" ht="14.25" thickBot="1">
      <c r="A233" s="2986" t="s">
        <v>304</v>
      </c>
      <c r="B233" s="2976" t="s">
        <v>3211</v>
      </c>
      <c r="C233" s="2978"/>
      <c r="D233" s="2978"/>
      <c r="E233" s="2978"/>
      <c r="F233" s="2977">
        <v>0.05</v>
      </c>
      <c r="G233" s="2991"/>
    </row>
    <row r="234" spans="1:7">
      <c r="A234" s="2982" t="s">
        <v>305</v>
      </c>
      <c r="B234" s="2968" t="s">
        <v>2860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2880</v>
      </c>
      <c r="C238" s="2973">
        <v>0.14899999999999999</v>
      </c>
      <c r="D238" s="2973">
        <v>0.14899999999999999</v>
      </c>
      <c r="E238" s="2973">
        <v>0.15</v>
      </c>
      <c r="F238" s="2973">
        <v>0.15</v>
      </c>
      <c r="G238" s="2974">
        <v>0.15</v>
      </c>
    </row>
    <row r="239" spans="1:7">
      <c r="A239" s="2983" t="s">
        <v>305</v>
      </c>
      <c r="B239" s="2972" t="s">
        <v>2884</v>
      </c>
      <c r="C239" s="2973">
        <v>0.15</v>
      </c>
      <c r="D239" s="2973">
        <v>0.15</v>
      </c>
      <c r="E239" s="2973">
        <v>0.15</v>
      </c>
      <c r="F239" s="2973">
        <v>0.15</v>
      </c>
      <c r="G239" s="2974">
        <v>0.15</v>
      </c>
    </row>
    <row r="240" spans="1:7">
      <c r="A240" s="2983" t="s">
        <v>305</v>
      </c>
      <c r="B240" s="2972" t="s">
        <v>2889</v>
      </c>
      <c r="C240" s="2973">
        <v>0.15</v>
      </c>
      <c r="D240" s="2973">
        <v>0.15</v>
      </c>
      <c r="E240" s="2973">
        <v>0.15</v>
      </c>
      <c r="F240" s="2973">
        <v>0.15</v>
      </c>
      <c r="G240" s="2974">
        <v>0.15</v>
      </c>
    </row>
    <row r="241" spans="1:7">
      <c r="A241" s="2983" t="s">
        <v>305</v>
      </c>
      <c r="B241" s="2972" t="s">
        <v>2893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2942</v>
      </c>
      <c r="C258" s="2973">
        <v>0.14299999999999999</v>
      </c>
      <c r="D258" s="2973">
        <v>0.14299999999999999</v>
      </c>
      <c r="E258" s="2973">
        <v>0.15</v>
      </c>
      <c r="F258" s="2973">
        <v>0.14799999999999999</v>
      </c>
      <c r="G258" s="2974">
        <v>0.14599999999999999</v>
      </c>
    </row>
    <row r="259" spans="1:7">
      <c r="A259" s="2983" t="s">
        <v>305</v>
      </c>
      <c r="B259" s="2972" t="s">
        <v>2946</v>
      </c>
      <c r="C259" s="2973">
        <v>0.14399999999999999</v>
      </c>
      <c r="D259" s="2973">
        <v>0.14399999999999999</v>
      </c>
      <c r="E259" s="2973">
        <v>0.14899999999999999</v>
      </c>
      <c r="F259" s="2973">
        <v>0.14699999999999999</v>
      </c>
      <c r="G259" s="2974">
        <v>0.14599999999999999</v>
      </c>
    </row>
    <row r="260" spans="1:7">
      <c r="A260" s="2983" t="s">
        <v>305</v>
      </c>
      <c r="B260" s="2972" t="s">
        <v>2953</v>
      </c>
      <c r="C260" s="2973">
        <v>0.109</v>
      </c>
      <c r="D260" s="2973">
        <v>0.111</v>
      </c>
      <c r="E260" s="2973">
        <v>0.13100000000000001</v>
      </c>
      <c r="F260" s="2973">
        <v>0.126</v>
      </c>
      <c r="G260" s="2974">
        <v>0.11899999999999999</v>
      </c>
    </row>
    <row r="261" spans="1:7">
      <c r="A261" s="2983" t="s">
        <v>305</v>
      </c>
      <c r="B261" s="2972" t="s">
        <v>2960</v>
      </c>
      <c r="C261" s="2973">
        <v>0.1</v>
      </c>
      <c r="D261" s="2973">
        <v>0.1</v>
      </c>
      <c r="E261" s="2973">
        <v>0.11799999999999999</v>
      </c>
      <c r="F261" s="2973">
        <v>0.108</v>
      </c>
      <c r="G261" s="2974">
        <v>0.107</v>
      </c>
    </row>
    <row r="262" spans="1:7">
      <c r="A262" s="2983" t="s">
        <v>305</v>
      </c>
      <c r="B262" s="2972" t="s">
        <v>2966</v>
      </c>
      <c r="C262" s="2973">
        <v>0.1</v>
      </c>
      <c r="D262" s="2973">
        <v>0.1</v>
      </c>
      <c r="E262" s="2973">
        <v>0.1</v>
      </c>
      <c r="F262" s="2973">
        <v>0.14099999999999999</v>
      </c>
      <c r="G262" s="2974">
        <v>0.1</v>
      </c>
    </row>
    <row r="263" spans="1:7">
      <c r="A263" s="2983" t="s">
        <v>305</v>
      </c>
      <c r="B263" s="2972" t="s">
        <v>2973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2984</v>
      </c>
      <c r="C265" s="2984"/>
      <c r="D265" s="2984"/>
      <c r="E265" s="2984"/>
      <c r="F265" s="2973">
        <v>0.05</v>
      </c>
      <c r="G265" s="2990"/>
    </row>
    <row r="266" spans="1:7">
      <c r="A266" s="2983" t="s">
        <v>305</v>
      </c>
      <c r="B266" s="2972" t="s">
        <v>2988</v>
      </c>
      <c r="C266" s="2984"/>
      <c r="D266" s="2984"/>
      <c r="E266" s="2984"/>
      <c r="F266" s="2973">
        <v>0.05</v>
      </c>
      <c r="G266" s="2990"/>
    </row>
    <row r="267" spans="1:7">
      <c r="A267" s="2983" t="s">
        <v>305</v>
      </c>
      <c r="B267" s="2972" t="s">
        <v>2993</v>
      </c>
      <c r="C267" s="2984"/>
      <c r="D267" s="2984"/>
      <c r="E267" s="2984"/>
      <c r="F267" s="2973">
        <v>0.05</v>
      </c>
      <c r="G267" s="2990"/>
    </row>
    <row r="268" spans="1:7">
      <c r="A268" s="2983" t="s">
        <v>305</v>
      </c>
      <c r="B268" s="2972" t="s">
        <v>2998</v>
      </c>
      <c r="C268" s="2984"/>
      <c r="D268" s="2984"/>
      <c r="E268" s="2984"/>
      <c r="F268" s="2973">
        <v>0.05</v>
      </c>
      <c r="G268" s="2990"/>
    </row>
    <row r="269" spans="1:7">
      <c r="A269" s="2983" t="s">
        <v>305</v>
      </c>
      <c r="B269" s="2972" t="s">
        <v>3003</v>
      </c>
      <c r="C269" s="2984"/>
      <c r="D269" s="2984"/>
      <c r="E269" s="2984"/>
      <c r="F269" s="2973">
        <v>0.05</v>
      </c>
      <c r="G269" s="2990"/>
    </row>
    <row r="270" spans="1:7">
      <c r="A270" s="2983" t="s">
        <v>305</v>
      </c>
      <c r="B270" s="2972" t="s">
        <v>3008</v>
      </c>
      <c r="C270" s="2984"/>
      <c r="D270" s="2984"/>
      <c r="E270" s="2984"/>
      <c r="F270" s="2973">
        <v>0.05</v>
      </c>
      <c r="G270" s="2990"/>
    </row>
    <row r="271" spans="1:7">
      <c r="A271" s="2983" t="s">
        <v>305</v>
      </c>
      <c r="B271" s="2972" t="s">
        <v>3212</v>
      </c>
      <c r="C271" s="2984"/>
      <c r="D271" s="2984"/>
      <c r="E271" s="2984"/>
      <c r="F271" s="2973">
        <v>0.05</v>
      </c>
      <c r="G271" s="2990"/>
    </row>
    <row r="272" spans="1:7">
      <c r="A272" s="2983" t="s">
        <v>305</v>
      </c>
      <c r="B272" s="2972" t="s">
        <v>3213</v>
      </c>
      <c r="C272" s="2984"/>
      <c r="D272" s="2984"/>
      <c r="E272" s="2984"/>
      <c r="F272" s="2973">
        <v>0.05</v>
      </c>
      <c r="G272" s="2990"/>
    </row>
    <row r="273" spans="1:7">
      <c r="A273" s="2983" t="s">
        <v>305</v>
      </c>
      <c r="B273" s="2972" t="s">
        <v>3214</v>
      </c>
      <c r="C273" s="2984"/>
      <c r="D273" s="2984"/>
      <c r="E273" s="2984"/>
      <c r="F273" s="2973">
        <v>0.05</v>
      </c>
      <c r="G273" s="2990"/>
    </row>
    <row r="274" spans="1:7">
      <c r="A274" s="2983" t="s">
        <v>305</v>
      </c>
      <c r="B274" s="2972" t="s">
        <v>3215</v>
      </c>
      <c r="C274" s="2984"/>
      <c r="D274" s="2984"/>
      <c r="E274" s="2984"/>
      <c r="F274" s="2973">
        <v>0.05</v>
      </c>
      <c r="G274" s="2990"/>
    </row>
    <row r="275" spans="1:7">
      <c r="A275" s="2983" t="s">
        <v>305</v>
      </c>
      <c r="B275" s="2972" t="s">
        <v>3216</v>
      </c>
      <c r="C275" s="2984"/>
      <c r="D275" s="2984"/>
      <c r="E275" s="2984"/>
      <c r="F275" s="2973">
        <v>0.05</v>
      </c>
      <c r="G275" s="2990"/>
    </row>
    <row r="276" spans="1:7" ht="14.25" thickBot="1">
      <c r="A276" s="2986" t="s">
        <v>305</v>
      </c>
      <c r="B276" s="2976" t="s">
        <v>3217</v>
      </c>
      <c r="C276" s="2978"/>
      <c r="D276" s="2978"/>
      <c r="E276" s="2978"/>
      <c r="F276" s="2977">
        <v>0.05</v>
      </c>
      <c r="G276" s="2991"/>
    </row>
    <row r="277" spans="1:7">
      <c r="A277" s="2982" t="s">
        <v>306</v>
      </c>
      <c r="B277" s="2968" t="s">
        <v>2861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2873</v>
      </c>
      <c r="C279" s="2973">
        <v>0.15</v>
      </c>
      <c r="D279" s="2973">
        <v>0.15</v>
      </c>
      <c r="E279" s="2973">
        <v>0.15</v>
      </c>
      <c r="F279" s="2973">
        <v>0.15</v>
      </c>
      <c r="G279" s="2974">
        <v>0.15</v>
      </c>
    </row>
    <row r="280" spans="1:7">
      <c r="A280" s="2983" t="s">
        <v>306</v>
      </c>
      <c r="B280" s="2972" t="s">
        <v>2877</v>
      </c>
      <c r="C280" s="2973">
        <v>0.15</v>
      </c>
      <c r="D280" s="2973">
        <v>0.15</v>
      </c>
      <c r="E280" s="2973">
        <v>0.15</v>
      </c>
      <c r="F280" s="2973">
        <v>0.15</v>
      </c>
      <c r="G280" s="2974">
        <v>0.15</v>
      </c>
    </row>
    <row r="281" spans="1:7">
      <c r="A281" s="2983" t="s">
        <v>306</v>
      </c>
      <c r="B281" s="2972" t="s">
        <v>2881</v>
      </c>
      <c r="C281" s="2973">
        <v>0.15</v>
      </c>
      <c r="D281" s="2973">
        <v>0.15</v>
      </c>
      <c r="E281" s="2973">
        <v>0.15</v>
      </c>
      <c r="F281" s="2973">
        <v>0.15</v>
      </c>
      <c r="G281" s="2974">
        <v>0.15</v>
      </c>
    </row>
    <row r="282" spans="1:7">
      <c r="A282" s="2983" t="s">
        <v>306</v>
      </c>
      <c r="B282" s="2972" t="s">
        <v>2885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2915</v>
      </c>
      <c r="C293" s="2973">
        <v>0.15</v>
      </c>
      <c r="D293" s="2973">
        <v>0.15</v>
      </c>
      <c r="E293" s="2973">
        <v>0.15</v>
      </c>
      <c r="F293" s="2973">
        <v>0.14499999999999999</v>
      </c>
      <c r="G293" s="2974">
        <v>0.15</v>
      </c>
    </row>
    <row r="294" spans="1:7">
      <c r="A294" s="2983" t="s">
        <v>306</v>
      </c>
      <c r="B294" s="2972" t="s">
        <v>2917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2947</v>
      </c>
      <c r="C302" s="2973">
        <v>0.15</v>
      </c>
      <c r="D302" s="2973">
        <v>0.15</v>
      </c>
      <c r="E302" s="2973">
        <v>0.15</v>
      </c>
      <c r="F302" s="2973">
        <v>0.14699999999999999</v>
      </c>
      <c r="G302" s="2974">
        <v>0.15</v>
      </c>
    </row>
    <row r="303" spans="1:7">
      <c r="A303" s="2983" t="s">
        <v>306</v>
      </c>
      <c r="B303" s="2972" t="s">
        <v>2954</v>
      </c>
      <c r="C303" s="2973">
        <v>0.15</v>
      </c>
      <c r="D303" s="2973">
        <v>0.15</v>
      </c>
      <c r="E303" s="2973">
        <v>0.15</v>
      </c>
      <c r="F303" s="2973">
        <v>0.14199999999999999</v>
      </c>
      <c r="G303" s="2974">
        <v>0.15</v>
      </c>
    </row>
    <row r="304" spans="1:7">
      <c r="A304" s="2983" t="s">
        <v>306</v>
      </c>
      <c r="B304" s="2972" t="s">
        <v>2961</v>
      </c>
      <c r="C304" s="2973">
        <v>0.15</v>
      </c>
      <c r="D304" s="2973">
        <v>0.15</v>
      </c>
      <c r="E304" s="2973">
        <v>0.15</v>
      </c>
      <c r="F304" s="2973">
        <v>0.14499999999999999</v>
      </c>
      <c r="G304" s="2974">
        <v>0.15</v>
      </c>
    </row>
    <row r="305" spans="1:7">
      <c r="A305" s="2983" t="s">
        <v>306</v>
      </c>
      <c r="B305" s="2972" t="s">
        <v>2967</v>
      </c>
      <c r="C305" s="2973">
        <v>0.15</v>
      </c>
      <c r="D305" s="2973">
        <v>0.15</v>
      </c>
      <c r="E305" s="2973">
        <v>0.15</v>
      </c>
      <c r="F305" s="2973">
        <v>0.111</v>
      </c>
      <c r="G305" s="2974">
        <v>0.15</v>
      </c>
    </row>
    <row r="306" spans="1:7">
      <c r="A306" s="2983" t="s">
        <v>306</v>
      </c>
      <c r="B306" s="2972" t="s">
        <v>2974</v>
      </c>
      <c r="C306" s="2973">
        <v>0.15</v>
      </c>
      <c r="D306" s="2973">
        <v>0.15</v>
      </c>
      <c r="E306" s="2973">
        <v>0.15</v>
      </c>
      <c r="F306" s="2973">
        <v>0.126</v>
      </c>
      <c r="G306" s="2974">
        <v>0.15</v>
      </c>
    </row>
    <row r="307" spans="1:7">
      <c r="A307" s="2983" t="s">
        <v>306</v>
      </c>
      <c r="B307" s="2972" t="s">
        <v>2979</v>
      </c>
      <c r="C307" s="2973">
        <v>0.15</v>
      </c>
      <c r="D307" s="2973">
        <v>0.15</v>
      </c>
      <c r="E307" s="2973">
        <v>0.15</v>
      </c>
      <c r="F307" s="2973">
        <v>0.12</v>
      </c>
      <c r="G307" s="2974">
        <v>0.15</v>
      </c>
    </row>
    <row r="308" spans="1:7">
      <c r="A308" s="2983" t="s">
        <v>306</v>
      </c>
      <c r="B308" s="2972" t="s">
        <v>2985</v>
      </c>
      <c r="C308" s="2973">
        <v>0.15</v>
      </c>
      <c r="D308" s="2973">
        <v>0.15</v>
      </c>
      <c r="E308" s="2973">
        <v>0.15</v>
      </c>
      <c r="F308" s="2973">
        <v>0.13</v>
      </c>
      <c r="G308" s="2974">
        <v>0.15</v>
      </c>
    </row>
    <row r="309" spans="1:7">
      <c r="A309" s="2983" t="s">
        <v>306</v>
      </c>
      <c r="B309" s="2972" t="s">
        <v>2989</v>
      </c>
      <c r="C309" s="2973">
        <v>0.15</v>
      </c>
      <c r="D309" s="2973">
        <v>0.15</v>
      </c>
      <c r="E309" s="2973">
        <v>0.15</v>
      </c>
      <c r="F309" s="2973">
        <v>0.14099999999999999</v>
      </c>
      <c r="G309" s="2974">
        <v>0.15</v>
      </c>
    </row>
    <row r="310" spans="1:7">
      <c r="A310" s="2983" t="s">
        <v>306</v>
      </c>
      <c r="B310" s="2972" t="s">
        <v>2994</v>
      </c>
      <c r="C310" s="2973">
        <v>0.15</v>
      </c>
      <c r="D310" s="2973">
        <v>0.15</v>
      </c>
      <c r="E310" s="2973">
        <v>0.15</v>
      </c>
      <c r="F310" s="2973">
        <v>0.15</v>
      </c>
      <c r="G310" s="2974">
        <v>0.15</v>
      </c>
    </row>
    <row r="311" spans="1:7">
      <c r="A311" s="2983" t="s">
        <v>306</v>
      </c>
      <c r="B311" s="2972" t="s">
        <v>2999</v>
      </c>
      <c r="C311" s="2973">
        <v>0.13200000000000001</v>
      </c>
      <c r="D311" s="2973">
        <v>0.13300000000000001</v>
      </c>
      <c r="E311" s="2973">
        <v>0.14499999999999999</v>
      </c>
      <c r="F311" s="2973">
        <v>0.14199999999999999</v>
      </c>
      <c r="G311" s="2974">
        <v>0.14000000000000001</v>
      </c>
    </row>
    <row r="312" spans="1:7">
      <c r="A312" s="2983" t="s">
        <v>306</v>
      </c>
      <c r="B312" s="2972" t="s">
        <v>3004</v>
      </c>
      <c r="C312" s="2973">
        <v>0.13800000000000001</v>
      </c>
      <c r="D312" s="2973">
        <v>0.14000000000000001</v>
      </c>
      <c r="E312" s="2973">
        <v>0.14599999999999999</v>
      </c>
      <c r="F312" s="2973">
        <v>0.14899999999999999</v>
      </c>
      <c r="G312" s="2974">
        <v>0.14199999999999999</v>
      </c>
    </row>
    <row r="313" spans="1:7">
      <c r="A313" s="2983" t="s">
        <v>306</v>
      </c>
      <c r="B313" s="2972" t="s">
        <v>3009</v>
      </c>
      <c r="C313" s="2973">
        <v>0.125</v>
      </c>
      <c r="D313" s="2973">
        <v>0.127</v>
      </c>
      <c r="E313" s="2973">
        <v>0.14399999999999999</v>
      </c>
      <c r="F313" s="2973">
        <v>0.115</v>
      </c>
      <c r="G313" s="2974">
        <v>0.13600000000000001</v>
      </c>
    </row>
    <row r="314" spans="1:7">
      <c r="A314" s="2983" t="s">
        <v>306</v>
      </c>
      <c r="B314" s="2972" t="s">
        <v>3218</v>
      </c>
      <c r="C314" s="2989"/>
      <c r="D314" s="2989"/>
      <c r="E314" s="2989"/>
      <c r="F314" s="2973">
        <v>0.05</v>
      </c>
      <c r="G314" s="2990"/>
    </row>
    <row r="315" spans="1:7">
      <c r="A315" s="2983" t="s">
        <v>306</v>
      </c>
      <c r="B315" s="2972" t="s">
        <v>3219</v>
      </c>
      <c r="C315" s="2989"/>
      <c r="D315" s="2989"/>
      <c r="E315" s="2989"/>
      <c r="F315" s="2973">
        <v>0.05</v>
      </c>
      <c r="G315" s="2990"/>
    </row>
    <row r="316" spans="1:7">
      <c r="A316" s="2983" t="s">
        <v>306</v>
      </c>
      <c r="B316" s="2972" t="s">
        <v>3220</v>
      </c>
      <c r="C316" s="2984"/>
      <c r="D316" s="2984"/>
      <c r="E316" s="2984"/>
      <c r="F316" s="2973">
        <v>0.05</v>
      </c>
      <c r="G316" s="2990"/>
    </row>
    <row r="317" spans="1:7">
      <c r="A317" s="2983" t="s">
        <v>306</v>
      </c>
      <c r="B317" s="2972" t="s">
        <v>3221</v>
      </c>
      <c r="C317" s="2984"/>
      <c r="D317" s="2984"/>
      <c r="E317" s="2984"/>
      <c r="F317" s="2973">
        <v>0.05</v>
      </c>
      <c r="G317" s="2990"/>
    </row>
    <row r="318" spans="1:7">
      <c r="A318" s="2983" t="s">
        <v>306</v>
      </c>
      <c r="B318" s="2972" t="s">
        <v>3222</v>
      </c>
      <c r="C318" s="2984"/>
      <c r="D318" s="2984"/>
      <c r="E318" s="2984"/>
      <c r="F318" s="2973">
        <v>0.05</v>
      </c>
      <c r="G318" s="2990"/>
    </row>
    <row r="319" spans="1:7">
      <c r="A319" s="2983" t="s">
        <v>306</v>
      </c>
      <c r="B319" s="2972" t="s">
        <v>3223</v>
      </c>
      <c r="C319" s="2984"/>
      <c r="D319" s="2984"/>
      <c r="E319" s="2984"/>
      <c r="F319" s="2973">
        <v>0.05</v>
      </c>
      <c r="G319" s="2990"/>
    </row>
    <row r="320" spans="1:7">
      <c r="A320" s="2983" t="s">
        <v>306</v>
      </c>
      <c r="B320" s="2972" t="s">
        <v>3224</v>
      </c>
      <c r="C320" s="2984"/>
      <c r="D320" s="2984"/>
      <c r="E320" s="2984"/>
      <c r="F320" s="2973">
        <v>0.05</v>
      </c>
      <c r="G320" s="2990"/>
    </row>
    <row r="321" spans="1:7">
      <c r="A321" s="2983" t="s">
        <v>306</v>
      </c>
      <c r="B321" s="2972" t="s">
        <v>3225</v>
      </c>
      <c r="C321" s="2984"/>
      <c r="D321" s="2984"/>
      <c r="E321" s="2984"/>
      <c r="F321" s="2973">
        <v>0.05</v>
      </c>
      <c r="G321" s="2990"/>
    </row>
    <row r="322" spans="1:7">
      <c r="A322" s="2983" t="s">
        <v>306</v>
      </c>
      <c r="B322" s="2972" t="s">
        <v>3226</v>
      </c>
      <c r="C322" s="2984"/>
      <c r="D322" s="2984"/>
      <c r="E322" s="2984"/>
      <c r="F322" s="2973">
        <v>0.05</v>
      </c>
      <c r="G322" s="2990"/>
    </row>
    <row r="323" spans="1:7">
      <c r="A323" s="2983" t="s">
        <v>306</v>
      </c>
      <c r="B323" s="2972" t="s">
        <v>3227</v>
      </c>
      <c r="C323" s="2984"/>
      <c r="D323" s="2984"/>
      <c r="E323" s="2984"/>
      <c r="F323" s="2973">
        <v>0.05</v>
      </c>
      <c r="G323" s="2990"/>
    </row>
    <row r="324" spans="1:7">
      <c r="A324" s="2983" t="s">
        <v>306</v>
      </c>
      <c r="B324" s="2972" t="s">
        <v>3228</v>
      </c>
      <c r="C324" s="2984"/>
      <c r="D324" s="2984"/>
      <c r="E324" s="2984"/>
      <c r="F324" s="2973">
        <v>0.05</v>
      </c>
      <c r="G324" s="2990"/>
    </row>
    <row r="325" spans="1:7">
      <c r="A325" s="2983" t="s">
        <v>306</v>
      </c>
      <c r="B325" s="2972" t="s">
        <v>3229</v>
      </c>
      <c r="C325" s="2984"/>
      <c r="D325" s="2984"/>
      <c r="E325" s="2984"/>
      <c r="F325" s="2973">
        <v>0.05</v>
      </c>
      <c r="G325" s="2990"/>
    </row>
    <row r="326" spans="1:7" ht="14.25" thickBot="1">
      <c r="A326" s="2986" t="s">
        <v>306</v>
      </c>
      <c r="B326" s="2976" t="s">
        <v>3230</v>
      </c>
      <c r="C326" s="2978"/>
      <c r="D326" s="2978"/>
      <c r="E326" s="2978"/>
      <c r="F326" s="2977">
        <v>0.05</v>
      </c>
      <c r="G326" s="2991"/>
    </row>
    <row r="327" spans="1:7">
      <c r="A327" s="2982" t="s">
        <v>307</v>
      </c>
      <c r="B327" s="2968" t="s">
        <v>2862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2874</v>
      </c>
      <c r="C329" s="2973">
        <v>0.15</v>
      </c>
      <c r="D329" s="2973">
        <v>0.15</v>
      </c>
      <c r="E329" s="2973">
        <v>0.15</v>
      </c>
      <c r="F329" s="2973">
        <v>0.15</v>
      </c>
      <c r="G329" s="2974">
        <v>0.15</v>
      </c>
    </row>
    <row r="330" spans="1:7">
      <c r="A330" s="2983" t="s">
        <v>307</v>
      </c>
      <c r="B330" s="2972" t="s">
        <v>2878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2886</v>
      </c>
      <c r="C332" s="2973">
        <v>0.15</v>
      </c>
      <c r="D332" s="2973">
        <v>0.15</v>
      </c>
      <c r="E332" s="2973">
        <v>0.15</v>
      </c>
      <c r="F332" s="2973">
        <v>0.15</v>
      </c>
      <c r="G332" s="2974">
        <v>0.15</v>
      </c>
    </row>
    <row r="333" spans="1:7">
      <c r="A333" s="2983" t="s">
        <v>307</v>
      </c>
      <c r="B333" s="2972" t="s">
        <v>2890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2896</v>
      </c>
      <c r="C336" s="2973">
        <v>0.15</v>
      </c>
      <c r="D336" s="2973">
        <v>0.15</v>
      </c>
      <c r="E336" s="2973">
        <v>0.15</v>
      </c>
      <c r="F336" s="2973">
        <v>0.14199999999999999</v>
      </c>
      <c r="G336" s="2974">
        <v>0.15</v>
      </c>
    </row>
    <row r="337" spans="1:7">
      <c r="A337" s="2983" t="s">
        <v>307</v>
      </c>
      <c r="B337" s="2972" t="s">
        <v>2901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2921</v>
      </c>
      <c r="C345" s="2973">
        <v>0.15</v>
      </c>
      <c r="D345" s="2973">
        <v>0.15</v>
      </c>
      <c r="E345" s="2973">
        <v>0.15</v>
      </c>
      <c r="F345" s="2973">
        <v>0.13800000000000001</v>
      </c>
      <c r="G345" s="2974">
        <v>0.15</v>
      </c>
    </row>
    <row r="346" spans="1:7">
      <c r="A346" s="2983" t="s">
        <v>307</v>
      </c>
      <c r="B346" s="2972" t="s">
        <v>2923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2930</v>
      </c>
      <c r="C348" s="2973">
        <v>0.15</v>
      </c>
      <c r="D348" s="2973">
        <v>0.15</v>
      </c>
      <c r="E348" s="2973">
        <v>0.15</v>
      </c>
      <c r="F348" s="2973">
        <v>0.14399999999999999</v>
      </c>
      <c r="G348" s="2974">
        <v>0.15</v>
      </c>
    </row>
    <row r="349" spans="1:7">
      <c r="A349" s="2983" t="s">
        <v>307</v>
      </c>
      <c r="B349" s="2972" t="s">
        <v>2935</v>
      </c>
      <c r="C349" s="2973">
        <v>0.15</v>
      </c>
      <c r="D349" s="2973">
        <v>0.15</v>
      </c>
      <c r="E349" s="2973">
        <v>0.15</v>
      </c>
      <c r="F349" s="2973">
        <v>0.15</v>
      </c>
      <c r="G349" s="2974">
        <v>0.15</v>
      </c>
    </row>
    <row r="350" spans="1:7">
      <c r="A350" s="2983" t="s">
        <v>307</v>
      </c>
      <c r="B350" s="2972" t="s">
        <v>2938</v>
      </c>
      <c r="C350" s="2973">
        <v>0.15</v>
      </c>
      <c r="D350" s="2973">
        <v>0.15</v>
      </c>
      <c r="E350" s="2973">
        <v>0.15</v>
      </c>
      <c r="F350" s="2973">
        <v>0.14699999999999999</v>
      </c>
      <c r="G350" s="2974">
        <v>0.15</v>
      </c>
    </row>
    <row r="351" spans="1:7">
      <c r="A351" s="2983" t="s">
        <v>307</v>
      </c>
      <c r="B351" s="2972" t="s">
        <v>2943</v>
      </c>
      <c r="C351" s="2973">
        <v>0.15</v>
      </c>
      <c r="D351" s="2973">
        <v>0.15</v>
      </c>
      <c r="E351" s="2973">
        <v>0.15</v>
      </c>
      <c r="F351" s="2973">
        <v>0.13</v>
      </c>
      <c r="G351" s="2974">
        <v>0.15</v>
      </c>
    </row>
    <row r="352" spans="1:7">
      <c r="A352" s="2983" t="s">
        <v>307</v>
      </c>
      <c r="B352" s="2972" t="s">
        <v>2948</v>
      </c>
      <c r="C352" s="2973">
        <v>0.15</v>
      </c>
      <c r="D352" s="2973">
        <v>0.15</v>
      </c>
      <c r="E352" s="2973">
        <v>0.15</v>
      </c>
      <c r="F352" s="2973">
        <v>0.14599999999999999</v>
      </c>
      <c r="G352" s="2974">
        <v>0.15</v>
      </c>
    </row>
    <row r="353" spans="1:7">
      <c r="A353" s="2983" t="s">
        <v>307</v>
      </c>
      <c r="B353" s="2972" t="s">
        <v>2955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2968</v>
      </c>
      <c r="C355" s="2973">
        <v>0.15</v>
      </c>
      <c r="D355" s="2973">
        <v>0.15</v>
      </c>
      <c r="E355" s="2973">
        <v>0.15</v>
      </c>
      <c r="F355" s="2973">
        <v>0.15</v>
      </c>
      <c r="G355" s="2974">
        <v>0.15</v>
      </c>
    </row>
    <row r="356" spans="1:7">
      <c r="A356" s="2983" t="s">
        <v>307</v>
      </c>
      <c r="B356" s="2972" t="s">
        <v>2975</v>
      </c>
      <c r="C356" s="2973">
        <v>0.15</v>
      </c>
      <c r="D356" s="2973">
        <v>0.15</v>
      </c>
      <c r="E356" s="2973">
        <v>0.15</v>
      </c>
      <c r="F356" s="2973">
        <v>0.15</v>
      </c>
      <c r="G356" s="2974">
        <v>0.15</v>
      </c>
    </row>
    <row r="357" spans="1:7" ht="14.25" thickBot="1">
      <c r="A357" s="2986" t="s">
        <v>307</v>
      </c>
      <c r="B357" s="2976" t="s">
        <v>2980</v>
      </c>
      <c r="C357" s="2977">
        <v>0.126</v>
      </c>
      <c r="D357" s="2977">
        <v>0.127</v>
      </c>
      <c r="E357" s="2977">
        <v>0.14299999999999999</v>
      </c>
      <c r="F357" s="2977">
        <v>0.125</v>
      </c>
      <c r="G357" s="2979">
        <v>0.129</v>
      </c>
    </row>
    <row r="358" spans="1:7">
      <c r="A358" s="2982" t="s">
        <v>2849</v>
      </c>
      <c r="B358" s="2968" t="s">
        <v>2863</v>
      </c>
      <c r="C358" s="2969">
        <v>0.15</v>
      </c>
      <c r="D358" s="2969">
        <v>0.15</v>
      </c>
      <c r="E358" s="2969">
        <v>0.15</v>
      </c>
      <c r="F358" s="2969">
        <v>0.15</v>
      </c>
      <c r="G358" s="2970">
        <v>0.15</v>
      </c>
    </row>
    <row r="359" spans="1:7">
      <c r="A359" s="2983" t="s">
        <v>2849</v>
      </c>
      <c r="B359" s="2972" t="s">
        <v>2869</v>
      </c>
      <c r="C359" s="2973">
        <v>0.1</v>
      </c>
      <c r="D359" s="2973">
        <v>0.1</v>
      </c>
      <c r="E359" s="2973">
        <v>0.1</v>
      </c>
      <c r="F359" s="2973">
        <v>0.1</v>
      </c>
      <c r="G359" s="2974">
        <v>0.1</v>
      </c>
    </row>
    <row r="360" spans="1:7">
      <c r="A360" s="2983" t="s">
        <v>2849</v>
      </c>
      <c r="B360" s="2972" t="s">
        <v>2875</v>
      </c>
      <c r="C360" s="2973">
        <v>0.15</v>
      </c>
      <c r="D360" s="2973">
        <v>0.15</v>
      </c>
      <c r="E360" s="2973">
        <v>0.15</v>
      </c>
      <c r="F360" s="2973">
        <v>0.14899999999999999</v>
      </c>
      <c r="G360" s="2974">
        <v>0.15</v>
      </c>
    </row>
    <row r="361" spans="1:7">
      <c r="A361" s="2983" t="s">
        <v>2849</v>
      </c>
      <c r="B361" s="2972" t="s">
        <v>153</v>
      </c>
      <c r="C361" s="2973">
        <v>0.15</v>
      </c>
      <c r="D361" s="2973">
        <v>0.15</v>
      </c>
      <c r="E361" s="2973">
        <v>0.15</v>
      </c>
      <c r="F361" s="2973">
        <v>0.115</v>
      </c>
      <c r="G361" s="2974">
        <v>0.15</v>
      </c>
    </row>
    <row r="362" spans="1:7">
      <c r="A362" s="2983" t="s">
        <v>2849</v>
      </c>
      <c r="B362" s="2972" t="s">
        <v>2882</v>
      </c>
      <c r="C362" s="2973">
        <v>0.15</v>
      </c>
      <c r="D362" s="2973">
        <v>0.15</v>
      </c>
      <c r="E362" s="2973">
        <v>0.15</v>
      </c>
      <c r="F362" s="2973">
        <v>0.106</v>
      </c>
      <c r="G362" s="2974">
        <v>0.15</v>
      </c>
    </row>
    <row r="363" spans="1:7">
      <c r="A363" s="2983" t="s">
        <v>2849</v>
      </c>
      <c r="B363" s="2972" t="s">
        <v>2887</v>
      </c>
      <c r="C363" s="2973">
        <v>0.15</v>
      </c>
      <c r="D363" s="2973">
        <v>0.15</v>
      </c>
      <c r="E363" s="2973">
        <v>0.15</v>
      </c>
      <c r="F363" s="2973">
        <v>0.14699999999999999</v>
      </c>
      <c r="G363" s="2974">
        <v>0.15</v>
      </c>
    </row>
    <row r="364" spans="1:7">
      <c r="A364" s="2983" t="s">
        <v>2849</v>
      </c>
      <c r="B364" s="2972" t="s">
        <v>2891</v>
      </c>
      <c r="C364" s="2973">
        <v>0.15</v>
      </c>
      <c r="D364" s="2973">
        <v>0.15</v>
      </c>
      <c r="E364" s="2973">
        <v>0.15</v>
      </c>
      <c r="F364" s="2973">
        <v>0.14799999999999999</v>
      </c>
      <c r="G364" s="2974">
        <v>0.15</v>
      </c>
    </row>
    <row r="365" spans="1:7">
      <c r="A365" s="2983" t="s">
        <v>2849</v>
      </c>
      <c r="B365" s="2972" t="s">
        <v>200</v>
      </c>
      <c r="C365" s="2973">
        <v>0.15</v>
      </c>
      <c r="D365" s="2973">
        <v>0.15</v>
      </c>
      <c r="E365" s="2973">
        <v>0.15</v>
      </c>
      <c r="F365" s="2973">
        <v>0.15</v>
      </c>
      <c r="G365" s="2974">
        <v>0.15</v>
      </c>
    </row>
    <row r="366" spans="1:7">
      <c r="A366" s="2983" t="s">
        <v>2849</v>
      </c>
      <c r="B366" s="2972" t="s">
        <v>2894</v>
      </c>
      <c r="C366" s="2973">
        <v>0.15</v>
      </c>
      <c r="D366" s="2973">
        <v>0.15</v>
      </c>
      <c r="E366" s="2973">
        <v>0.15</v>
      </c>
      <c r="F366" s="2973">
        <v>0.15</v>
      </c>
      <c r="G366" s="2974">
        <v>0.15</v>
      </c>
    </row>
    <row r="367" spans="1:7">
      <c r="A367" s="2983" t="s">
        <v>2849</v>
      </c>
      <c r="B367" s="2972" t="s">
        <v>2897</v>
      </c>
      <c r="C367" s="2973">
        <v>0.15</v>
      </c>
      <c r="D367" s="2973">
        <v>0.15</v>
      </c>
      <c r="E367" s="2973">
        <v>0.15</v>
      </c>
      <c r="F367" s="2973">
        <v>0.14699999999999999</v>
      </c>
      <c r="G367" s="2974">
        <v>0.15</v>
      </c>
    </row>
    <row r="368" spans="1:7">
      <c r="A368" s="2983" t="s">
        <v>2849</v>
      </c>
      <c r="B368" s="2972" t="s">
        <v>2902</v>
      </c>
      <c r="C368" s="2973">
        <v>0.15</v>
      </c>
      <c r="D368" s="2973">
        <v>0.15</v>
      </c>
      <c r="E368" s="2973">
        <v>0.15</v>
      </c>
      <c r="F368" s="2973">
        <v>0.13600000000000001</v>
      </c>
      <c r="G368" s="2974">
        <v>0.15</v>
      </c>
    </row>
    <row r="369" spans="1:7">
      <c r="A369" s="2983" t="s">
        <v>2849</v>
      </c>
      <c r="B369" s="2972" t="s">
        <v>214</v>
      </c>
      <c r="C369" s="2973">
        <v>0.15</v>
      </c>
      <c r="D369" s="2973">
        <v>0.15</v>
      </c>
      <c r="E369" s="2973">
        <v>0.15</v>
      </c>
      <c r="F369" s="2973">
        <v>0.14399999999999999</v>
      </c>
      <c r="G369" s="2974">
        <v>0.15</v>
      </c>
    </row>
    <row r="370" spans="1:7">
      <c r="A370" s="2983" t="s">
        <v>2849</v>
      </c>
      <c r="B370" s="2972" t="s">
        <v>221</v>
      </c>
      <c r="C370" s="2973">
        <v>0.15</v>
      </c>
      <c r="D370" s="2973">
        <v>0.15</v>
      </c>
      <c r="E370" s="2973">
        <v>0.15</v>
      </c>
      <c r="F370" s="2973">
        <v>0.14599999999999999</v>
      </c>
      <c r="G370" s="2974">
        <v>0.15</v>
      </c>
    </row>
    <row r="371" spans="1:7">
      <c r="A371" s="2983" t="s">
        <v>2849</v>
      </c>
      <c r="B371" s="2972" t="s">
        <v>229</v>
      </c>
      <c r="C371" s="2973">
        <v>0.15</v>
      </c>
      <c r="D371" s="2973">
        <v>0.15</v>
      </c>
      <c r="E371" s="2973">
        <v>0.15</v>
      </c>
      <c r="F371" s="2973">
        <v>0.12</v>
      </c>
      <c r="G371" s="2974">
        <v>0.15</v>
      </c>
    </row>
    <row r="372" spans="1:7">
      <c r="A372" s="2983" t="s">
        <v>2849</v>
      </c>
      <c r="B372" s="2972" t="s">
        <v>2910</v>
      </c>
      <c r="C372" s="2973">
        <v>0.15</v>
      </c>
      <c r="D372" s="2973">
        <v>0.15</v>
      </c>
      <c r="E372" s="2973">
        <v>0.15</v>
      </c>
      <c r="F372" s="2973">
        <v>0.14299999999999999</v>
      </c>
      <c r="G372" s="2974">
        <v>0.15</v>
      </c>
    </row>
    <row r="373" spans="1:7">
      <c r="A373" s="2983" t="s">
        <v>2849</v>
      </c>
      <c r="B373" s="2972" t="s">
        <v>258</v>
      </c>
      <c r="C373" s="2973">
        <v>0.15</v>
      </c>
      <c r="D373" s="2973">
        <v>0.15</v>
      </c>
      <c r="E373" s="2973">
        <v>0.15</v>
      </c>
      <c r="F373" s="2973">
        <v>0.14599999999999999</v>
      </c>
      <c r="G373" s="2974">
        <v>0.15</v>
      </c>
    </row>
    <row r="374" spans="1:7">
      <c r="A374" s="2983" t="s">
        <v>2849</v>
      </c>
      <c r="B374" s="2972" t="s">
        <v>266</v>
      </c>
      <c r="C374" s="2973">
        <v>0.15</v>
      </c>
      <c r="D374" s="2973">
        <v>0.15</v>
      </c>
      <c r="E374" s="2973">
        <v>0.15</v>
      </c>
      <c r="F374" s="2973">
        <v>0.14399999999999999</v>
      </c>
      <c r="G374" s="2974">
        <v>0.15</v>
      </c>
    </row>
    <row r="375" spans="1:7">
      <c r="A375" s="2983" t="s">
        <v>2849</v>
      </c>
      <c r="B375" s="2972" t="s">
        <v>2918</v>
      </c>
      <c r="C375" s="2973">
        <v>0.15</v>
      </c>
      <c r="D375" s="2973">
        <v>0.15</v>
      </c>
      <c r="E375" s="2973">
        <v>0.15</v>
      </c>
      <c r="F375" s="2973">
        <v>0.13</v>
      </c>
      <c r="G375" s="2974">
        <v>0.15</v>
      </c>
    </row>
    <row r="376" spans="1:7">
      <c r="A376" s="2983" t="s">
        <v>2849</v>
      </c>
      <c r="B376" s="2972" t="s">
        <v>277</v>
      </c>
      <c r="C376" s="2973">
        <v>0.15</v>
      </c>
      <c r="D376" s="2973">
        <v>0.15</v>
      </c>
      <c r="E376" s="2973">
        <v>0.15</v>
      </c>
      <c r="F376" s="2973">
        <v>0.14199999999999999</v>
      </c>
      <c r="G376" s="2974">
        <v>0.15</v>
      </c>
    </row>
    <row r="377" spans="1:7" ht="14.25" thickBot="1">
      <c r="A377" s="2986" t="s">
        <v>2849</v>
      </c>
      <c r="B377" s="2976" t="s">
        <v>2924</v>
      </c>
      <c r="C377" s="2977">
        <v>0.15</v>
      </c>
      <c r="D377" s="2977">
        <v>0.15</v>
      </c>
      <c r="E377" s="2977">
        <v>0.15</v>
      </c>
      <c r="F377" s="2977">
        <v>0.14000000000000001</v>
      </c>
      <c r="G377" s="2979">
        <v>0.15</v>
      </c>
    </row>
    <row r="378" spans="1:7">
      <c r="A378" s="2982" t="s">
        <v>2850</v>
      </c>
      <c r="B378" s="2968" t="s">
        <v>2864</v>
      </c>
      <c r="C378" s="2969">
        <v>0.15</v>
      </c>
      <c r="D378" s="2969">
        <v>0.15</v>
      </c>
      <c r="E378" s="2969">
        <v>0.15</v>
      </c>
      <c r="F378" s="2969">
        <v>0.107</v>
      </c>
      <c r="G378" s="2970">
        <v>0.15</v>
      </c>
    </row>
    <row r="379" spans="1:7">
      <c r="A379" s="2983" t="s">
        <v>2850</v>
      </c>
      <c r="B379" s="2972" t="s">
        <v>2870</v>
      </c>
      <c r="C379" s="2973">
        <v>0.15</v>
      </c>
      <c r="D379" s="2973">
        <v>0.15</v>
      </c>
      <c r="E379" s="2973">
        <v>0.15</v>
      </c>
      <c r="F379" s="2973">
        <v>0.115</v>
      </c>
      <c r="G379" s="2974">
        <v>0.14899999999999999</v>
      </c>
    </row>
    <row r="380" spans="1:7">
      <c r="A380" s="2983" t="s">
        <v>2850</v>
      </c>
      <c r="B380" s="2972" t="s">
        <v>2876</v>
      </c>
      <c r="C380" s="2973">
        <v>0.15</v>
      </c>
      <c r="D380" s="2973">
        <v>0.15</v>
      </c>
      <c r="E380" s="2973">
        <v>0.15</v>
      </c>
      <c r="F380" s="2973">
        <v>0.1</v>
      </c>
      <c r="G380" s="2974">
        <v>0.14799999999999999</v>
      </c>
    </row>
    <row r="381" spans="1:7">
      <c r="A381" s="2983" t="s">
        <v>2850</v>
      </c>
      <c r="B381" s="2972" t="s">
        <v>2879</v>
      </c>
      <c r="C381" s="2973">
        <v>0.15</v>
      </c>
      <c r="D381" s="2973">
        <v>0.15</v>
      </c>
      <c r="E381" s="2973">
        <v>0.15</v>
      </c>
      <c r="F381" s="2973">
        <v>0.126</v>
      </c>
      <c r="G381" s="2974">
        <v>0.15</v>
      </c>
    </row>
    <row r="382" spans="1:7">
      <c r="A382" s="2983" t="s">
        <v>2850</v>
      </c>
      <c r="B382" s="2972" t="s">
        <v>2883</v>
      </c>
      <c r="C382" s="2973">
        <v>0.15</v>
      </c>
      <c r="D382" s="2973">
        <v>0.15</v>
      </c>
      <c r="E382" s="2973">
        <v>0.15</v>
      </c>
      <c r="F382" s="2973">
        <v>0.15</v>
      </c>
      <c r="G382" s="2974">
        <v>0.15</v>
      </c>
    </row>
    <row r="383" spans="1:7">
      <c r="A383" s="2983" t="s">
        <v>2850</v>
      </c>
      <c r="B383" s="2972" t="s">
        <v>2888</v>
      </c>
      <c r="C383" s="2973">
        <v>0.15</v>
      </c>
      <c r="D383" s="2973">
        <v>0.15</v>
      </c>
      <c r="E383" s="2973">
        <v>0.15</v>
      </c>
      <c r="F383" s="2973">
        <v>0.14699999999999999</v>
      </c>
      <c r="G383" s="2974">
        <v>0.15</v>
      </c>
    </row>
    <row r="384" spans="1:7" ht="14.25" thickBot="1">
      <c r="A384" s="2993" t="s">
        <v>2850</v>
      </c>
      <c r="B384" s="2994" t="s">
        <v>2892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8"/>
  </cols>
  <sheetData>
    <row r="1" spans="1:6" ht="14.25">
      <c r="A1" s="3620" t="s">
        <v>3231</v>
      </c>
      <c r="B1" s="3620"/>
      <c r="C1" s="3620"/>
      <c r="D1" s="3620"/>
      <c r="E1" s="3620"/>
      <c r="F1" s="3621"/>
    </row>
    <row r="2" spans="1:6" ht="14.25">
      <c r="A2" s="2997" t="s">
        <v>3232</v>
      </c>
    </row>
    <row r="3" spans="1:6" ht="14.25">
      <c r="A3" s="2997" t="s">
        <v>3233</v>
      </c>
      <c r="F3" s="2998" t="s">
        <v>3234</v>
      </c>
    </row>
    <row r="4" spans="1:6">
      <c r="A4" s="2999" t="s">
        <v>672</v>
      </c>
      <c r="B4" s="2999" t="s">
        <v>673</v>
      </c>
      <c r="C4" s="2999" t="s">
        <v>21</v>
      </c>
      <c r="D4" s="2999" t="s">
        <v>674</v>
      </c>
      <c r="E4" s="2999" t="s">
        <v>3</v>
      </c>
      <c r="F4" s="2999" t="s">
        <v>3235</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45467</v>
      </c>
      <c r="B1" s="2924" t="s">
        <v>2837</v>
      </c>
      <c r="C1" s="2925"/>
      <c r="D1" s="2925"/>
      <c r="E1" s="2925"/>
      <c r="F1" s="2925"/>
      <c r="G1" s="2925"/>
      <c r="H1" s="2925"/>
      <c r="I1" s="2925"/>
      <c r="J1" s="2891"/>
      <c r="K1" s="2925" t="s">
        <v>454</v>
      </c>
      <c r="L1" s="2925"/>
      <c r="M1" s="2925"/>
      <c r="N1" s="2925"/>
      <c r="O1" s="2925"/>
      <c r="P1" s="2925"/>
      <c r="Q1" s="2891"/>
      <c r="R1" s="3622" t="s">
        <v>456</v>
      </c>
      <c r="S1" s="3623"/>
      <c r="T1" s="3623"/>
      <c r="U1" s="3623"/>
      <c r="V1" s="3623"/>
      <c r="W1" s="3623"/>
      <c r="X1" s="2891"/>
      <c r="Y1" s="3622" t="s">
        <v>457</v>
      </c>
      <c r="Z1" s="3623"/>
      <c r="AA1" s="3623"/>
      <c r="AB1" s="3623"/>
      <c r="AC1" s="3623"/>
      <c r="AD1" s="3623"/>
    </row>
    <row r="2" spans="1:30" s="2005" customFormat="1" ht="14.25" thickBot="1">
      <c r="B2" s="2876"/>
      <c r="C2" s="2877"/>
      <c r="D2" s="2006" t="s">
        <v>2807</v>
      </c>
      <c r="E2" s="2007" t="s">
        <v>2808</v>
      </c>
      <c r="F2" s="2007" t="s">
        <v>2809</v>
      </c>
      <c r="G2" s="2007" t="s">
        <v>2810</v>
      </c>
      <c r="H2" s="2007" t="s">
        <v>2811</v>
      </c>
      <c r="I2" s="2007" t="s">
        <v>2628</v>
      </c>
      <c r="J2" s="2878"/>
      <c r="K2" s="2006" t="s">
        <v>2807</v>
      </c>
      <c r="L2" s="2007" t="s">
        <v>2808</v>
      </c>
      <c r="M2" s="2007" t="s">
        <v>2809</v>
      </c>
      <c r="N2" s="2007" t="s">
        <v>2810</v>
      </c>
      <c r="O2" s="2007" t="s">
        <v>2812</v>
      </c>
      <c r="P2" s="2007" t="s">
        <v>2628</v>
      </c>
      <c r="Q2" s="2878"/>
      <c r="R2" s="2006" t="s">
        <v>2807</v>
      </c>
      <c r="S2" s="2007" t="s">
        <v>2808</v>
      </c>
      <c r="T2" s="2007" t="s">
        <v>2809</v>
      </c>
      <c r="U2" s="2007" t="s">
        <v>2813</v>
      </c>
      <c r="V2" s="2007" t="s">
        <v>2814</v>
      </c>
      <c r="W2" s="2007" t="s">
        <v>2628</v>
      </c>
      <c r="X2" s="2878"/>
      <c r="Y2" s="2006" t="s">
        <v>2807</v>
      </c>
      <c r="Z2" s="2007" t="s">
        <v>2808</v>
      </c>
      <c r="AA2" s="2007" t="s">
        <v>2809</v>
      </c>
      <c r="AB2" s="2007" t="s">
        <v>2815</v>
      </c>
      <c r="AC2" s="2007" t="s">
        <v>2814</v>
      </c>
      <c r="AD2" s="2007" t="s">
        <v>2628</v>
      </c>
    </row>
    <row r="3" spans="1:30" s="2881" customFormat="1" ht="12.75">
      <c r="A3" s="2879" t="s">
        <v>2816</v>
      </c>
      <c r="B3" s="2880"/>
      <c r="D3" s="2881">
        <f>ROUND(AVERAGEIF(D4:D16,"&lt;&gt;0"),2)</f>
        <v>0.82</v>
      </c>
      <c r="E3" s="2881">
        <f t="shared" ref="E3:H3" si="0">ROUND(AVERAGEIF(E4:E16,"&lt;&gt;0"),2)</f>
        <v>0.38</v>
      </c>
      <c r="F3" s="2881">
        <f t="shared" si="0"/>
        <v>0.2</v>
      </c>
      <c r="G3" s="2881">
        <f t="shared" si="0"/>
        <v>0.89</v>
      </c>
      <c r="H3" s="2881">
        <f t="shared" si="0"/>
        <v>0.64</v>
      </c>
      <c r="I3" s="2881">
        <f>F3</f>
        <v>0.2</v>
      </c>
      <c r="J3" s="2882"/>
      <c r="K3" s="2883">
        <f>ROUND(AVERAGEIF(K4:K16,"&lt;&gt;0"),4)</f>
        <v>8.2000000000000007E-3</v>
      </c>
      <c r="L3" s="2884">
        <f t="shared" ref="L3:O3" si="1">ROUND(AVERAGEIF(L4:L16,"&lt;&gt;0"),4)</f>
        <v>3.8E-3</v>
      </c>
      <c r="M3" s="2884">
        <f t="shared" si="1"/>
        <v>2E-3</v>
      </c>
      <c r="N3" s="2884">
        <f t="shared" si="1"/>
        <v>8.8999999999999999E-3</v>
      </c>
      <c r="O3" s="2884">
        <f t="shared" si="1"/>
        <v>6.4000000000000003E-3</v>
      </c>
      <c r="P3" s="2884">
        <f>M3</f>
        <v>2E-3</v>
      </c>
      <c r="Q3" s="2882"/>
      <c r="R3" s="2885">
        <f>ROUND(SUMPRODUCT(PRODUCT(1+K4:K16)),4)</f>
        <v>1.0763</v>
      </c>
      <c r="S3" s="2886">
        <f t="shared" ref="S3:V3" si="2">ROUND(SUMPRODUCT(PRODUCT(1+L4:L16)),4)</f>
        <v>1.0343</v>
      </c>
      <c r="T3" s="2886">
        <f t="shared" si="2"/>
        <v>1.0177</v>
      </c>
      <c r="U3" s="2886">
        <f t="shared" si="2"/>
        <v>1.0833999999999999</v>
      </c>
      <c r="V3" s="2886">
        <f t="shared" si="2"/>
        <v>1.0592999999999999</v>
      </c>
      <c r="W3" s="2885">
        <f>T3</f>
        <v>1.0177</v>
      </c>
      <c r="X3" s="2882"/>
      <c r="Y3" s="2887">
        <f>ROUND(AVERAGEIF(Y5:Y16,"&lt;&gt;0"),4)</f>
        <v>8.6999999999999994E-3</v>
      </c>
      <c r="Z3" s="2888">
        <f t="shared" ref="Z3:AC3" si="3">ROUND(AVERAGEIF(Z5:Z16,"&lt;&gt;0"),4)</f>
        <v>3.5000000000000001E-3</v>
      </c>
      <c r="AA3" s="2889">
        <f t="shared" si="3"/>
        <v>8.9999999999999998E-4</v>
      </c>
      <c r="AB3" s="2887">
        <f t="shared" si="3"/>
        <v>9.4999999999999998E-3</v>
      </c>
      <c r="AC3" s="2890">
        <f t="shared" si="3"/>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3367</v>
      </c>
      <c r="B5" s="2026">
        <v>2023</v>
      </c>
      <c r="C5" s="2037">
        <v>4</v>
      </c>
      <c r="D5" s="2002">
        <v>0</v>
      </c>
      <c r="E5" s="2002">
        <v>0</v>
      </c>
      <c r="F5" s="2002">
        <v>0</v>
      </c>
      <c r="G5" s="2002">
        <v>0</v>
      </c>
      <c r="H5" s="2002">
        <v>0</v>
      </c>
      <c r="I5" s="2003">
        <f t="shared" ref="I5:I16" si="4">F5</f>
        <v>0</v>
      </c>
      <c r="J5" s="2901"/>
      <c r="K5" s="2038">
        <f t="shared" ref="K5:O16" si="5">D5/100</f>
        <v>0</v>
      </c>
      <c r="L5" s="2023">
        <f t="shared" si="5"/>
        <v>0</v>
      </c>
      <c r="M5" s="2023">
        <f t="shared" si="5"/>
        <v>0</v>
      </c>
      <c r="N5" s="2023">
        <f t="shared" si="5"/>
        <v>0</v>
      </c>
      <c r="O5" s="2023">
        <f t="shared" si="5"/>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 t="shared" ref="Z5:AC5" si="6">IF(E5=0,0,ROUND(AVERAGE(E5:E16)/100,4))</f>
        <v>0</v>
      </c>
      <c r="AA5" s="2023">
        <f t="shared" si="6"/>
        <v>0</v>
      </c>
      <c r="AB5" s="2023">
        <f t="shared" si="6"/>
        <v>0</v>
      </c>
      <c r="AC5" s="2023">
        <f t="shared" si="6"/>
        <v>0</v>
      </c>
      <c r="AD5" s="2023">
        <f t="shared" ref="AD5:AD15" si="7">AA5</f>
        <v>0</v>
      </c>
    </row>
    <row r="6" spans="1:30" s="2040" customFormat="1" ht="12.75">
      <c r="A6" s="2900" t="s">
        <v>3368</v>
      </c>
      <c r="B6" s="2026">
        <v>2023</v>
      </c>
      <c r="C6" s="2037">
        <v>3</v>
      </c>
      <c r="D6" s="2002">
        <v>0</v>
      </c>
      <c r="E6" s="2002">
        <v>0</v>
      </c>
      <c r="F6" s="2002">
        <v>0</v>
      </c>
      <c r="G6" s="2002">
        <v>0</v>
      </c>
      <c r="H6" s="2002">
        <v>0</v>
      </c>
      <c r="I6" s="2003">
        <f t="shared" si="4"/>
        <v>0</v>
      </c>
      <c r="J6" s="2901"/>
      <c r="K6" s="2038">
        <f t="shared" ref="K6:K8" si="8">D6/100</f>
        <v>0</v>
      </c>
      <c r="L6" s="2023">
        <f t="shared" ref="L6:L8" si="9">E6/100</f>
        <v>0</v>
      </c>
      <c r="M6" s="2023">
        <f t="shared" ref="M6:M8" si="10">F6/100</f>
        <v>0</v>
      </c>
      <c r="N6" s="2023">
        <f t="shared" ref="N6:N8" si="11">G6/100</f>
        <v>0</v>
      </c>
      <c r="O6" s="2023">
        <f t="shared" ref="O6:O8" si="12">H6/100</f>
        <v>0</v>
      </c>
      <c r="P6" s="2023">
        <f t="shared" ref="P6:P8" si="13">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 t="shared" ref="W6:W8" si="14">T6</f>
        <v>1.0203</v>
      </c>
      <c r="X6" s="2901"/>
      <c r="Y6" s="2023"/>
      <c r="Z6" s="2023"/>
      <c r="AA6" s="2023"/>
      <c r="AB6" s="2023"/>
      <c r="AC6" s="2023"/>
      <c r="AD6" s="2023"/>
    </row>
    <row r="7" spans="1:30" s="2040" customFormat="1" ht="12.75">
      <c r="A7" s="2900" t="s">
        <v>3366</v>
      </c>
      <c r="B7" s="2026">
        <v>2023</v>
      </c>
      <c r="C7" s="2037">
        <v>2</v>
      </c>
      <c r="D7" s="2002">
        <v>0</v>
      </c>
      <c r="E7" s="2002">
        <v>0</v>
      </c>
      <c r="F7" s="2002">
        <v>0</v>
      </c>
      <c r="G7" s="2002">
        <v>0</v>
      </c>
      <c r="H7" s="2002">
        <v>0</v>
      </c>
      <c r="I7" s="2003">
        <f t="shared" si="4"/>
        <v>0</v>
      </c>
      <c r="J7" s="2901"/>
      <c r="K7" s="2038">
        <f t="shared" si="8"/>
        <v>0</v>
      </c>
      <c r="L7" s="2023">
        <f t="shared" si="9"/>
        <v>0</v>
      </c>
      <c r="M7" s="2023">
        <f t="shared" si="10"/>
        <v>0</v>
      </c>
      <c r="N7" s="2023">
        <f t="shared" si="11"/>
        <v>0</v>
      </c>
      <c r="O7" s="2023">
        <f t="shared" si="12"/>
        <v>0</v>
      </c>
      <c r="P7" s="2023">
        <f t="shared" si="13"/>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 t="shared" si="14"/>
        <v>1.0203</v>
      </c>
      <c r="X7" s="2901"/>
      <c r="Y7" s="2023"/>
      <c r="Z7" s="2023"/>
      <c r="AA7" s="2023"/>
      <c r="AB7" s="2023"/>
      <c r="AC7" s="2023"/>
      <c r="AD7" s="2023"/>
    </row>
    <row r="8" spans="1:30" s="2911" customFormat="1" ht="12.75">
      <c r="A8" s="2902" t="s">
        <v>3369</v>
      </c>
      <c r="B8" s="2903">
        <v>2023</v>
      </c>
      <c r="C8" s="2904">
        <v>1</v>
      </c>
      <c r="D8" s="2905">
        <v>0.89</v>
      </c>
      <c r="E8" s="2905">
        <v>0.74</v>
      </c>
      <c r="F8" s="2905">
        <v>0.56999999999999995</v>
      </c>
      <c r="G8" s="2905">
        <v>0.92</v>
      </c>
      <c r="H8" s="2906">
        <v>0.5</v>
      </c>
      <c r="I8" s="2907">
        <f t="shared" si="4"/>
        <v>0.56999999999999995</v>
      </c>
      <c r="J8" s="2908"/>
      <c r="K8" s="2909">
        <f t="shared" si="8"/>
        <v>8.8999999999999999E-3</v>
      </c>
      <c r="L8" s="2910">
        <f t="shared" si="9"/>
        <v>7.4000000000000003E-3</v>
      </c>
      <c r="M8" s="2910">
        <f t="shared" si="10"/>
        <v>5.6999999999999993E-3</v>
      </c>
      <c r="N8" s="2910">
        <f t="shared" si="11"/>
        <v>9.1999999999999998E-3</v>
      </c>
      <c r="O8" s="2910">
        <f t="shared" si="12"/>
        <v>5.0000000000000001E-3</v>
      </c>
      <c r="P8" s="2910">
        <f t="shared" si="13"/>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 t="shared" si="14"/>
        <v>1.0203</v>
      </c>
      <c r="X8" s="2908"/>
      <c r="Y8" s="2910"/>
      <c r="Z8" s="2910"/>
      <c r="AA8" s="2910"/>
      <c r="AB8" s="2910"/>
      <c r="AC8" s="2910"/>
      <c r="AD8" s="2910"/>
    </row>
    <row r="9" spans="1:30" s="2040" customFormat="1" ht="12.75">
      <c r="A9" s="2900" t="s">
        <v>3370</v>
      </c>
      <c r="B9" s="2026">
        <v>2022</v>
      </c>
      <c r="C9" s="2037">
        <v>4</v>
      </c>
      <c r="D9" s="2002">
        <v>0.62</v>
      </c>
      <c r="E9" s="2002">
        <v>0.2</v>
      </c>
      <c r="F9" s="2002">
        <v>0.11</v>
      </c>
      <c r="G9" s="2002">
        <v>0.69</v>
      </c>
      <c r="H9" s="2912">
        <v>0.53</v>
      </c>
      <c r="I9" s="2003">
        <f t="shared" si="4"/>
        <v>0.11</v>
      </c>
      <c r="J9" s="2901"/>
      <c r="K9" s="2038">
        <f t="shared" si="5"/>
        <v>6.1999999999999998E-3</v>
      </c>
      <c r="L9" s="2023">
        <f t="shared" si="5"/>
        <v>2E-3</v>
      </c>
      <c r="M9" s="2023">
        <f t="shared" si="5"/>
        <v>1.1000000000000001E-3</v>
      </c>
      <c r="N9" s="2023">
        <f t="shared" si="5"/>
        <v>6.8999999999999999E-3</v>
      </c>
      <c r="O9" s="2023">
        <f t="shared" si="5"/>
        <v>5.3E-3</v>
      </c>
      <c r="P9" s="2023">
        <f t="shared" ref="P9:P16" si="15">M9</f>
        <v>1.1000000000000001E-3</v>
      </c>
      <c r="Q9" s="2901"/>
      <c r="R9" s="2022">
        <f>ROUND(IF([3]项目基本情况!B8="出让",SUMPRODUCT(PRODUCT(1+K9:K16)),SUMPRODUCT(PRODUCT(1+K9:K15))),4)</f>
        <v>1.0565</v>
      </c>
      <c r="S9" s="2022">
        <f>ROUND(IF([3]项目基本情况!B8="出让",SUMPRODUCT(PRODUCT(1+L9:L16)),SUMPRODUCT(PRODUCT(1+L9:L15))),4)</f>
        <v>1.0250999999999999</v>
      </c>
      <c r="T9" s="2022">
        <f>ROUND(IF([3]项目基本情况!B8="出让",SUMPRODUCT(PRODUCT(1+M9:M16)),SUMPRODUCT(PRODUCT(1+M9:M15))),4)</f>
        <v>1.0145</v>
      </c>
      <c r="U9" s="2022">
        <f>ROUND(IF([3]项目基本情况!B8="出让",SUMPRODUCT(PRODUCT(1+N9:N16)),SUMPRODUCT(PRODUCT(1+N9:N15))),4)</f>
        <v>1.0618000000000001</v>
      </c>
      <c r="V9" s="2022">
        <f>ROUND(IF([3]项目基本情况!B8="出让",SUMPRODUCT(PRODUCT(1+O9:O16)),SUMPRODUCT(PRODUCT(1+O9:O15))),4)</f>
        <v>1.0502</v>
      </c>
      <c r="W9" s="2022">
        <f t="shared" ref="W9:W16" si="16">T9</f>
        <v>1.0145</v>
      </c>
      <c r="X9" s="2901"/>
      <c r="Y9" s="2023">
        <f>IF(D9=0,0,ROUND(AVERAGE(D9:D17)/100,4))</f>
        <v>8.0999999999999996E-3</v>
      </c>
      <c r="Z9" s="2023">
        <f t="shared" ref="Z9:AC9" si="17">IF(E9=0,0,ROUND(AVERAGE(E9:E16)/100,4))</f>
        <v>3.3E-3</v>
      </c>
      <c r="AA9" s="2023">
        <f t="shared" si="17"/>
        <v>1.5E-3</v>
      </c>
      <c r="AB9" s="2023">
        <f t="shared" si="17"/>
        <v>8.8999999999999999E-3</v>
      </c>
      <c r="AC9" s="2023">
        <f t="shared" si="17"/>
        <v>6.6E-3</v>
      </c>
      <c r="AD9" s="2023">
        <f t="shared" si="7"/>
        <v>1.5E-3</v>
      </c>
    </row>
    <row r="10" spans="1:30" s="2040" customFormat="1" ht="12.75">
      <c r="A10" s="2900" t="s">
        <v>3362</v>
      </c>
      <c r="B10" s="2026">
        <v>2022</v>
      </c>
      <c r="C10" s="2037">
        <v>3</v>
      </c>
      <c r="D10" s="2002">
        <v>0.66</v>
      </c>
      <c r="E10" s="2002">
        <v>0.32</v>
      </c>
      <c r="F10" s="2002">
        <v>0.23</v>
      </c>
      <c r="G10" s="2002">
        <v>0.72</v>
      </c>
      <c r="H10" s="2912">
        <v>0.63</v>
      </c>
      <c r="I10" s="2003">
        <f t="shared" si="4"/>
        <v>0.23</v>
      </c>
      <c r="J10" s="2901"/>
      <c r="K10" s="2038">
        <f t="shared" si="5"/>
        <v>6.6E-3</v>
      </c>
      <c r="L10" s="2023">
        <f t="shared" si="5"/>
        <v>3.2000000000000002E-3</v>
      </c>
      <c r="M10" s="2023">
        <f t="shared" si="5"/>
        <v>2.3E-3</v>
      </c>
      <c r="N10" s="2023">
        <f t="shared" si="5"/>
        <v>7.1999999999999998E-3</v>
      </c>
      <c r="O10" s="2023">
        <f t="shared" si="5"/>
        <v>6.3E-3</v>
      </c>
      <c r="P10" s="2023">
        <f t="shared" si="15"/>
        <v>2.3E-3</v>
      </c>
      <c r="Q10" s="2901"/>
      <c r="R10" s="2022">
        <f>ROUND(IF([3]项目基本情况!B8="出让",SUMPRODUCT(PRODUCT(1+K10:K16)),SUMPRODUCT(PRODUCT(1+K10:K15))),4)</f>
        <v>1.05</v>
      </c>
      <c r="S10" s="2022">
        <f>ROUND(IF([3]项目基本情况!B8="出让",SUMPRODUCT(PRODUCT(1+L10:L16)),SUMPRODUCT(PRODUCT(1+L10:L15))),4)</f>
        <v>1.0229999999999999</v>
      </c>
      <c r="T10" s="2022">
        <f>ROUND(IF([3]项目基本情况!B8="出让",SUMPRODUCT(PRODUCT(1+M10:M16)),SUMPRODUCT(PRODUCT(1+M10:M15))),4)</f>
        <v>1.0134000000000001</v>
      </c>
      <c r="U10" s="2022">
        <f>ROUND(IF([3]项目基本情况!B8="出让",SUMPRODUCT(PRODUCT(1+N10:N16)),SUMPRODUCT(PRODUCT(1+N10:N15))),4)</f>
        <v>1.0545</v>
      </c>
      <c r="V10" s="2022">
        <f>ROUND(IF([3]项目基本情况!B8="出让",SUMPRODUCT(PRODUCT(1+O10:O16)),SUMPRODUCT(PRODUCT(1+O10:O15))),4)</f>
        <v>1.0447</v>
      </c>
      <c r="W10" s="2022">
        <f t="shared" si="16"/>
        <v>1.0134000000000001</v>
      </c>
      <c r="X10" s="2901"/>
      <c r="Y10" s="2023">
        <f>IF(D10=0,0,ROUND(AVERAGE(D10:D16)/100,4))</f>
        <v>8.3999999999999995E-3</v>
      </c>
      <c r="Z10" s="2023">
        <f t="shared" ref="Z10:AC10" si="18">IF(E10=0,0,ROUND(AVERAGE(E10:E16)/100,4))</f>
        <v>3.5000000000000001E-3</v>
      </c>
      <c r="AA10" s="2023">
        <f t="shared" si="18"/>
        <v>1.5E-3</v>
      </c>
      <c r="AB10" s="2023">
        <f t="shared" si="18"/>
        <v>9.1999999999999998E-3</v>
      </c>
      <c r="AC10" s="2023">
        <f t="shared" si="18"/>
        <v>6.7999999999999996E-3</v>
      </c>
      <c r="AD10" s="2023">
        <f t="shared" si="7"/>
        <v>1.5E-3</v>
      </c>
    </row>
    <row r="11" spans="1:30" s="2040" customFormat="1" ht="12.75">
      <c r="A11" s="2900" t="s">
        <v>3353</v>
      </c>
      <c r="B11" s="2026">
        <v>2022</v>
      </c>
      <c r="C11" s="2037">
        <v>2</v>
      </c>
      <c r="D11" s="2002">
        <v>0.93</v>
      </c>
      <c r="E11" s="2002">
        <v>0.15</v>
      </c>
      <c r="F11" s="2002">
        <v>0.01</v>
      </c>
      <c r="G11" s="2002">
        <v>1.05</v>
      </c>
      <c r="H11" s="2912">
        <v>1.08</v>
      </c>
      <c r="I11" s="2003">
        <f t="shared" si="4"/>
        <v>0.01</v>
      </c>
      <c r="J11" s="2901"/>
      <c r="K11" s="2038">
        <f t="shared" si="5"/>
        <v>9.300000000000001E-3</v>
      </c>
      <c r="L11" s="2023">
        <f t="shared" si="5"/>
        <v>1.5E-3</v>
      </c>
      <c r="M11" s="2023">
        <f t="shared" si="5"/>
        <v>1E-4</v>
      </c>
      <c r="N11" s="2023">
        <f t="shared" si="5"/>
        <v>1.0500000000000001E-2</v>
      </c>
      <c r="O11" s="2023">
        <f t="shared" si="5"/>
        <v>1.0800000000000001E-2</v>
      </c>
      <c r="P11" s="2023">
        <f t="shared" si="15"/>
        <v>1E-4</v>
      </c>
      <c r="Q11" s="2901"/>
      <c r="R11" s="2022">
        <f>ROUND(IF([3]项目基本情况!B8="出让",SUMPRODUCT(PRODUCT(1+K11:K16)),SUMPRODUCT(PRODUCT(1+K11:K15))),4)</f>
        <v>1.0430999999999999</v>
      </c>
      <c r="S11" s="2022">
        <f>ROUND(IF([3]项目基本情况!B8="出让",SUMPRODUCT(PRODUCT(1+L11:L16)),SUMPRODUCT(PRODUCT(1+L11:L15))),4)</f>
        <v>1.0197000000000001</v>
      </c>
      <c r="T11" s="2022">
        <f>ROUND(IF([3]项目基本情况!B8="出让",SUMPRODUCT(PRODUCT(1+M11:M16)),SUMPRODUCT(PRODUCT(1+M11:M15))),4)</f>
        <v>1.0109999999999999</v>
      </c>
      <c r="U11" s="2022">
        <f>ROUND(IF([3]项目基本情况!B8="出让",SUMPRODUCT(PRODUCT(1+N11:N16)),SUMPRODUCT(PRODUCT(1+N11:N15))),4)</f>
        <v>1.0468999999999999</v>
      </c>
      <c r="V11" s="2022">
        <f>ROUND(IF([3]项目基本情况!B8="出让",SUMPRODUCT(PRODUCT(1+O11:O16)),SUMPRODUCT(PRODUCT(1+O11:O15))),4)</f>
        <v>1.0382</v>
      </c>
      <c r="W11" s="2022">
        <f t="shared" si="16"/>
        <v>1.0109999999999999</v>
      </c>
      <c r="X11" s="2901"/>
      <c r="Y11" s="2023">
        <f>IF(D11=0,0,ROUND(AVERAGE(D11:D16)/100,4))</f>
        <v>8.6999999999999994E-3</v>
      </c>
      <c r="Z11" s="2023">
        <f t="shared" ref="Z11:AC11" si="19">IF(E11=0,0,ROUND(AVERAGE(E11:E16)/100,4))</f>
        <v>3.5000000000000001E-3</v>
      </c>
      <c r="AA11" s="2023">
        <f t="shared" si="19"/>
        <v>1.4E-3</v>
      </c>
      <c r="AB11" s="2023">
        <f t="shared" si="19"/>
        <v>9.4999999999999998E-3</v>
      </c>
      <c r="AC11" s="2023">
        <f t="shared" si="19"/>
        <v>6.8999999999999999E-3</v>
      </c>
      <c r="AD11" s="2023">
        <f t="shared" si="7"/>
        <v>1.4E-3</v>
      </c>
    </row>
    <row r="12" spans="1:30" s="2040" customFormat="1" ht="12.75">
      <c r="A12" s="2900" t="s">
        <v>2817</v>
      </c>
      <c r="B12" s="2026">
        <v>2022</v>
      </c>
      <c r="C12" s="2037">
        <v>1</v>
      </c>
      <c r="D12" s="2002">
        <v>0.89</v>
      </c>
      <c r="E12" s="2002">
        <v>0.44</v>
      </c>
      <c r="F12" s="2002">
        <v>0.37</v>
      </c>
      <c r="G12" s="2002">
        <v>0.96</v>
      </c>
      <c r="H12" s="2912">
        <v>0.64</v>
      </c>
      <c r="I12" s="2003">
        <f t="shared" si="4"/>
        <v>0.37</v>
      </c>
      <c r="J12" s="2901"/>
      <c r="K12" s="2038">
        <f t="shared" si="5"/>
        <v>8.8999999999999999E-3</v>
      </c>
      <c r="L12" s="2023">
        <f t="shared" si="5"/>
        <v>4.4000000000000003E-3</v>
      </c>
      <c r="M12" s="2023">
        <f t="shared" si="5"/>
        <v>3.7000000000000002E-3</v>
      </c>
      <c r="N12" s="2023">
        <f t="shared" si="5"/>
        <v>9.5999999999999992E-3</v>
      </c>
      <c r="O12" s="2023">
        <f t="shared" si="5"/>
        <v>6.4000000000000003E-3</v>
      </c>
      <c r="P12" s="2023">
        <f t="shared" si="15"/>
        <v>3.7000000000000002E-3</v>
      </c>
      <c r="Q12" s="2901"/>
      <c r="R12" s="2022">
        <f>ROUND(IF([3]项目基本情况!B8="出让",SUMPRODUCT(PRODUCT(1+K12:K16)),SUMPRODUCT(PRODUCT(1+K12:K15))),4)</f>
        <v>1.0335000000000001</v>
      </c>
      <c r="S12" s="2022">
        <f>ROUND(IF([3]项目基本情况!B8="出让",SUMPRODUCT(PRODUCT(1+L12:L16)),SUMPRODUCT(PRODUCT(1+L12:L15))),4)</f>
        <v>1.0182</v>
      </c>
      <c r="T12" s="2022">
        <f>ROUND(IF([3]项目基本情况!B8="出让",SUMPRODUCT(PRODUCT(1+M12:M16)),SUMPRODUCT(PRODUCT(1+M12:M15))),4)</f>
        <v>1.0108999999999999</v>
      </c>
      <c r="U12" s="2022">
        <f>ROUND(IF([3]项目基本情况!B8="出让",SUMPRODUCT(PRODUCT(1+N12:N16)),SUMPRODUCT(PRODUCT(1+N12:N15))),4)</f>
        <v>1.0361</v>
      </c>
      <c r="V12" s="2022">
        <f>ROUND(IF([3]项目基本情况!B8="出让",SUMPRODUCT(PRODUCT(1+O12:O16)),SUMPRODUCT(PRODUCT(1+O12:O15))),4)</f>
        <v>1.0270999999999999</v>
      </c>
      <c r="W12" s="2022">
        <f t="shared" si="16"/>
        <v>1.0108999999999999</v>
      </c>
      <c r="X12" s="2901"/>
      <c r="Y12" s="2023">
        <f>IF(D12=0,0,ROUND(AVERAGE(D12:D16)/100,4))</f>
        <v>8.6E-3</v>
      </c>
      <c r="Z12" s="2023">
        <f t="shared" ref="Z12:AC12" si="20">IF(E12=0,0,ROUND(AVERAGE(E12:E16)/100,4))</f>
        <v>3.8999999999999998E-3</v>
      </c>
      <c r="AA12" s="2023">
        <f t="shared" si="20"/>
        <v>1.6999999999999999E-3</v>
      </c>
      <c r="AB12" s="2023">
        <f t="shared" si="20"/>
        <v>9.2999999999999992E-3</v>
      </c>
      <c r="AC12" s="2023">
        <f t="shared" si="20"/>
        <v>6.1000000000000004E-3</v>
      </c>
      <c r="AD12" s="2023">
        <f t="shared" si="7"/>
        <v>1.6999999999999999E-3</v>
      </c>
    </row>
    <row r="13" spans="1:30" s="2040" customFormat="1" ht="12.75">
      <c r="A13" s="2900" t="s">
        <v>2818</v>
      </c>
      <c r="B13" s="2026">
        <v>2021</v>
      </c>
      <c r="C13" s="2037">
        <v>4</v>
      </c>
      <c r="D13" s="2002">
        <v>1.03</v>
      </c>
      <c r="E13" s="2002">
        <v>0.24</v>
      </c>
      <c r="F13" s="2002">
        <v>7.0000000000000007E-2</v>
      </c>
      <c r="G13" s="2002">
        <v>1.17</v>
      </c>
      <c r="H13" s="2912">
        <v>0.55000000000000004</v>
      </c>
      <c r="I13" s="2003">
        <f t="shared" si="4"/>
        <v>7.0000000000000007E-2</v>
      </c>
      <c r="J13" s="2901"/>
      <c r="K13" s="2038">
        <f t="shared" si="5"/>
        <v>1.03E-2</v>
      </c>
      <c r="L13" s="2023">
        <f t="shared" si="5"/>
        <v>2.3999999999999998E-3</v>
      </c>
      <c r="M13" s="2023">
        <f t="shared" si="5"/>
        <v>7.000000000000001E-4</v>
      </c>
      <c r="N13" s="2023">
        <f t="shared" si="5"/>
        <v>1.1699999999999999E-2</v>
      </c>
      <c r="O13" s="2023">
        <f t="shared" si="5"/>
        <v>5.5000000000000005E-3</v>
      </c>
      <c r="P13" s="2023">
        <f t="shared" si="15"/>
        <v>7.000000000000001E-4</v>
      </c>
      <c r="Q13" s="2901"/>
      <c r="R13" s="2022">
        <f>ROUND(IF([3]项目基本情况!B8="出让",SUMPRODUCT(PRODUCT(1+K13:K16)),SUMPRODUCT(PRODUCT(1+K13:K15))),4)</f>
        <v>1.0244</v>
      </c>
      <c r="S13" s="2022">
        <f>ROUND(IF([3]项目基本情况!B8="出让",SUMPRODUCT(PRODUCT(1+L13:L16)),SUMPRODUCT(PRODUCT(1+L13:L15))),4)</f>
        <v>1.0138</v>
      </c>
      <c r="T13" s="2022">
        <f>ROUND(IF([3]项目基本情况!B8="出让",SUMPRODUCT(PRODUCT(1+M13:M16)),SUMPRODUCT(PRODUCT(1+M13:M15))),4)</f>
        <v>1.0072000000000001</v>
      </c>
      <c r="U13" s="2022">
        <f>ROUND(IF([3]项目基本情况!B8="出让",SUMPRODUCT(PRODUCT(1+N13:N16)),SUMPRODUCT(PRODUCT(1+N13:N15))),4)</f>
        <v>1.0262</v>
      </c>
      <c r="V13" s="2022">
        <f>ROUND(IF([3]项目基本情况!B8="出让",SUMPRODUCT(PRODUCT(1+O13:O16)),SUMPRODUCT(PRODUCT(1+O13:O15))),4)</f>
        <v>1.0205</v>
      </c>
      <c r="W13" s="2022">
        <f t="shared" si="16"/>
        <v>1.0072000000000001</v>
      </c>
      <c r="X13" s="2901"/>
      <c r="Y13" s="2023">
        <f>IF(D13=0,0,ROUND(AVERAGE(D13:D16)/100,4))</f>
        <v>8.5000000000000006E-3</v>
      </c>
      <c r="Z13" s="2023">
        <f t="shared" ref="Z13:AC13" si="21">IF(E13=0,0,ROUND(AVERAGE(E13:E16)/100,4))</f>
        <v>3.8E-3</v>
      </c>
      <c r="AA13" s="2023">
        <f t="shared" si="21"/>
        <v>1.1999999999999999E-3</v>
      </c>
      <c r="AB13" s="2023">
        <f t="shared" si="21"/>
        <v>9.2999999999999992E-3</v>
      </c>
      <c r="AC13" s="2023">
        <f t="shared" si="21"/>
        <v>6.0000000000000001E-3</v>
      </c>
      <c r="AD13" s="2023">
        <f t="shared" si="7"/>
        <v>1.1999999999999999E-3</v>
      </c>
    </row>
    <row r="14" spans="1:30" s="2040" customFormat="1" ht="12.75">
      <c r="A14" s="2900" t="s">
        <v>2819</v>
      </c>
      <c r="B14" s="2026">
        <v>2021</v>
      </c>
      <c r="C14" s="2037">
        <v>3</v>
      </c>
      <c r="D14" s="2002">
        <v>0.47</v>
      </c>
      <c r="E14" s="2002">
        <v>0.41</v>
      </c>
      <c r="F14" s="2002">
        <v>0.24</v>
      </c>
      <c r="G14" s="2002">
        <v>0.48</v>
      </c>
      <c r="H14" s="2912">
        <v>0.48</v>
      </c>
      <c r="I14" s="2003">
        <f t="shared" si="4"/>
        <v>0.24</v>
      </c>
      <c r="J14" s="2901"/>
      <c r="K14" s="2038">
        <f t="shared" si="5"/>
        <v>4.6999999999999993E-3</v>
      </c>
      <c r="L14" s="2023">
        <f t="shared" si="5"/>
        <v>4.0999999999999995E-3</v>
      </c>
      <c r="M14" s="2023">
        <f t="shared" si="5"/>
        <v>2.3999999999999998E-3</v>
      </c>
      <c r="N14" s="2023">
        <f t="shared" si="5"/>
        <v>4.7999999999999996E-3</v>
      </c>
      <c r="O14" s="2023">
        <f t="shared" si="5"/>
        <v>4.7999999999999996E-3</v>
      </c>
      <c r="P14" s="2023">
        <f t="shared" si="15"/>
        <v>2.3999999999999998E-3</v>
      </c>
      <c r="Q14" s="2901"/>
      <c r="R14" s="2022">
        <f>ROUND(IF([3]项目基本情况!B8="出让",SUMPRODUCT(PRODUCT(1+K14:K16)),SUMPRODUCT(PRODUCT(1+K14:K15))),4)</f>
        <v>1.0139</v>
      </c>
      <c r="S14" s="2022">
        <f>ROUND(IF([3]项目基本情况!B8="出让",SUMPRODUCT(PRODUCT(1+L14:L16)),SUMPRODUCT(PRODUCT(1+L14:L15))),4)</f>
        <v>1.0113000000000001</v>
      </c>
      <c r="T14" s="2022">
        <f>ROUND(IF([3]项目基本情况!B8="出让",SUMPRODUCT(PRODUCT(1+M14:M16)),SUMPRODUCT(PRODUCT(1+M14:M15))),4)</f>
        <v>1.0065</v>
      </c>
      <c r="U14" s="2022">
        <f>ROUND(IF([3]项目基本情况!B8="出让",SUMPRODUCT(PRODUCT(1+N14:N16)),SUMPRODUCT(PRODUCT(1+N14:N15))),4)</f>
        <v>1.0143</v>
      </c>
      <c r="V14" s="2022">
        <f>ROUND(IF([3]项目基本情况!B8="出让",SUMPRODUCT(PRODUCT(1+O14:O16)),SUMPRODUCT(PRODUCT(1+O14:O15))),4)</f>
        <v>1.0148999999999999</v>
      </c>
      <c r="W14" s="2022">
        <f t="shared" si="16"/>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7"/>
        <v>1.2999999999999999E-3</v>
      </c>
    </row>
    <row r="15" spans="1:30" s="2040" customFormat="1" ht="12.75">
      <c r="A15" s="2900" t="s">
        <v>2820</v>
      </c>
      <c r="B15" s="2026">
        <v>2021</v>
      </c>
      <c r="C15" s="2037">
        <v>2</v>
      </c>
      <c r="D15" s="2002">
        <v>0.92</v>
      </c>
      <c r="E15" s="2002">
        <v>0.72</v>
      </c>
      <c r="F15" s="2002">
        <v>0.41</v>
      </c>
      <c r="G15" s="2002">
        <v>0.95</v>
      </c>
      <c r="H15" s="2912">
        <v>1.01</v>
      </c>
      <c r="I15" s="2003">
        <f t="shared" si="4"/>
        <v>0.41</v>
      </c>
      <c r="J15" s="2901"/>
      <c r="K15" s="2038">
        <f t="shared" si="5"/>
        <v>9.1999999999999998E-3</v>
      </c>
      <c r="L15" s="2023">
        <f t="shared" si="5"/>
        <v>7.1999999999999998E-3</v>
      </c>
      <c r="M15" s="2023">
        <f t="shared" si="5"/>
        <v>4.0999999999999995E-3</v>
      </c>
      <c r="N15" s="2023">
        <f t="shared" si="5"/>
        <v>9.4999999999999998E-3</v>
      </c>
      <c r="O15" s="2023">
        <f t="shared" si="5"/>
        <v>1.01E-2</v>
      </c>
      <c r="P15" s="2023">
        <f t="shared" si="15"/>
        <v>4.0999999999999995E-3</v>
      </c>
      <c r="Q15" s="2901"/>
      <c r="R15" s="2022">
        <f>ROUND(IF([3]项目基本情况!B8="出让",SUMPRODUCT(PRODUCT(1+K15:K16)),SUMPRODUCT(PRODUCT(1+K15:K15))),4)</f>
        <v>1.0092000000000001</v>
      </c>
      <c r="S15" s="2022">
        <f>ROUND(IF([3]项目基本情况!B8="出让",SUMPRODUCT(PRODUCT(1+L15:L16)),SUMPRODUCT(PRODUCT(1+L15:L15))),4)</f>
        <v>1.0072000000000001</v>
      </c>
      <c r="T15" s="2022">
        <f>ROUND(IF([3]项目基本情况!B8="出让",SUMPRODUCT(PRODUCT(1+M15:M16)),SUMPRODUCT(PRODUCT(1+M15:M15))),4)</f>
        <v>1.0041</v>
      </c>
      <c r="U15" s="2022">
        <f>ROUND(IF([3]项目基本情况!B8="出让",SUMPRODUCT(PRODUCT(1+N15:N16)),SUMPRODUCT(PRODUCT(1+N15:N15))),4)</f>
        <v>1.0095000000000001</v>
      </c>
      <c r="V15" s="2022">
        <f>ROUND(IF([3]项目基本情况!B8="出让",SUMPRODUCT(PRODUCT(1+O15:O16)),SUMPRODUCT(PRODUCT(1+O15:O15))),4)</f>
        <v>1.0101</v>
      </c>
      <c r="W15" s="2022">
        <f t="shared" si="16"/>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7"/>
        <v>8.0000000000000004E-4</v>
      </c>
    </row>
    <row r="16" spans="1:30" s="2923" customFormat="1" thickBot="1">
      <c r="A16" s="2913" t="s">
        <v>2821</v>
      </c>
      <c r="B16" s="2914">
        <v>2021</v>
      </c>
      <c r="C16" s="2915">
        <v>1</v>
      </c>
      <c r="D16" s="2916">
        <v>0.97</v>
      </c>
      <c r="E16" s="2916">
        <v>0.16</v>
      </c>
      <c r="F16" s="2916">
        <v>-0.25</v>
      </c>
      <c r="G16" s="2916">
        <v>1.1100000000000001</v>
      </c>
      <c r="H16" s="2917">
        <v>0.36</v>
      </c>
      <c r="I16" s="2918">
        <f t="shared" si="4"/>
        <v>-0.25</v>
      </c>
      <c r="J16" s="2919"/>
      <c r="K16" s="2920">
        <f t="shared" si="5"/>
        <v>9.7000000000000003E-3</v>
      </c>
      <c r="L16" s="2921">
        <f t="shared" si="5"/>
        <v>1.6000000000000001E-3</v>
      </c>
      <c r="M16" s="2921">
        <f>F16/100</f>
        <v>-2.5000000000000001E-3</v>
      </c>
      <c r="N16" s="2921">
        <f t="shared" si="5"/>
        <v>1.11E-2</v>
      </c>
      <c r="O16" s="2921">
        <f t="shared" si="5"/>
        <v>3.5999999999999999E-3</v>
      </c>
      <c r="P16" s="2921">
        <f t="shared" si="15"/>
        <v>-2.5000000000000001E-3</v>
      </c>
      <c r="Q16" s="2919"/>
      <c r="R16" s="2922">
        <v>1</v>
      </c>
      <c r="S16" s="2922">
        <v>1</v>
      </c>
      <c r="T16" s="2922">
        <v>1</v>
      </c>
      <c r="U16" s="2922">
        <v>1</v>
      </c>
      <c r="V16" s="2922">
        <v>1</v>
      </c>
      <c r="W16" s="2922">
        <f t="shared" si="16"/>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3364</v>
      </c>
    </row>
    <row r="19" spans="1:30">
      <c r="I19" s="1401" t="s">
        <v>2822</v>
      </c>
    </row>
    <row r="21" spans="1:30" s="2004" customFormat="1" ht="12.75">
      <c r="B21" s="2924" t="s">
        <v>2823</v>
      </c>
      <c r="C21" s="2925"/>
      <c r="D21" s="2925"/>
      <c r="E21" s="2925"/>
      <c r="F21" s="2925"/>
      <c r="G21" s="2925"/>
      <c r="H21" s="2925"/>
      <c r="I21" s="2925"/>
      <c r="J21" s="2891"/>
      <c r="K21" s="2925" t="s">
        <v>2824</v>
      </c>
      <c r="L21" s="2925"/>
      <c r="M21" s="2925"/>
      <c r="N21" s="2925"/>
      <c r="O21" s="2925"/>
      <c r="P21" s="2925"/>
      <c r="Q21" s="2891"/>
      <c r="R21" s="3622" t="s">
        <v>2825</v>
      </c>
      <c r="S21" s="3623"/>
      <c r="T21" s="3623"/>
      <c r="U21" s="3623"/>
      <c r="V21" s="3623"/>
      <c r="W21" s="3623"/>
      <c r="X21" s="2891"/>
      <c r="Y21" s="3622" t="s">
        <v>2826</v>
      </c>
      <c r="Z21" s="3623"/>
      <c r="AA21" s="3623"/>
      <c r="AB21" s="3623"/>
      <c r="AC21" s="3623"/>
      <c r="AD21" s="3623"/>
    </row>
    <row r="22" spans="1:30" s="2005" customFormat="1" ht="14.25" thickBot="1">
      <c r="B22" s="2876"/>
      <c r="C22" s="2877"/>
      <c r="D22" s="2006" t="s">
        <v>2827</v>
      </c>
      <c r="E22" s="2007" t="s">
        <v>2828</v>
      </c>
      <c r="F22" s="2007" t="s">
        <v>2829</v>
      </c>
      <c r="G22" s="2007" t="s">
        <v>2830</v>
      </c>
      <c r="H22" s="2007"/>
      <c r="I22" s="2007" t="s">
        <v>2831</v>
      </c>
      <c r="J22" s="2878"/>
      <c r="K22" s="2006" t="s">
        <v>2827</v>
      </c>
      <c r="L22" s="2007" t="s">
        <v>2828</v>
      </c>
      <c r="M22" s="2007" t="s">
        <v>2829</v>
      </c>
      <c r="N22" s="2007" t="s">
        <v>2830</v>
      </c>
      <c r="O22" s="2007"/>
      <c r="P22" s="2007" t="s">
        <v>2831</v>
      </c>
      <c r="Q22" s="2878"/>
      <c r="R22" s="2006" t="s">
        <v>2827</v>
      </c>
      <c r="S22" s="2007" t="s">
        <v>2828</v>
      </c>
      <c r="T22" s="2007" t="s">
        <v>2829</v>
      </c>
      <c r="U22" s="2007" t="s">
        <v>2830</v>
      </c>
      <c r="V22" s="2007"/>
      <c r="W22" s="2007" t="s">
        <v>2831</v>
      </c>
      <c r="X22" s="2878"/>
      <c r="Y22" s="2006" t="s">
        <v>2827</v>
      </c>
      <c r="Z22" s="2007" t="s">
        <v>2828</v>
      </c>
      <c r="AA22" s="2007" t="s">
        <v>2829</v>
      </c>
      <c r="AB22" s="2007" t="s">
        <v>2830</v>
      </c>
      <c r="AC22" s="2007"/>
      <c r="AD22" s="2007" t="s">
        <v>2831</v>
      </c>
    </row>
    <row r="23" spans="1:30" s="2881" customFormat="1" ht="12.75">
      <c r="A23" s="2879" t="s">
        <v>2832</v>
      </c>
      <c r="B23" s="2880"/>
      <c r="E23" s="2881">
        <f t="shared" ref="E23:G23" si="22">ROUND(AVERAGEIF(E24:E36,"&lt;&gt;0"),2)</f>
        <v>0.42</v>
      </c>
      <c r="F23" s="2881">
        <f t="shared" si="22"/>
        <v>0.3</v>
      </c>
      <c r="G23" s="2881">
        <f t="shared" si="22"/>
        <v>0.73</v>
      </c>
      <c r="I23" s="2881">
        <f>F23</f>
        <v>0.3</v>
      </c>
      <c r="J23" s="2882"/>
      <c r="K23" s="2883"/>
      <c r="L23" s="2884">
        <f t="shared" ref="L23:N23" si="23">ROUND(AVERAGEIF(L24:L36,"&lt;&gt;0"),4)</f>
        <v>4.1999999999999997E-3</v>
      </c>
      <c r="M23" s="2884">
        <f t="shared" si="23"/>
        <v>3.0000000000000001E-3</v>
      </c>
      <c r="N23" s="2884">
        <f t="shared" si="23"/>
        <v>7.3000000000000001E-3</v>
      </c>
      <c r="O23" s="2884"/>
      <c r="P23" s="2884">
        <f>M23</f>
        <v>3.0000000000000001E-3</v>
      </c>
      <c r="Q23" s="2882"/>
      <c r="R23" s="2885"/>
      <c r="S23" s="2886">
        <f>ROUND(SUMPRODUCT(PRODUCT(1+L24:L36)),4)</f>
        <v>1.038</v>
      </c>
      <c r="T23" s="2886">
        <f t="shared" ref="T23:U23" si="24">ROUND(SUMPRODUCT(PRODUCT(1+M24:M36)),4)</f>
        <v>1.0273000000000001</v>
      </c>
      <c r="U23" s="2886">
        <f t="shared" si="24"/>
        <v>1.0677000000000001</v>
      </c>
      <c r="V23" s="2886"/>
      <c r="W23" s="2885">
        <f>T23</f>
        <v>1.0273000000000001</v>
      </c>
      <c r="X23" s="2882"/>
      <c r="Y23" s="2887"/>
      <c r="Z23" s="2888">
        <f t="shared" ref="Z23:AB23" si="25">ROUND(AVERAGEIF(Z24:Z36,"&lt;&gt;0"),4)</f>
        <v>4.3E-3</v>
      </c>
      <c r="AA23" s="2889">
        <f t="shared" si="25"/>
        <v>3.5999999999999999E-3</v>
      </c>
      <c r="AB23" s="2887">
        <f t="shared" si="25"/>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3367</v>
      </c>
      <c r="B25" s="2026">
        <v>2023</v>
      </c>
      <c r="C25" s="2037">
        <v>4</v>
      </c>
      <c r="D25" s="2002"/>
      <c r="E25" s="2002">
        <v>0</v>
      </c>
      <c r="F25" s="2002">
        <v>0</v>
      </c>
      <c r="G25" s="2002">
        <v>0</v>
      </c>
      <c r="H25" s="2002"/>
      <c r="I25" s="2003">
        <f t="shared" ref="I25:I36" si="26">F25</f>
        <v>0</v>
      </c>
      <c r="J25" s="2901"/>
      <c r="K25" s="2038"/>
      <c r="L25" s="2023">
        <f t="shared" ref="L25:N36" si="27">E25/100</f>
        <v>0</v>
      </c>
      <c r="M25" s="2023">
        <f t="shared" si="27"/>
        <v>0</v>
      </c>
      <c r="N25" s="2023">
        <f t="shared" si="27"/>
        <v>0</v>
      </c>
      <c r="O25" s="2023"/>
      <c r="P25" s="2023">
        <f>M25</f>
        <v>0</v>
      </c>
      <c r="Q25" s="2901"/>
      <c r="R25" s="2022"/>
      <c r="S25" s="2022">
        <f>ROUND(IF([3]项目基本情况!$B$8="出让",SUMPRODUCT(PRODUCT(1+L25:L$36)),SUMPRODUCT(PRODUCT(1+L25:L$35))),4)</f>
        <v>1.0344</v>
      </c>
      <c r="T25" s="2022">
        <f>ROUND(IF([3]项目基本情况!$B$8="出让",SUMPRODUCT(PRODUCT(1+M25:M$36)),SUMPRODUCT(PRODUCT(1+M25:M$35))),4)</f>
        <v>1.0224</v>
      </c>
      <c r="U25" s="2022">
        <f>ROUND(IF([3]项目基本情况!$B$8="出让",SUMPRODUCT(PRODUCT(1+N25:N$36)),SUMPRODUCT(PRODUCT(1+N25:N$35))),4)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3368</v>
      </c>
      <c r="B26" s="2026">
        <v>2023</v>
      </c>
      <c r="C26" s="2037">
        <v>3</v>
      </c>
      <c r="D26" s="2002"/>
      <c r="E26" s="2002">
        <v>0</v>
      </c>
      <c r="F26" s="2002">
        <v>0</v>
      </c>
      <c r="G26" s="2002">
        <v>0</v>
      </c>
      <c r="H26" s="2912"/>
      <c r="I26" s="2003">
        <f t="shared" si="26"/>
        <v>0</v>
      </c>
      <c r="J26" s="2901"/>
      <c r="K26" s="2038"/>
      <c r="L26" s="2023">
        <f t="shared" ref="L26:L28" si="28">E26/100</f>
        <v>0</v>
      </c>
      <c r="M26" s="2023">
        <f t="shared" ref="M26:M28" si="29">F26/100</f>
        <v>0</v>
      </c>
      <c r="N26" s="2023">
        <f t="shared" ref="N26:N28" si="30">G26/100</f>
        <v>0</v>
      </c>
      <c r="O26" s="2023"/>
      <c r="P26" s="2023">
        <f t="shared" ref="P26:P28" si="31">M26</f>
        <v>0</v>
      </c>
      <c r="Q26" s="2901"/>
      <c r="R26" s="2022"/>
      <c r="S26" s="2022">
        <f>ROUND(IF([3]项目基本情况!$B$8="出让",SUMPRODUCT(PRODUCT(1+L26:L$36)),SUMPRODUCT(PRODUCT(1+L26:L$35))),4)</f>
        <v>1.0344</v>
      </c>
      <c r="T26" s="2022">
        <f>ROUND(IF([3]项目基本情况!$B$8="出让",SUMPRODUCT(PRODUCT(1+M26:M$36)),SUMPRODUCT(PRODUCT(1+M26:M$35))),4)</f>
        <v>1.0224</v>
      </c>
      <c r="U26" s="2022">
        <f>ROUND(IF([3]项目基本情况!$B$8="出让",SUMPRODUCT(PRODUCT(1+N26:N$36)),SUMPRODUCT(PRODUCT(1+N26:N$35))),4)</f>
        <v>1.0573999999999999</v>
      </c>
      <c r="V26" s="2022"/>
      <c r="W26" s="2022">
        <f t="shared" ref="W26:W28" si="32">T26</f>
        <v>1.0224</v>
      </c>
      <c r="X26" s="2901"/>
      <c r="Y26" s="2023"/>
      <c r="Z26" s="2897"/>
      <c r="AA26" s="2023"/>
      <c r="AB26" s="2023"/>
      <c r="AC26" s="2899"/>
      <c r="AD26" s="2023"/>
    </row>
    <row r="27" spans="1:30" s="2040" customFormat="1" ht="12.75">
      <c r="A27" s="2900" t="s">
        <v>3366</v>
      </c>
      <c r="B27" s="2026">
        <v>2023</v>
      </c>
      <c r="C27" s="2037">
        <v>2</v>
      </c>
      <c r="D27" s="2002"/>
      <c r="E27" s="2002">
        <v>0</v>
      </c>
      <c r="F27" s="2002">
        <v>0</v>
      </c>
      <c r="G27" s="2002">
        <v>0</v>
      </c>
      <c r="H27" s="2912"/>
      <c r="I27" s="2003">
        <f t="shared" si="26"/>
        <v>0</v>
      </c>
      <c r="J27" s="2901"/>
      <c r="K27" s="2038"/>
      <c r="L27" s="2023">
        <f t="shared" si="28"/>
        <v>0</v>
      </c>
      <c r="M27" s="2023">
        <f t="shared" si="29"/>
        <v>0</v>
      </c>
      <c r="N27" s="2023">
        <f t="shared" si="30"/>
        <v>0</v>
      </c>
      <c r="O27" s="2023"/>
      <c r="P27" s="2023">
        <f t="shared" si="31"/>
        <v>0</v>
      </c>
      <c r="Q27" s="2901"/>
      <c r="R27" s="2022"/>
      <c r="S27" s="2022">
        <f>ROUND(IF([3]项目基本情况!$B$8="出让",SUMPRODUCT(PRODUCT(1+L27:L$36)),SUMPRODUCT(PRODUCT(1+L27:L$35))),4)</f>
        <v>1.0344</v>
      </c>
      <c r="T27" s="2022">
        <f>ROUND(IF([3]项目基本情况!$B$8="出让",SUMPRODUCT(PRODUCT(1+M27:M$36)),SUMPRODUCT(PRODUCT(1+M27:M$35))),4)</f>
        <v>1.0224</v>
      </c>
      <c r="U27" s="2022">
        <f>ROUND(IF([3]项目基本情况!$B$8="出让",SUMPRODUCT(PRODUCT(1+N27:N$36)),SUMPRODUCT(PRODUCT(1+N27:N$35))),4)</f>
        <v>1.0573999999999999</v>
      </c>
      <c r="V27" s="2022"/>
      <c r="W27" s="2022">
        <f t="shared" si="32"/>
        <v>1.0224</v>
      </c>
      <c r="X27" s="2901"/>
      <c r="Y27" s="2023"/>
      <c r="Z27" s="2897"/>
      <c r="AA27" s="2023"/>
      <c r="AB27" s="2023"/>
      <c r="AC27" s="2899"/>
      <c r="AD27" s="2023"/>
    </row>
    <row r="28" spans="1:30" s="2911" customFormat="1" ht="12.75">
      <c r="A28" s="2902" t="s">
        <v>3369</v>
      </c>
      <c r="B28" s="2903">
        <v>2023</v>
      </c>
      <c r="C28" s="2904">
        <v>1</v>
      </c>
      <c r="D28" s="2905"/>
      <c r="E28" s="2905">
        <v>0.55000000000000004</v>
      </c>
      <c r="F28" s="2905">
        <v>0.59</v>
      </c>
      <c r="G28" s="2905">
        <v>0.64</v>
      </c>
      <c r="H28" s="2906"/>
      <c r="I28" s="2907">
        <f t="shared" si="26"/>
        <v>0.59</v>
      </c>
      <c r="J28" s="2908"/>
      <c r="K28" s="2909"/>
      <c r="L28" s="2910">
        <f t="shared" si="28"/>
        <v>5.5000000000000005E-3</v>
      </c>
      <c r="M28" s="2910">
        <f t="shared" si="29"/>
        <v>5.8999999999999999E-3</v>
      </c>
      <c r="N28" s="2910">
        <f t="shared" si="30"/>
        <v>6.4000000000000003E-3</v>
      </c>
      <c r="O28" s="2910"/>
      <c r="P28" s="2910">
        <f t="shared" si="31"/>
        <v>5.8999999999999999E-3</v>
      </c>
      <c r="Q28" s="2908"/>
      <c r="R28" s="2908"/>
      <c r="S28" s="2908">
        <f>ROUND(IF([3]项目基本情况!$B$8="出让",SUMPRODUCT(PRODUCT(1+L28:L$36)),SUMPRODUCT(PRODUCT(1+L28:L$35))),4)</f>
        <v>1.0344</v>
      </c>
      <c r="T28" s="2908">
        <f>ROUND(IF([3]项目基本情况!$B$8="出让",SUMPRODUCT(PRODUCT(1+M28:M$36)),SUMPRODUCT(PRODUCT(1+M28:M$35))),4)</f>
        <v>1.0224</v>
      </c>
      <c r="U28" s="2908">
        <f>ROUND(IF([3]项目基本情况!$B$8="出让",SUMPRODUCT(PRODUCT(1+N28:N$36)),SUMPRODUCT(PRODUCT(1+N28:N$35))),4)</f>
        <v>1.0573999999999999</v>
      </c>
      <c r="V28" s="2908"/>
      <c r="W28" s="2908">
        <f t="shared" si="32"/>
        <v>1.0224</v>
      </c>
      <c r="X28" s="2908"/>
      <c r="Y28" s="2910"/>
      <c r="Z28" s="2926"/>
      <c r="AA28" s="2927"/>
      <c r="AB28" s="2910"/>
      <c r="AC28" s="2928"/>
      <c r="AD28" s="2910"/>
    </row>
    <row r="29" spans="1:30" s="2040" customFormat="1" ht="12.75">
      <c r="A29" s="2900" t="s">
        <v>3370</v>
      </c>
      <c r="B29" s="2026">
        <v>2022</v>
      </c>
      <c r="C29" s="2037">
        <v>4</v>
      </c>
      <c r="D29" s="2002"/>
      <c r="E29" s="2002">
        <v>0.45</v>
      </c>
      <c r="F29" s="2002">
        <v>0.2</v>
      </c>
      <c r="G29" s="2002">
        <v>0.38</v>
      </c>
      <c r="H29" s="2912"/>
      <c r="I29" s="2003">
        <f t="shared" si="26"/>
        <v>0.2</v>
      </c>
      <c r="J29" s="2901"/>
      <c r="K29" s="2038"/>
      <c r="L29" s="2023">
        <f t="shared" si="27"/>
        <v>4.5000000000000005E-3</v>
      </c>
      <c r="M29" s="2023">
        <f t="shared" si="27"/>
        <v>2E-3</v>
      </c>
      <c r="N29" s="2023">
        <f t="shared" si="27"/>
        <v>3.8E-3</v>
      </c>
      <c r="O29" s="2023"/>
      <c r="P29" s="2023">
        <f t="shared" ref="P29:P36" si="33">M29</f>
        <v>2E-3</v>
      </c>
      <c r="Q29" s="2901"/>
      <c r="R29" s="2022"/>
      <c r="S29" s="2022">
        <f>ROUND(IF([3]项目基本情况!$B$8="出让",SUMPRODUCT(PRODUCT(1+L29:L$36)),SUMPRODUCT(PRODUCT(1+L29:L$35))),4)</f>
        <v>1.0286999999999999</v>
      </c>
      <c r="T29" s="2022">
        <f>ROUND(IF([3]项目基本情况!$B$8="出让",SUMPRODUCT(PRODUCT(1+M29:M$36)),SUMPRODUCT(PRODUCT(1+M29:M$35))),4)</f>
        <v>1.0164</v>
      </c>
      <c r="U29" s="2022">
        <f>ROUND(IF([3]项目基本情况!$B$8="出让",SUMPRODUCT(PRODUCT(1+N29:N$36)),SUMPRODUCT(PRODUCT(1+N29:N$35))),4)</f>
        <v>1.0506</v>
      </c>
      <c r="V29" s="2022"/>
      <c r="W29" s="2022">
        <f t="shared" ref="W29:W36" si="34">T29</f>
        <v>1.0164</v>
      </c>
      <c r="X29" s="2901"/>
      <c r="Y29" s="2023"/>
      <c r="Z29" s="2897">
        <f t="shared" ref="Z29:AD36" si="35">IF(E29=0,0,ROUND(AVERAGE(E29:E37)/100,4))</f>
        <v>4.0000000000000001E-3</v>
      </c>
      <c r="AA29" s="2898">
        <f t="shared" si="35"/>
        <v>2.5999999999999999E-3</v>
      </c>
      <c r="AB29" s="2023">
        <f t="shared" si="35"/>
        <v>7.4000000000000003E-3</v>
      </c>
      <c r="AC29" s="2899"/>
      <c r="AD29" s="2023">
        <f t="shared" si="35"/>
        <v>2.5999999999999999E-3</v>
      </c>
    </row>
    <row r="30" spans="1:30" s="2040" customFormat="1" ht="12.75">
      <c r="A30" s="2900" t="s">
        <v>3363</v>
      </c>
      <c r="B30" s="2026">
        <v>2022</v>
      </c>
      <c r="C30" s="2037">
        <v>3</v>
      </c>
      <c r="D30" s="2002"/>
      <c r="E30" s="2002">
        <v>0.3</v>
      </c>
      <c r="F30" s="2002">
        <v>0.28999999999999998</v>
      </c>
      <c r="G30" s="2002">
        <v>0.83</v>
      </c>
      <c r="H30" s="2912"/>
      <c r="I30" s="2003">
        <f t="shared" si="26"/>
        <v>0.28999999999999998</v>
      </c>
      <c r="J30" s="2901"/>
      <c r="K30" s="2038"/>
      <c r="L30" s="2023">
        <f t="shared" si="27"/>
        <v>3.0000000000000001E-3</v>
      </c>
      <c r="M30" s="2023">
        <f t="shared" si="27"/>
        <v>2.8999999999999998E-3</v>
      </c>
      <c r="N30" s="2023">
        <f t="shared" si="27"/>
        <v>8.3000000000000001E-3</v>
      </c>
      <c r="O30" s="2023"/>
      <c r="P30" s="2023">
        <f t="shared" si="33"/>
        <v>2.8999999999999998E-3</v>
      </c>
      <c r="Q30" s="2901"/>
      <c r="R30" s="2022"/>
      <c r="S30" s="2022">
        <f>ROUND(IF([3]项目基本情况!$B$8="出让",SUMPRODUCT(PRODUCT(1+L30:L$36)),SUMPRODUCT(PRODUCT(1+L30:L$35))),4)</f>
        <v>1.0241</v>
      </c>
      <c r="T30" s="2022">
        <f>ROUND(IF([3]项目基本情况!$B$8="出让",SUMPRODUCT(PRODUCT(1+M30:M$36)),SUMPRODUCT(PRODUCT(1+M30:M$35))),4)</f>
        <v>1.0144</v>
      </c>
      <c r="U30" s="2022">
        <f>ROUND(IF([3]项目基本情况!$B$8="出让",SUMPRODUCT(PRODUCT(1+N30:N$36)),SUMPRODUCT(PRODUCT(1+N30:N$35))),4)</f>
        <v>1.0467</v>
      </c>
      <c r="V30" s="2022"/>
      <c r="W30" s="2022">
        <f t="shared" si="34"/>
        <v>1.0144</v>
      </c>
      <c r="X30" s="2901"/>
      <c r="Y30" s="2023"/>
      <c r="Z30" s="2897">
        <f t="shared" si="35"/>
        <v>3.8999999999999998E-3</v>
      </c>
      <c r="AA30" s="2898">
        <f t="shared" si="35"/>
        <v>2.7000000000000001E-3</v>
      </c>
      <c r="AB30" s="2023">
        <f t="shared" si="35"/>
        <v>7.9000000000000008E-3</v>
      </c>
      <c r="AC30" s="2899"/>
      <c r="AD30" s="2023">
        <f t="shared" si="35"/>
        <v>2.7000000000000001E-3</v>
      </c>
    </row>
    <row r="31" spans="1:30" s="2040" customFormat="1" ht="12.75">
      <c r="A31" s="2900" t="s">
        <v>3353</v>
      </c>
      <c r="B31" s="2026">
        <v>2022</v>
      </c>
      <c r="C31" s="2037">
        <v>2</v>
      </c>
      <c r="D31" s="2002"/>
      <c r="E31" s="2002">
        <v>-0.11</v>
      </c>
      <c r="F31" s="2002">
        <v>-0.13</v>
      </c>
      <c r="G31" s="2002">
        <v>0.53</v>
      </c>
      <c r="H31" s="2912"/>
      <c r="I31" s="2003">
        <f t="shared" si="26"/>
        <v>-0.13</v>
      </c>
      <c r="J31" s="2901"/>
      <c r="K31" s="2038"/>
      <c r="L31" s="2023">
        <f t="shared" si="27"/>
        <v>-1.1000000000000001E-3</v>
      </c>
      <c r="M31" s="2023">
        <f t="shared" si="27"/>
        <v>-1.2999999999999999E-3</v>
      </c>
      <c r="N31" s="2023">
        <f t="shared" si="27"/>
        <v>5.3E-3</v>
      </c>
      <c r="O31" s="2023"/>
      <c r="P31" s="2023">
        <f t="shared" si="33"/>
        <v>-1.2999999999999999E-3</v>
      </c>
      <c r="Q31" s="2901"/>
      <c r="R31" s="2022"/>
      <c r="S31" s="2022">
        <f>ROUND(IF([3]项目基本情况!$B$8="出让",SUMPRODUCT(PRODUCT(1+L31:L$36)),SUMPRODUCT(PRODUCT(1+L31:L$35))),4)</f>
        <v>1.0210999999999999</v>
      </c>
      <c r="T31" s="2022">
        <f>ROUND(IF([3]项目基本情况!$B$8="出让",SUMPRODUCT(PRODUCT(1+M31:M$36)),SUMPRODUCT(PRODUCT(1+M31:M$35))),4)</f>
        <v>1.0114000000000001</v>
      </c>
      <c r="U31" s="2022">
        <f>ROUND(IF([3]项目基本情况!$B$8="出让",SUMPRODUCT(PRODUCT(1+N31:N$36)),SUMPRODUCT(PRODUCT(1+N31:N$35))),4)</f>
        <v>1.0381</v>
      </c>
      <c r="V31" s="2022"/>
      <c r="W31" s="2022">
        <f t="shared" si="34"/>
        <v>1.0114000000000001</v>
      </c>
      <c r="X31" s="2901"/>
      <c r="Y31" s="2023"/>
      <c r="Z31" s="2897">
        <f t="shared" si="35"/>
        <v>4.1000000000000003E-3</v>
      </c>
      <c r="AA31" s="2898">
        <f t="shared" si="35"/>
        <v>2.7000000000000001E-3</v>
      </c>
      <c r="AB31" s="2023">
        <f t="shared" si="35"/>
        <v>7.9000000000000008E-3</v>
      </c>
      <c r="AC31" s="2899"/>
      <c r="AD31" s="2023">
        <f t="shared" si="35"/>
        <v>2.7000000000000001E-3</v>
      </c>
    </row>
    <row r="32" spans="1:30" s="2040" customFormat="1" ht="12.75">
      <c r="A32" s="2900" t="s">
        <v>2833</v>
      </c>
      <c r="B32" s="2026">
        <v>2022</v>
      </c>
      <c r="C32" s="2037">
        <v>1</v>
      </c>
      <c r="D32" s="2002"/>
      <c r="E32" s="2002">
        <v>0.6</v>
      </c>
      <c r="F32" s="2002">
        <v>0.45</v>
      </c>
      <c r="G32" s="2002">
        <v>0.53</v>
      </c>
      <c r="H32" s="2912"/>
      <c r="I32" s="2003">
        <f t="shared" si="26"/>
        <v>0.45</v>
      </c>
      <c r="J32" s="2901"/>
      <c r="K32" s="2038"/>
      <c r="L32" s="2023">
        <f t="shared" si="27"/>
        <v>6.0000000000000001E-3</v>
      </c>
      <c r="M32" s="2023">
        <f t="shared" si="27"/>
        <v>4.5000000000000005E-3</v>
      </c>
      <c r="N32" s="2023">
        <f t="shared" si="27"/>
        <v>5.3E-3</v>
      </c>
      <c r="O32" s="2023"/>
      <c r="P32" s="2023">
        <f t="shared" si="33"/>
        <v>4.5000000000000005E-3</v>
      </c>
      <c r="Q32" s="2901"/>
      <c r="R32" s="2022"/>
      <c r="S32" s="2022">
        <f>ROUND(IF([3]项目基本情况!$B$8="出让",SUMPRODUCT(PRODUCT(1+L32:L$36)),SUMPRODUCT(PRODUCT(1+L32:L$35))),4)</f>
        <v>1.0222</v>
      </c>
      <c r="T32" s="2022">
        <f>ROUND(IF([3]项目基本情况!$B$8="出让",SUMPRODUCT(PRODUCT(1+M32:M$36)),SUMPRODUCT(PRODUCT(1+M32:M$35))),4)</f>
        <v>1.0127999999999999</v>
      </c>
      <c r="U32" s="2022">
        <f>ROUND(IF([3]项目基本情况!$B$8="出让",SUMPRODUCT(PRODUCT(1+N32:N$36)),SUMPRODUCT(PRODUCT(1+N32:N$35))),4)</f>
        <v>1.0326</v>
      </c>
      <c r="V32" s="2022"/>
      <c r="W32" s="2022">
        <f t="shared" si="34"/>
        <v>1.0127999999999999</v>
      </c>
      <c r="X32" s="2901"/>
      <c r="Y32" s="2023"/>
      <c r="Z32" s="2897">
        <f t="shared" si="35"/>
        <v>5.1000000000000004E-3</v>
      </c>
      <c r="AA32" s="2898">
        <f t="shared" si="35"/>
        <v>3.5000000000000001E-3</v>
      </c>
      <c r="AB32" s="2023">
        <f t="shared" si="35"/>
        <v>8.3999999999999995E-3</v>
      </c>
      <c r="AC32" s="2899"/>
      <c r="AD32" s="2023">
        <f t="shared" si="35"/>
        <v>3.5000000000000001E-3</v>
      </c>
    </row>
    <row r="33" spans="1:30" s="2040" customFormat="1" ht="12.75">
      <c r="A33" s="2900" t="s">
        <v>2834</v>
      </c>
      <c r="B33" s="2026">
        <v>2021</v>
      </c>
      <c r="C33" s="2037">
        <v>4</v>
      </c>
      <c r="D33" s="2002"/>
      <c r="E33" s="2002">
        <v>0.57999999999999996</v>
      </c>
      <c r="F33" s="2002">
        <v>0.08</v>
      </c>
      <c r="G33" s="2002">
        <v>0.68</v>
      </c>
      <c r="H33" s="2912"/>
      <c r="I33" s="2003">
        <f t="shared" si="26"/>
        <v>0.08</v>
      </c>
      <c r="J33" s="2901"/>
      <c r="K33" s="2038"/>
      <c r="L33" s="2023">
        <f t="shared" si="27"/>
        <v>5.7999999999999996E-3</v>
      </c>
      <c r="M33" s="2023">
        <f t="shared" si="27"/>
        <v>8.0000000000000004E-4</v>
      </c>
      <c r="N33" s="2023">
        <f t="shared" si="27"/>
        <v>6.8000000000000005E-3</v>
      </c>
      <c r="O33" s="2023"/>
      <c r="P33" s="2023">
        <f t="shared" si="33"/>
        <v>8.0000000000000004E-4</v>
      </c>
      <c r="Q33" s="2901"/>
      <c r="R33" s="2022"/>
      <c r="S33" s="2022">
        <f>ROUND(IF([3]项目基本情况!$B$8="出让",SUMPRODUCT(PRODUCT(1+L33:L$36)),SUMPRODUCT(PRODUCT(1+L33:L$35))),4)</f>
        <v>1.0161</v>
      </c>
      <c r="T33" s="2022">
        <f>ROUND(IF([3]项目基本情况!$B$8="出让",SUMPRODUCT(PRODUCT(1+M33:M$36)),SUMPRODUCT(PRODUCT(1+M33:M$35))),4)</f>
        <v>1.0082</v>
      </c>
      <c r="U33" s="2022">
        <f>ROUND(IF([3]项目基本情况!$B$8="出让",SUMPRODUCT(PRODUCT(1+N33:N$36)),SUMPRODUCT(PRODUCT(1+N33:N$35))),4)</f>
        <v>1.0270999999999999</v>
      </c>
      <c r="V33" s="2022"/>
      <c r="W33" s="2022">
        <f t="shared" si="34"/>
        <v>1.0082</v>
      </c>
      <c r="X33" s="2901"/>
      <c r="Y33" s="2023"/>
      <c r="Z33" s="2897">
        <f t="shared" si="35"/>
        <v>4.8999999999999998E-3</v>
      </c>
      <c r="AA33" s="2898">
        <f t="shared" si="35"/>
        <v>3.3E-3</v>
      </c>
      <c r="AB33" s="2023">
        <f t="shared" si="35"/>
        <v>9.1999999999999998E-3</v>
      </c>
      <c r="AC33" s="2899"/>
      <c r="AD33" s="2023">
        <f t="shared" si="35"/>
        <v>3.3E-3</v>
      </c>
    </row>
    <row r="34" spans="1:30" s="2040" customFormat="1" ht="12.75">
      <c r="A34" s="2900" t="s">
        <v>2835</v>
      </c>
      <c r="B34" s="2026">
        <v>2021</v>
      </c>
      <c r="C34" s="2037">
        <v>3</v>
      </c>
      <c r="D34" s="2002"/>
      <c r="E34" s="2002">
        <v>0.47</v>
      </c>
      <c r="F34" s="2002">
        <v>0.28000000000000003</v>
      </c>
      <c r="G34" s="2002">
        <v>0.91</v>
      </c>
      <c r="H34" s="2912"/>
      <c r="I34" s="2003">
        <f t="shared" si="26"/>
        <v>0.28000000000000003</v>
      </c>
      <c r="J34" s="2901"/>
      <c r="K34" s="2038"/>
      <c r="L34" s="2023">
        <f t="shared" si="27"/>
        <v>4.6999999999999993E-3</v>
      </c>
      <c r="M34" s="2023">
        <f t="shared" si="27"/>
        <v>2.8000000000000004E-3</v>
      </c>
      <c r="N34" s="2023">
        <f t="shared" si="27"/>
        <v>9.1000000000000004E-3</v>
      </c>
      <c r="O34" s="2023"/>
      <c r="P34" s="2023">
        <f t="shared" si="33"/>
        <v>2.8000000000000004E-3</v>
      </c>
      <c r="Q34" s="2901"/>
      <c r="R34" s="2022"/>
      <c r="S34" s="2022">
        <f>ROUND(IF([3]项目基本情况!$B$8="出让",SUMPRODUCT(PRODUCT(1+L34:L$36)),SUMPRODUCT(PRODUCT(1+L34:L$35))),4)</f>
        <v>1.0102</v>
      </c>
      <c r="T34" s="2022">
        <f>ROUND(IF([3]项目基本情况!$B$8="出让",SUMPRODUCT(PRODUCT(1+M34:M$36)),SUMPRODUCT(PRODUCT(1+M34:M$35))),4)</f>
        <v>1.0074000000000001</v>
      </c>
      <c r="U34" s="2022">
        <f>ROUND(IF([3]项目基本情况!$B$8="出让",SUMPRODUCT(PRODUCT(1+N34:N$36)),SUMPRODUCT(PRODUCT(1+N34:N$35))),4)</f>
        <v>1.0202</v>
      </c>
      <c r="V34" s="2022"/>
      <c r="W34" s="2022">
        <f t="shared" si="34"/>
        <v>1.0074000000000001</v>
      </c>
      <c r="X34" s="2901"/>
      <c r="Y34" s="2023"/>
      <c r="Z34" s="2897">
        <f t="shared" si="35"/>
        <v>4.5999999999999999E-3</v>
      </c>
      <c r="AA34" s="2898">
        <f t="shared" si="35"/>
        <v>4.1000000000000003E-3</v>
      </c>
      <c r="AB34" s="2023">
        <f t="shared" si="35"/>
        <v>0.01</v>
      </c>
      <c r="AC34" s="2899"/>
      <c r="AD34" s="2023">
        <f t="shared" si="35"/>
        <v>4.1000000000000003E-3</v>
      </c>
    </row>
    <row r="35" spans="1:30" s="2040" customFormat="1" ht="12.75">
      <c r="A35" s="2900" t="s">
        <v>2836</v>
      </c>
      <c r="B35" s="2026">
        <v>2021</v>
      </c>
      <c r="C35" s="2037">
        <v>2</v>
      </c>
      <c r="D35" s="2002"/>
      <c r="E35" s="2002">
        <v>0.55000000000000004</v>
      </c>
      <c r="F35" s="2002">
        <v>0.46</v>
      </c>
      <c r="G35" s="2002">
        <v>1.1000000000000001</v>
      </c>
      <c r="H35" s="2912"/>
      <c r="I35" s="2003">
        <f t="shared" si="26"/>
        <v>0.46</v>
      </c>
      <c r="J35" s="2901"/>
      <c r="K35" s="2038"/>
      <c r="L35" s="2023">
        <f t="shared" si="27"/>
        <v>5.5000000000000005E-3</v>
      </c>
      <c r="M35" s="2023">
        <f t="shared" si="27"/>
        <v>4.5999999999999999E-3</v>
      </c>
      <c r="N35" s="2023">
        <f t="shared" si="27"/>
        <v>1.1000000000000001E-2</v>
      </c>
      <c r="O35" s="2023"/>
      <c r="P35" s="2023">
        <f t="shared" si="33"/>
        <v>4.5999999999999999E-3</v>
      </c>
      <c r="Q35" s="2901"/>
      <c r="R35" s="2022"/>
      <c r="S35" s="2022">
        <f>ROUND(IF([3]项目基本情况!$B$8="出让",SUMPRODUCT(PRODUCT(1+L35:L$36)),SUMPRODUCT(PRODUCT(1+L35:L$35))),4)</f>
        <v>1.0055000000000001</v>
      </c>
      <c r="T35" s="2022">
        <f>ROUND(IF([3]项目基本情况!$B$8="出让",SUMPRODUCT(PRODUCT(1+M35:M$36)),SUMPRODUCT(PRODUCT(1+M35:M$35))),4)</f>
        <v>1.0045999999999999</v>
      </c>
      <c r="U35" s="2022">
        <f>ROUND(IF([3]项目基本情况!$B$8="出让",SUMPRODUCT(PRODUCT(1+N35:N$36)),SUMPRODUCT(PRODUCT(1+N35:N$35))),4)</f>
        <v>1.0109999999999999</v>
      </c>
      <c r="V35" s="2022"/>
      <c r="W35" s="2022">
        <f t="shared" si="34"/>
        <v>1.0045999999999999</v>
      </c>
      <c r="X35" s="2901"/>
      <c r="Y35" s="2023"/>
      <c r="Z35" s="2897">
        <f t="shared" si="35"/>
        <v>4.4999999999999997E-3</v>
      </c>
      <c r="AA35" s="2898">
        <f t="shared" si="35"/>
        <v>4.7000000000000002E-3</v>
      </c>
      <c r="AB35" s="2023">
        <f t="shared" si="35"/>
        <v>1.04E-2</v>
      </c>
      <c r="AC35" s="2899"/>
      <c r="AD35" s="2023">
        <f t="shared" si="35"/>
        <v>4.7000000000000002E-3</v>
      </c>
    </row>
    <row r="36" spans="1:30" s="2923" customFormat="1" thickBot="1">
      <c r="A36" s="2913" t="s">
        <v>2821</v>
      </c>
      <c r="B36" s="2914">
        <v>2021</v>
      </c>
      <c r="C36" s="2915">
        <v>1</v>
      </c>
      <c r="D36" s="2916"/>
      <c r="E36" s="2916">
        <v>0.35</v>
      </c>
      <c r="F36" s="2916">
        <v>0.48</v>
      </c>
      <c r="G36" s="2916">
        <v>0.98</v>
      </c>
      <c r="H36" s="2917"/>
      <c r="I36" s="2918">
        <f t="shared" si="26"/>
        <v>0.48</v>
      </c>
      <c r="J36" s="2919"/>
      <c r="K36" s="2920"/>
      <c r="L36" s="2921">
        <f t="shared" si="27"/>
        <v>3.4999999999999996E-3</v>
      </c>
      <c r="M36" s="2921">
        <f>F36/100</f>
        <v>4.7999999999999996E-3</v>
      </c>
      <c r="N36" s="2921">
        <f t="shared" si="27"/>
        <v>9.7999999999999997E-3</v>
      </c>
      <c r="O36" s="2921"/>
      <c r="P36" s="2921">
        <f t="shared" si="33"/>
        <v>4.7999999999999996E-3</v>
      </c>
      <c r="Q36" s="2919"/>
      <c r="R36" s="2922"/>
      <c r="S36" s="2922">
        <v>1</v>
      </c>
      <c r="T36" s="2922">
        <v>1</v>
      </c>
      <c r="U36" s="2922">
        <v>1</v>
      </c>
      <c r="V36" s="2922"/>
      <c r="W36" s="2922">
        <f t="shared" si="34"/>
        <v>1</v>
      </c>
      <c r="X36" s="2919"/>
      <c r="Y36" s="2921"/>
      <c r="Z36" s="2929">
        <f t="shared" si="35"/>
        <v>3.5000000000000001E-3</v>
      </c>
      <c r="AA36" s="2930">
        <f t="shared" si="35"/>
        <v>4.7999999999999996E-3</v>
      </c>
      <c r="AB36" s="2921">
        <f t="shared" si="35"/>
        <v>9.7999999999999997E-3</v>
      </c>
      <c r="AC36" s="2931"/>
      <c r="AD36" s="2921">
        <f t="shared" si="35"/>
        <v>4.7999999999999996E-3</v>
      </c>
    </row>
    <row r="37" spans="1:30" ht="14.25" thickTop="1"/>
    <row r="38" spans="1:30">
      <c r="A38" s="3138"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3360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2306</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2305</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2127</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2125</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2124</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2123</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2121</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2120</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2122</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625">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2118</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625"/>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2117</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625"/>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2110</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632"/>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2108</v>
      </c>
      <c r="B25" s="2044">
        <v>439</v>
      </c>
      <c r="C25" s="2044">
        <v>327</v>
      </c>
      <c r="D25" s="2044">
        <f>C25</f>
        <v>327</v>
      </c>
      <c r="E25" s="2044">
        <v>627</v>
      </c>
      <c r="F25" s="2045">
        <v>283</v>
      </c>
      <c r="G25" s="3628">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2109</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625"/>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625"/>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632"/>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628">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625"/>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625"/>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626"/>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624">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625"/>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625"/>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626"/>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624">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625"/>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625"/>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626"/>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629">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630"/>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630"/>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631"/>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624">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625"/>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625"/>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626"/>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624">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625">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625">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626">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624">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625">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625">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626">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624">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625">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625">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626">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624">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625">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625">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626">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624">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625">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625">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626">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624">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625">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625">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626">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624">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625">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625">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626">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624">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625">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625">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626">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624">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625">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625">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626">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624">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625">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625">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626">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45467</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0">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2307</v>
      </c>
      <c r="C21" s="1203">
        <v>43697</v>
      </c>
      <c r="D21" s="2569">
        <v>4.25</v>
      </c>
      <c r="E21" s="2569">
        <v>4.25</v>
      </c>
      <c r="F21" s="2569">
        <v>4.25</v>
      </c>
      <c r="G21" s="2569">
        <v>4.25</v>
      </c>
      <c r="H21" s="2569">
        <v>4.8499999999999996</v>
      </c>
      <c r="I21" s="2569"/>
      <c r="J21" s="2569"/>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71"/>
      <c r="B22" s="2572"/>
      <c r="C22" s="2573">
        <v>42301</v>
      </c>
      <c r="D22" s="2574">
        <v>4.3499999999999996</v>
      </c>
      <c r="E22" s="2574">
        <v>4.3499999999999996</v>
      </c>
      <c r="F22" s="2574">
        <v>4.75</v>
      </c>
      <c r="G22" s="2574">
        <v>4.75</v>
      </c>
      <c r="H22" s="2574">
        <v>4.9000000000000004</v>
      </c>
      <c r="I22" s="2574"/>
      <c r="J22" s="257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60" t="str">
        <f>IF(项目基本情况!B9="房地产市场价值","估价结果一览表","结果表-2")</f>
        <v>估价结果一览表</v>
      </c>
      <c r="B1" s="3260"/>
      <c r="C1" s="3260"/>
      <c r="D1" s="3260"/>
      <c r="E1" s="3260"/>
      <c r="F1" s="3260"/>
      <c r="G1" s="3260"/>
      <c r="H1" s="3260"/>
      <c r="I1" s="3260"/>
    </row>
    <row r="2" spans="1:9" ht="30" customHeight="1" thickTop="1">
      <c r="A2" s="3261" t="s">
        <v>928</v>
      </c>
      <c r="B2" s="3261" t="s">
        <v>929</v>
      </c>
      <c r="C2" s="3261" t="s">
        <v>930</v>
      </c>
      <c r="D2" s="3261" t="str">
        <f>结果表!D116</f>
        <v>出让国有建设用地使用权价值</v>
      </c>
      <c r="E2" s="3261"/>
      <c r="F2" s="3261" t="str">
        <f>结果表!F116</f>
        <v>在建建筑物价值</v>
      </c>
      <c r="G2" s="3261"/>
      <c r="H2" s="3261" t="str">
        <f>IF(项目基本情况!B9="房地产市场价值","房地产市场价值","房地产价值")</f>
        <v>房地产市场价值</v>
      </c>
      <c r="I2" s="3261"/>
    </row>
    <row r="3" spans="1:9" ht="15">
      <c r="A3" s="3262"/>
      <c r="B3" s="3262"/>
      <c r="C3" s="3262"/>
      <c r="D3" s="797" t="s">
        <v>925</v>
      </c>
      <c r="E3" s="797" t="s">
        <v>931</v>
      </c>
      <c r="F3" s="797" t="s">
        <v>925</v>
      </c>
      <c r="G3" s="797" t="s">
        <v>926</v>
      </c>
      <c r="H3" s="797" t="s">
        <v>925</v>
      </c>
      <c r="I3" s="797" t="s">
        <v>926</v>
      </c>
    </row>
    <row r="4" spans="1:9" ht="15">
      <c r="A4" s="1399" t="str">
        <f>项目基本情况!S2</f>
        <v>北京市房地产</v>
      </c>
      <c r="B4" s="797">
        <f>项目基本情况!C17</f>
        <v>1279.97</v>
      </c>
      <c r="C4" s="797" t="e">
        <f>项目基本情况!C18</f>
        <v>#REF!</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62" t="s">
        <v>927</v>
      </c>
      <c r="B5" s="3262"/>
      <c r="C5" s="3262"/>
      <c r="D5" s="3262" t="e">
        <f ca="1">结果表!D119</f>
        <v>#REF!</v>
      </c>
      <c r="E5" s="3262"/>
      <c r="F5" s="3262" t="e">
        <f ca="1">结果表!F119</f>
        <v>#REF!</v>
      </c>
      <c r="G5" s="3262"/>
      <c r="H5" s="3262" t="e">
        <f ca="1">结果表!H119</f>
        <v>#REF!</v>
      </c>
      <c r="I5" s="3262"/>
    </row>
    <row r="6" spans="1:9" ht="15.75">
      <c r="A6" s="3263" t="str">
        <f>结果表!A120</f>
        <v/>
      </c>
      <c r="B6" s="3263"/>
      <c r="C6" s="3263"/>
      <c r="D6" s="3263">
        <f>结果表!D120</f>
        <v>0</v>
      </c>
      <c r="E6" s="3263"/>
      <c r="F6" s="3263"/>
      <c r="G6" s="3263"/>
      <c r="H6" s="3263"/>
      <c r="I6" s="3263"/>
    </row>
    <row r="7" spans="1:9" ht="15">
      <c r="A7" s="3262" t="s">
        <v>927</v>
      </c>
      <c r="B7" s="3262"/>
      <c r="C7" s="3262"/>
      <c r="D7" s="3264" t="str">
        <f>结果表!D121</f>
        <v>零元整</v>
      </c>
      <c r="E7" s="3265"/>
      <c r="F7" s="3265"/>
      <c r="G7" s="3265"/>
      <c r="H7" s="3265"/>
      <c r="I7" s="3266"/>
    </row>
    <row r="8" spans="1:9" ht="15.75">
      <c r="A8" s="3263" t="str">
        <f>结果表!A122</f>
        <v/>
      </c>
      <c r="B8" s="3263"/>
      <c r="C8" s="3263"/>
      <c r="D8" s="3263" t="e">
        <f ca="1">结果表!D122</f>
        <v>#REF!</v>
      </c>
      <c r="E8" s="3263"/>
      <c r="F8" s="3263"/>
      <c r="G8" s="3263"/>
      <c r="H8" s="3263"/>
      <c r="I8" s="3263"/>
    </row>
    <row r="9" spans="1:9" ht="15">
      <c r="A9" s="3262" t="s">
        <v>927</v>
      </c>
      <c r="B9" s="3262"/>
      <c r="C9" s="3262"/>
      <c r="D9" s="3262" t="e">
        <f ca="1">结果表!D123</f>
        <v>#REF!</v>
      </c>
      <c r="E9" s="3262"/>
      <c r="F9" s="3262"/>
      <c r="G9" s="3262"/>
      <c r="H9" s="3262"/>
      <c r="I9" s="3262"/>
    </row>
    <row r="10" spans="1:9" ht="15.75">
      <c r="A10" s="3263" t="str">
        <f>结果表!A124</f>
        <v/>
      </c>
      <c r="B10" s="3263"/>
      <c r="C10" s="3263"/>
      <c r="D10" s="3263" t="str">
        <f>结果表!D124</f>
        <v>——</v>
      </c>
      <c r="E10" s="3263"/>
      <c r="F10" s="3263"/>
      <c r="G10" s="3263"/>
      <c r="H10" s="3263"/>
      <c r="I10" s="3263"/>
    </row>
    <row r="11" spans="1:9" ht="15">
      <c r="A11" s="3262" t="s">
        <v>927</v>
      </c>
      <c r="B11" s="3262"/>
      <c r="C11" s="3262"/>
      <c r="D11" s="3262" t="e">
        <f>结果表!D125</f>
        <v>#VALUE!</v>
      </c>
      <c r="E11" s="3262"/>
      <c r="F11" s="3262"/>
      <c r="G11" s="3262"/>
      <c r="H11" s="3262"/>
      <c r="I11" s="3262"/>
    </row>
    <row r="12" spans="1:9" ht="15.75">
      <c r="A12" s="3263" t="str">
        <f>结果表!A126</f>
        <v/>
      </c>
      <c r="B12" s="3263"/>
      <c r="C12" s="3263"/>
      <c r="D12" s="3263" t="str">
        <f>结果表!D126</f>
        <v>——</v>
      </c>
      <c r="E12" s="3263"/>
      <c r="F12" s="3263"/>
      <c r="G12" s="3263"/>
      <c r="H12" s="3263"/>
      <c r="I12" s="3263"/>
    </row>
    <row r="13" spans="1:9" ht="15.75" thickBot="1">
      <c r="A13" s="3267" t="s">
        <v>927</v>
      </c>
      <c r="B13" s="3267"/>
      <c r="C13" s="3267"/>
      <c r="D13" s="3267" t="e">
        <f>结果表!D127</f>
        <v>#VALUE!</v>
      </c>
      <c r="E13" s="3267"/>
      <c r="F13" s="3267"/>
      <c r="G13" s="3267"/>
      <c r="H13" s="3267"/>
      <c r="I13" s="3267"/>
    </row>
    <row r="14" spans="1:9" ht="15" thickTop="1">
      <c r="A14" s="3268" t="s">
        <v>932</v>
      </c>
      <c r="B14" s="3268"/>
      <c r="C14" s="3268"/>
      <c r="D14" s="3268"/>
      <c r="E14" s="3268"/>
      <c r="F14" s="3268"/>
      <c r="G14" s="3268"/>
      <c r="H14" s="3268"/>
      <c r="I14" s="3268"/>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69" t="s">
        <v>949</v>
      </c>
      <c r="B1" s="3269"/>
      <c r="C1" s="3269"/>
      <c r="D1" s="3269"/>
    </row>
    <row r="2" spans="1:4" ht="18">
      <c r="A2" s="3270" t="s">
        <v>933</v>
      </c>
      <c r="B2" s="3270"/>
      <c r="C2" s="3270"/>
      <c r="D2" s="3270"/>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70" t="s">
        <v>939</v>
      </c>
      <c r="B6" s="3270"/>
      <c r="C6" s="3270"/>
      <c r="D6" s="3270"/>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71" t="s">
        <v>942</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3"/>
      <c r="C12" s="3273"/>
      <c r="D12" s="3273"/>
    </row>
    <row r="13" spans="1:4" ht="30" customHeight="1">
      <c r="A13" s="3272" t="str">
        <f>IF(项目基本情况!B8="抵押","3.抵押双方在办理抵押登记手续时，应使用本公司出具的正式《房地产评估报告》，特提醒报告使用者注意。","——")</f>
        <v>——</v>
      </c>
      <c r="B13" s="3273"/>
      <c r="C13" s="3273"/>
      <c r="D13" s="3273"/>
    </row>
    <row r="14" spans="1:4" ht="15.75" customHeight="1">
      <c r="A14" s="3272" t="str">
        <f>IF(项目基本情况!B8="抵押","4.本次评估估价师所知悉的法定优先受偿款情况说明如下：","——")</f>
        <v>——</v>
      </c>
      <c r="B14" s="3273"/>
      <c r="C14" s="3273"/>
      <c r="D14" s="3273"/>
    </row>
    <row r="15" spans="1:4" ht="42" customHeight="1">
      <c r="A15" s="3272" t="str">
        <f>IF(项目基本情况!B8="抵押","（1）"&amp;CONCATENATE(项目基本情况!L20,项目基本情况!L21,项目基本情况!L22),"——")</f>
        <v>——</v>
      </c>
      <c r="B15" s="3272"/>
      <c r="C15" s="3272"/>
      <c r="D15" s="3272"/>
    </row>
    <row r="16" spans="1:4" ht="30" customHeight="1">
      <c r="A16" s="3275" t="s">
        <v>943</v>
      </c>
      <c r="B16" s="3275"/>
      <c r="C16" s="3275"/>
      <c r="D16" s="3275"/>
    </row>
    <row r="17" spans="1:4" ht="144" customHeight="1">
      <c r="A17" s="3275" t="s">
        <v>944</v>
      </c>
      <c r="B17" s="3275"/>
      <c r="C17" s="3275"/>
      <c r="D17" s="3275"/>
    </row>
    <row r="18" spans="1:4" ht="15.75" customHeight="1">
      <c r="A18" s="3272" t="str">
        <f>IF(项目基本情况!B8="抵押",结果表!K120,"——")</f>
        <v>——</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6"/>
      <c r="C21" s="3276"/>
      <c r="D21" s="3276"/>
    </row>
    <row r="22" spans="1:4" ht="18.75" customHeight="1">
      <c r="A22" s="3277" t="s">
        <v>945</v>
      </c>
      <c r="B22" s="3277"/>
      <c r="C22" s="3277"/>
      <c r="D22" s="3277"/>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83" t="s">
        <v>956</v>
      </c>
      <c r="B15" s="3278" t="s">
        <v>109</v>
      </c>
      <c r="C15" s="3279"/>
    </row>
    <row r="16" spans="1:7" ht="13.5">
      <c r="A16" s="3284"/>
      <c r="B16" s="3278" t="s">
        <v>42</v>
      </c>
      <c r="C16" s="3279"/>
    </row>
    <row r="17" spans="1:3" ht="13.5">
      <c r="A17" s="3284"/>
      <c r="B17" s="3281" t="s">
        <v>957</v>
      </c>
      <c r="C17" s="1425" t="s">
        <v>956</v>
      </c>
    </row>
    <row r="18" spans="1:3" ht="13.5">
      <c r="A18" s="3284"/>
      <c r="B18" s="3281"/>
      <c r="C18" s="1425" t="s">
        <v>958</v>
      </c>
    </row>
    <row r="19" spans="1:3" ht="13.5">
      <c r="A19" s="3284"/>
      <c r="B19" s="3281"/>
      <c r="C19" s="1425" t="s">
        <v>959</v>
      </c>
    </row>
    <row r="20" spans="1:3" ht="13.5">
      <c r="A20" s="3285"/>
      <c r="B20" s="3280" t="s">
        <v>960</v>
      </c>
      <c r="C20" s="3279"/>
    </row>
    <row r="21" spans="1:3" ht="13.5">
      <c r="A21" s="1426" t="s">
        <v>961</v>
      </c>
      <c r="B21" s="1427"/>
      <c r="C21" s="1428"/>
    </row>
    <row r="22" spans="1:3" ht="13.5">
      <c r="A22" s="3282" t="s">
        <v>962</v>
      </c>
      <c r="B22" s="3280" t="s">
        <v>963</v>
      </c>
      <c r="C22" s="3279"/>
    </row>
    <row r="23" spans="1:3" ht="13.5">
      <c r="A23" s="3282"/>
      <c r="B23" s="3280" t="s">
        <v>964</v>
      </c>
      <c r="C23" s="3279"/>
    </row>
    <row r="24" spans="1:3" ht="13.5">
      <c r="A24" s="3282"/>
      <c r="B24" s="3280" t="s">
        <v>965</v>
      </c>
      <c r="C24" s="3279"/>
    </row>
    <row r="25" spans="1:3" ht="13.5">
      <c r="A25" s="3282"/>
      <c r="B25" s="3281" t="s">
        <v>966</v>
      </c>
      <c r="C25" s="1425" t="s">
        <v>967</v>
      </c>
    </row>
    <row r="26" spans="1:3" ht="13.5">
      <c r="A26" s="3282"/>
      <c r="B26" s="3281"/>
      <c r="C26" s="1425" t="s">
        <v>968</v>
      </c>
    </row>
    <row r="27" spans="1:3" ht="13.5">
      <c r="A27" s="3282"/>
      <c r="B27" s="3281"/>
      <c r="C27" s="1425" t="s">
        <v>969</v>
      </c>
    </row>
    <row r="28" spans="1:3" ht="13.5">
      <c r="A28" s="3282"/>
      <c r="B28" s="3281"/>
      <c r="C28" s="1425" t="s">
        <v>970</v>
      </c>
    </row>
    <row r="29" spans="1:3" ht="13.5">
      <c r="A29" s="3282"/>
      <c r="B29" s="3281"/>
      <c r="C29" s="1425" t="s">
        <v>971</v>
      </c>
    </row>
    <row r="30" spans="1:3" ht="13.5">
      <c r="A30" s="3282"/>
      <c r="B30" s="3281"/>
      <c r="C30" s="1425" t="s">
        <v>972</v>
      </c>
    </row>
    <row r="31" spans="1:3" ht="13.5">
      <c r="A31" s="3282"/>
      <c r="B31" s="3281"/>
      <c r="C31" s="1425" t="s">
        <v>973</v>
      </c>
    </row>
    <row r="32" spans="1:3" ht="13.5">
      <c r="A32" s="3282"/>
      <c r="B32" s="3281"/>
      <c r="C32" s="1425" t="s">
        <v>974</v>
      </c>
    </row>
    <row r="33" spans="1:3" ht="13.5">
      <c r="A33" s="3282"/>
      <c r="B33" s="3281"/>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45476</v>
      </c>
      <c r="C2" s="2153" t="s">
        <v>2137</v>
      </c>
      <c r="D2" s="2153"/>
      <c r="E2" s="2153"/>
      <c r="F2" s="2149"/>
      <c r="G2" s="2149"/>
      <c r="H2" s="2149"/>
    </row>
    <row r="3" spans="1:8" ht="24" customHeight="1">
      <c r="A3" s="2154" t="s">
        <v>2138</v>
      </c>
      <c r="B3" s="1215" t="s">
        <v>2139</v>
      </c>
      <c r="C3" s="1215" t="s">
        <v>2140</v>
      </c>
      <c r="D3" s="2155" t="s">
        <v>2141</v>
      </c>
      <c r="E3" s="2156" t="s">
        <v>2142</v>
      </c>
      <c r="F3" s="1215" t="s">
        <v>2143</v>
      </c>
      <c r="G3" s="1215" t="s">
        <v>2140</v>
      </c>
      <c r="H3" s="2155" t="s">
        <v>2144</v>
      </c>
    </row>
    <row r="4" spans="1:8" ht="24" customHeight="1">
      <c r="A4" s="1215" t="s">
        <v>2145</v>
      </c>
      <c r="B4" s="1215">
        <f ca="1">IF(C4&lt;B2,"已过期",1119970066)</f>
        <v>1119970066</v>
      </c>
      <c r="C4" s="2157">
        <v>45937</v>
      </c>
      <c r="D4" s="2158" t="str">
        <f ca="1">A4&amp;"（注册号："&amp;B4&amp;"）"</f>
        <v>梁津（注册号：1119970066）</v>
      </c>
      <c r="E4" s="2159" t="s">
        <v>2145</v>
      </c>
      <c r="F4" s="1215">
        <f ca="1">IF(G4&lt;B2,"已过期",96010014)</f>
        <v>96010014</v>
      </c>
      <c r="G4" s="2160">
        <v>47118</v>
      </c>
      <c r="H4" s="2161" t="str">
        <f ca="1">E4&amp;"（注册号："&amp;F4&amp;"）"</f>
        <v>梁津（注册号：96010014）</v>
      </c>
    </row>
    <row r="5" spans="1:8" ht="24" customHeight="1">
      <c r="A5" s="1215" t="s">
        <v>2146</v>
      </c>
      <c r="B5" s="1215">
        <f ca="1">IF(C5&lt;B2,"已过期",1119970111)</f>
        <v>1119970111</v>
      </c>
      <c r="C5" s="2157">
        <v>45937</v>
      </c>
      <c r="D5" s="2158" t="str">
        <f t="shared" ref="D5:D15" ca="1" si="0">A5&amp;"（注册号："&amp;B5&amp;"）"</f>
        <v>叶凌（注册号：1119970111）</v>
      </c>
      <c r="E5" s="2159" t="s">
        <v>2146</v>
      </c>
      <c r="F5" s="1215">
        <f ca="1">IF(G5&lt;B2,"已过期",94010078)</f>
        <v>94010078</v>
      </c>
      <c r="G5" s="2160">
        <v>46387</v>
      </c>
      <c r="H5" s="2161" t="str">
        <f t="shared" ref="H5:H16" ca="1" si="1">E5&amp;"（注册号："&amp;F5&amp;"）"</f>
        <v>叶凌（注册号：94010078）</v>
      </c>
    </row>
    <row r="6" spans="1:8" ht="24" customHeight="1">
      <c r="A6" s="1215" t="s">
        <v>2147</v>
      </c>
      <c r="B6" s="1215" t="str">
        <f ca="1">IF(C6&lt;B2,"已过期",1120050019)</f>
        <v>已过期</v>
      </c>
      <c r="C6" s="2157">
        <v>45410</v>
      </c>
      <c r="D6" s="2158" t="str">
        <f t="shared" ca="1" si="0"/>
        <v>王鹏（注册号：已过期）</v>
      </c>
      <c r="E6" s="2159" t="s">
        <v>2147</v>
      </c>
      <c r="F6" s="1215">
        <f ca="1">IF(G6&lt;B2,"已过期",2002110030)</f>
        <v>2002110030</v>
      </c>
      <c r="G6" s="2160">
        <v>46387</v>
      </c>
      <c r="H6" s="2161" t="str">
        <f t="shared" ca="1" si="1"/>
        <v>王鹏（注册号：2002110030）</v>
      </c>
    </row>
    <row r="7" spans="1:8" ht="24" customHeight="1">
      <c r="A7" s="1215" t="s">
        <v>2148</v>
      </c>
      <c r="B7" s="1215">
        <f ca="1">IF(C7&lt;B2,"已过期",1120000080)</f>
        <v>1120000080</v>
      </c>
      <c r="C7" s="2157">
        <v>45937</v>
      </c>
      <c r="D7" s="2158" t="str">
        <f t="shared" ca="1" si="0"/>
        <v>欧红伟（注册号：1120000080）</v>
      </c>
      <c r="E7" s="2159" t="s">
        <v>2148</v>
      </c>
      <c r="F7" s="1215">
        <f ca="1">IF(G7&lt;B2,"已过期",2000110082)</f>
        <v>2000110082</v>
      </c>
      <c r="G7" s="2160">
        <v>46387</v>
      </c>
      <c r="H7" s="2161" t="str">
        <f t="shared" ca="1" si="1"/>
        <v>欧红伟（注册号：2000110082）</v>
      </c>
    </row>
    <row r="8" spans="1:8" ht="24" customHeight="1">
      <c r="A8" s="1215" t="s">
        <v>2149</v>
      </c>
      <c r="B8" s="1215">
        <f ca="1">IF(C8&lt;B2,"已过期",1419970001)</f>
        <v>1419970001</v>
      </c>
      <c r="C8" s="2157">
        <v>45937</v>
      </c>
      <c r="D8" s="2158" t="str">
        <f t="shared" ca="1" si="0"/>
        <v>吴薇（注册号：1419970001）</v>
      </c>
      <c r="E8" s="2159" t="s">
        <v>2149</v>
      </c>
      <c r="F8" s="1215">
        <f ca="1">IF(G8&lt;B2,"已过期",2002110125)</f>
        <v>2002110125</v>
      </c>
      <c r="G8" s="2160">
        <v>47118</v>
      </c>
      <c r="H8" s="2161" t="str">
        <f t="shared" ca="1" si="1"/>
        <v>吴薇（注册号：2002110125）</v>
      </c>
    </row>
    <row r="9" spans="1:8" ht="24" customHeight="1">
      <c r="A9" s="1215" t="s">
        <v>2150</v>
      </c>
      <c r="B9" s="1215">
        <f ca="1">IF(C9&lt;B2,"已过期",1120060040)</f>
        <v>1120060040</v>
      </c>
      <c r="C9" s="2162">
        <v>45592</v>
      </c>
      <c r="D9" s="2158" t="str">
        <f t="shared" ca="1" si="0"/>
        <v>陈颖（注册号：1120060040）</v>
      </c>
      <c r="E9" s="2159" t="s">
        <v>2150</v>
      </c>
      <c r="F9" s="1215">
        <f ca="1">IF(G9&lt;B2,"已过期",2004110096)</f>
        <v>2004110096</v>
      </c>
      <c r="G9" s="2160">
        <v>47118</v>
      </c>
      <c r="H9" s="2161" t="str">
        <f t="shared" ca="1" si="1"/>
        <v>陈颖（注册号：2004110096）</v>
      </c>
    </row>
    <row r="10" spans="1:8" ht="24" customHeight="1">
      <c r="A10" s="1215" t="s">
        <v>2151</v>
      </c>
      <c r="B10" s="1215">
        <f ca="1">IF(C10&lt;B2,"已过期",1120100036)</f>
        <v>1120100036</v>
      </c>
      <c r="C10" s="2162">
        <v>45752</v>
      </c>
      <c r="D10" s="2158" t="str">
        <f t="shared" ca="1" si="0"/>
        <v>崔锴（注册号：1120100036）</v>
      </c>
      <c r="E10" s="2159" t="s">
        <v>2151</v>
      </c>
      <c r="F10" s="1215">
        <f ca="1">IF(G10&lt;B2,"已过期",2010110070)</f>
        <v>2010110070</v>
      </c>
      <c r="G10" s="2160">
        <v>47907</v>
      </c>
      <c r="H10" s="2161" t="str">
        <f t="shared" ca="1" si="1"/>
        <v>崔锴（注册号：2010110070）</v>
      </c>
    </row>
    <row r="11" spans="1:8" ht="24" customHeight="1">
      <c r="A11" s="1215" t="s">
        <v>2152</v>
      </c>
      <c r="B11" s="1215">
        <f ca="1">IF(C11&lt;B2,"已过期",1120070131)</f>
        <v>1120070131</v>
      </c>
      <c r="C11" s="2157">
        <v>45937</v>
      </c>
      <c r="D11" s="2158" t="str">
        <f t="shared" ca="1" si="0"/>
        <v>郑燚（注册号：1120070131）</v>
      </c>
      <c r="E11" s="2159" t="s">
        <v>2152</v>
      </c>
      <c r="F11" s="1215">
        <f ca="1">IF(G11&lt;B2,"已过期",2014110011)</f>
        <v>2014110011</v>
      </c>
      <c r="G11" s="2160">
        <v>49302</v>
      </c>
      <c r="H11" s="2161" t="str">
        <f t="shared" ca="1" si="1"/>
        <v>郑燚（注册号：2014110011）</v>
      </c>
    </row>
    <row r="12" spans="1:8" ht="24" customHeight="1">
      <c r="A12" s="1215" t="s">
        <v>2153</v>
      </c>
      <c r="B12" s="1215">
        <f ca="1">IF(C12&lt;B2,"已过期",1120040230)</f>
        <v>1120040230</v>
      </c>
      <c r="C12" s="2162">
        <v>45937</v>
      </c>
      <c r="D12" s="2158" t="str">
        <f t="shared" ca="1" si="0"/>
        <v>苏海（注册号：1120040230）</v>
      </c>
      <c r="E12" s="2159" t="s">
        <v>2153</v>
      </c>
      <c r="F12" s="1215">
        <f ca="1">IF(G12&lt;B2,"已过期",98030020)</f>
        <v>98030020</v>
      </c>
      <c r="G12" s="2160">
        <v>47118</v>
      </c>
      <c r="H12" s="2161" t="str">
        <f t="shared" ca="1" si="1"/>
        <v>苏海（注册号：98030020）</v>
      </c>
    </row>
    <row r="13" spans="1:8" ht="24" customHeight="1">
      <c r="A13" s="1215" t="s">
        <v>2154</v>
      </c>
      <c r="B13" s="1215" t="str">
        <f ca="1">IF(C13&lt;B2,"已过期",1120020033)</f>
        <v>已过期</v>
      </c>
      <c r="C13" s="2157">
        <v>45375</v>
      </c>
      <c r="D13" s="2158" t="str">
        <f t="shared" ca="1" si="0"/>
        <v>刘敬东（注册号：已过期）</v>
      </c>
      <c r="E13" s="2159" t="s">
        <v>2154</v>
      </c>
      <c r="F13" s="1215">
        <f ca="1">IF(G13&lt;B2,"已过期",2000110137)</f>
        <v>2000110137</v>
      </c>
      <c r="G13" s="2160">
        <v>46387</v>
      </c>
      <c r="H13" s="2161" t="str">
        <f t="shared" ca="1" si="1"/>
        <v>刘敬东（注册号：2000110137）</v>
      </c>
    </row>
    <row r="14" spans="1:8" ht="24" customHeight="1">
      <c r="A14" s="1215" t="s">
        <v>2155</v>
      </c>
      <c r="B14" s="1215" t="str">
        <f ca="1">IF(C14&lt;B2,"已过期",1119980106)</f>
        <v>已过期</v>
      </c>
      <c r="C14" s="2162">
        <v>44969</v>
      </c>
      <c r="D14" s="2158" t="str">
        <f t="shared" ca="1" si="0"/>
        <v>刘俊财（注册号：已过期）</v>
      </c>
      <c r="E14" s="2159" t="s">
        <v>2155</v>
      </c>
      <c r="F14" s="1215">
        <f ca="1">IF(G14&lt;B2,"已过期",96010063)</f>
        <v>96010063</v>
      </c>
      <c r="G14" s="2160">
        <v>47483</v>
      </c>
      <c r="H14" s="2161" t="str">
        <f t="shared" ca="1" si="1"/>
        <v>刘俊财（注册号：96010063）</v>
      </c>
    </row>
    <row r="15" spans="1:8" ht="24" customHeight="1">
      <c r="A15" s="1215" t="s">
        <v>2434</v>
      </c>
      <c r="B15" s="1215">
        <v>1120210056</v>
      </c>
      <c r="C15" s="2162">
        <v>45410</v>
      </c>
      <c r="D15" s="2158" t="str">
        <f t="shared" si="0"/>
        <v>宁小鳗（注册号：1120210056）</v>
      </c>
      <c r="E15" s="2159" t="s">
        <v>2156</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86" t="s">
        <v>2157</v>
      </c>
      <c r="B17" s="3286"/>
      <c r="C17" s="3286"/>
      <c r="D17" s="3286"/>
      <c r="E17" s="3286"/>
      <c r="F17" s="3286"/>
      <c r="G17" s="3286"/>
      <c r="H17" s="3286"/>
    </row>
    <row r="18" spans="1:8" ht="24" customHeight="1">
      <c r="A18" s="3287" t="s">
        <v>2158</v>
      </c>
      <c r="B18" s="3287"/>
      <c r="C18" s="3287"/>
      <c r="D18" s="2155"/>
      <c r="E18" s="3288" t="s">
        <v>2159</v>
      </c>
      <c r="F18" s="3287"/>
      <c r="G18" s="3287"/>
    </row>
    <row r="19" spans="1:8" s="2165" customFormat="1" ht="24" customHeight="1">
      <c r="A19" s="2164" t="s">
        <v>2160</v>
      </c>
      <c r="B19" s="1215" t="s">
        <v>2161</v>
      </c>
      <c r="C19" s="1215" t="s">
        <v>2140</v>
      </c>
      <c r="D19" s="2155"/>
      <c r="E19" s="2159" t="s">
        <v>2160</v>
      </c>
      <c r="F19" s="1215" t="s">
        <v>2161</v>
      </c>
      <c r="G19" s="1215" t="s">
        <v>2140</v>
      </c>
    </row>
    <row r="20" spans="1:8" s="2165" customFormat="1" ht="24" customHeight="1">
      <c r="A20" s="2166" t="s">
        <v>2162</v>
      </c>
      <c r="B20" s="2166" t="s">
        <v>2163</v>
      </c>
      <c r="C20" s="2160">
        <v>45898</v>
      </c>
      <c r="D20" s="2167"/>
      <c r="E20" s="2168" t="s">
        <v>2164</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铂郡面积表</vt:lpstr>
      <vt:lpstr>结果一览表-铂郡</vt:lpstr>
      <vt:lpstr>典型户型修正</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比较法-商业租金</vt:lpstr>
      <vt:lpstr>Sheet1</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2024-07-03T05:39:12Z</dcterms:modified>
</cp:coreProperties>
</file>