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r:id="rId23"/>
    <sheet name="比较法案例" sheetId="89" r:id="rId24"/>
    <sheet name="收益法办公" sheetId="82" r:id="rId25"/>
    <sheet name="案例" sheetId="79" r:id="rId26"/>
    <sheet name="结果表商业" sheetId="86" r:id="rId27"/>
    <sheet name="比较法-商业" sheetId="33" r:id="rId28"/>
    <sheet name="典型户型修正" sheetId="31" r:id="rId29"/>
    <sheet name="收益法商业" sheetId="78" r:id="rId30"/>
    <sheet name="收益法仓储" sheetId="80" state="hidden" r:id="rId31"/>
    <sheet name="成本法" sheetId="68" state="hidden" r:id="rId32"/>
    <sheet name="基准地价修正" sheetId="43" state="hidden" r:id="rId33"/>
    <sheet name="收益法车库" sheetId="81" state="hidden" r:id="rId34"/>
    <sheet name="收益法车库 (2)" sheetId="85" state="hidden" r:id="rId35"/>
    <sheet name="收益法（汇总）" sheetId="70" state="hidden" r:id="rId36"/>
    <sheet name="酒店收入计算" sheetId="66" state="hidden" r:id="rId37"/>
    <sheet name="比较法-住宅" sheetId="21" state="hidden" r:id="rId38"/>
    <sheet name="比较法-工业" sheetId="37" state="hidden" r:id="rId39"/>
    <sheet name="比较法-车位" sheetId="35" state="hidden" r:id="rId40"/>
    <sheet name="比较法-仓储" sheetId="36" state="hidden" r:id="rId41"/>
    <sheet name="土地比较法-工业" sheetId="40" state="hidden" r:id="rId42"/>
    <sheet name="基准地价修正 (2)" sheetId="84" state="hidden" r:id="rId43"/>
    <sheet name="基准地价（汇总）" sheetId="76" state="hidden" r:id="rId44"/>
    <sheet name="土地比较法-住宅、综合" sheetId="39" state="hidden" r:id="rId45"/>
    <sheet name="土地案例" sheetId="83" state="hidden" r:id="rId46"/>
    <sheet name="修正" sheetId="45" state="hidden" r:id="rId47"/>
    <sheet name="容积率修正" sheetId="4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s>
  <definedNames>
    <definedName name="_xlnm._FilterDatabase" localSheetId="22"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7" hidden="1">'比较法-商业'!$A$1:$L$49</definedName>
    <definedName name="_xlnm._FilterDatabase" localSheetId="3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4">收益法办公!$A$1:$AK$69</definedName>
    <definedName name="_xlnm.Print_Area" localSheetId="30">收益法仓储!$A$1:$AK$69</definedName>
    <definedName name="_xlnm.Print_Area" localSheetId="33">收益法车库!$A$1:$AK$69</definedName>
    <definedName name="_xlnm.Print_Area" localSheetId="34">'收益法车库 (2)'!$A$1:$AK$69</definedName>
    <definedName name="_xlnm.Print_Area" localSheetId="29">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2">'基准地价修正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34" l="1"/>
  <c r="G37" i="34"/>
  <c r="E37" i="34"/>
  <c r="D16" i="74" l="1"/>
  <c r="B16" i="74" l="1"/>
  <c r="G16" i="74" l="1"/>
  <c r="A120" i="86" l="1"/>
  <c r="E111" i="86"/>
  <c r="A126" i="86" s="1"/>
  <c r="H109" i="86"/>
  <c r="D124" i="86" s="1"/>
  <c r="D125" i="86" s="1"/>
  <c r="E109" i="86"/>
  <c r="A124" i="86" s="1"/>
  <c r="E107" i="86"/>
  <c r="A122" i="86" s="1"/>
  <c r="H106" i="86"/>
  <c r="H105" i="86"/>
  <c r="H104" i="86"/>
  <c r="D101" i="86"/>
  <c r="C101" i="86"/>
  <c r="C91" i="86"/>
  <c r="E90" i="86"/>
  <c r="D89" i="86"/>
  <c r="C89" i="86"/>
  <c r="C87" i="86" s="1"/>
  <c r="H77" i="86"/>
  <c r="D77" i="86"/>
  <c r="C76" i="86"/>
  <c r="F59" i="86"/>
  <c r="E59" i="86"/>
  <c r="D59" i="86"/>
  <c r="M55" i="86" s="1"/>
  <c r="F56" i="86"/>
  <c r="O55" i="86"/>
  <c r="N55" i="86"/>
  <c r="K55" i="86"/>
  <c r="J55" i="86"/>
  <c r="I55" i="86"/>
  <c r="F55" i="86"/>
  <c r="O53" i="86" s="1"/>
  <c r="O54" i="86"/>
  <c r="N54" i="86"/>
  <c r="N53" i="86"/>
  <c r="K49" i="86"/>
  <c r="F48" i="86"/>
  <c r="O52" i="86" s="1"/>
  <c r="E48" i="86"/>
  <c r="N52" i="86" s="1"/>
  <c r="D48" i="86"/>
  <c r="M52" i="86" s="1"/>
  <c r="F33" i="86"/>
  <c r="D27" i="86"/>
  <c r="C25" i="86"/>
  <c r="C24" i="86"/>
  <c r="D17" i="86"/>
  <c r="C17" i="86"/>
  <c r="L4" i="86"/>
  <c r="K4" i="86"/>
  <c r="H1" i="86"/>
  <c r="D34" i="86"/>
  <c r="D35" i="86"/>
  <c r="H112" i="86" l="1"/>
  <c r="H103" i="86"/>
  <c r="D120" i="86" s="1"/>
  <c r="D121" i="86" s="1"/>
  <c r="H110" i="86"/>
  <c r="C18" i="86"/>
  <c r="D18" i="86" s="1"/>
  <c r="C92" i="86"/>
  <c r="C94" i="86"/>
  <c r="H111" i="86"/>
  <c r="D126" i="86" s="1"/>
  <c r="D127" i="86" s="1"/>
  <c r="L14" i="1"/>
  <c r="L9" i="1"/>
  <c r="L7" i="1"/>
  <c r="K120" i="86" l="1"/>
  <c r="Q72" i="85"/>
  <c r="Q59" i="85"/>
  <c r="K59" i="85"/>
  <c r="P74" i="85" s="1"/>
  <c r="F59" i="85"/>
  <c r="Q58" i="85"/>
  <c r="Q51" i="85"/>
  <c r="J50" i="85"/>
  <c r="M47" i="85"/>
  <c r="D46" i="85"/>
  <c r="F33" i="85"/>
  <c r="F61" i="85" s="1"/>
  <c r="F31" i="85"/>
  <c r="F23" i="85"/>
  <c r="D23" i="85" s="1"/>
  <c r="F21" i="85"/>
  <c r="F20" i="85"/>
  <c r="M19" i="85"/>
  <c r="F18" i="85"/>
  <c r="M17" i="85"/>
  <c r="F17" i="85"/>
  <c r="F15" i="85"/>
  <c r="D24" i="85" l="1"/>
  <c r="P61" i="85"/>
  <c r="D22" i="85"/>
  <c r="F113" i="84" l="1"/>
  <c r="N99" i="84"/>
  <c r="M99" i="84"/>
  <c r="L99" i="84"/>
  <c r="K99" i="84"/>
  <c r="J99" i="84"/>
  <c r="I99" i="84"/>
  <c r="H99" i="84"/>
  <c r="G99" i="84"/>
  <c r="F99" i="84"/>
  <c r="E99" i="84"/>
  <c r="D99" i="84"/>
  <c r="D108" i="84" s="1"/>
  <c r="C99" i="84"/>
  <c r="M88" i="84"/>
  <c r="N88" i="84" s="1"/>
  <c r="K88" i="84"/>
  <c r="J88" i="84" s="1"/>
  <c r="D88" i="84"/>
  <c r="N87" i="84"/>
  <c r="M87" i="84"/>
  <c r="K87" i="84"/>
  <c r="J87" i="84" s="1"/>
  <c r="D87" i="84"/>
  <c r="M86" i="84"/>
  <c r="N86" i="84" s="1"/>
  <c r="K86" i="84"/>
  <c r="J86" i="84"/>
  <c r="D86" i="84"/>
  <c r="M85" i="84"/>
  <c r="N85" i="84" s="1"/>
  <c r="K85" i="84"/>
  <c r="J85" i="84" s="1"/>
  <c r="D85" i="84"/>
  <c r="M84" i="84"/>
  <c r="N84" i="84" s="1"/>
  <c r="K84" i="84"/>
  <c r="J84" i="84"/>
  <c r="D84" i="84"/>
  <c r="B84" i="84"/>
  <c r="M83" i="84"/>
  <c r="N83" i="84" s="1"/>
  <c r="K83" i="84"/>
  <c r="J83" i="84" s="1"/>
  <c r="D83" i="84"/>
  <c r="B83" i="84"/>
  <c r="M82" i="84"/>
  <c r="N82" i="84" s="1"/>
  <c r="K82" i="84"/>
  <c r="J82" i="84"/>
  <c r="D82" i="84"/>
  <c r="M81" i="84"/>
  <c r="N81" i="84" s="1"/>
  <c r="K81" i="84"/>
  <c r="J81" i="84" s="1"/>
  <c r="F81" i="84"/>
  <c r="H88" i="84" s="1"/>
  <c r="D81" i="84"/>
  <c r="M78" i="84"/>
  <c r="N78" i="84" s="1"/>
  <c r="K78" i="84"/>
  <c r="J78" i="84" s="1"/>
  <c r="D78" i="84"/>
  <c r="N77" i="84"/>
  <c r="M77" i="84"/>
  <c r="K77" i="84"/>
  <c r="J77" i="84" s="1"/>
  <c r="D77" i="84"/>
  <c r="M76" i="84"/>
  <c r="N76" i="84" s="1"/>
  <c r="K76" i="84"/>
  <c r="J76" i="84" s="1"/>
  <c r="D76" i="84"/>
  <c r="M75" i="84"/>
  <c r="N75" i="84" s="1"/>
  <c r="K75" i="84"/>
  <c r="J75" i="84" s="1"/>
  <c r="D75" i="84"/>
  <c r="N74" i="84"/>
  <c r="M74" i="84"/>
  <c r="K74" i="84"/>
  <c r="J74" i="84" s="1"/>
  <c r="D74" i="84"/>
  <c r="M73" i="84"/>
  <c r="N73" i="84" s="1"/>
  <c r="K73" i="84"/>
  <c r="J73" i="84" s="1"/>
  <c r="D73" i="84"/>
  <c r="N72" i="84"/>
  <c r="M72" i="84"/>
  <c r="K72" i="84"/>
  <c r="J72" i="84" s="1"/>
  <c r="D72" i="84"/>
  <c r="B72" i="84"/>
  <c r="M71" i="84"/>
  <c r="N71" i="84" s="1"/>
  <c r="K71" i="84"/>
  <c r="J71" i="84" s="1"/>
  <c r="D71" i="84"/>
  <c r="E70" i="84" s="1"/>
  <c r="B68" i="84" s="1"/>
  <c r="N70" i="84"/>
  <c r="M70" i="84"/>
  <c r="K70" i="84"/>
  <c r="J70" i="84" s="1"/>
  <c r="F70" i="84"/>
  <c r="H76" i="84" s="1"/>
  <c r="D70" i="84"/>
  <c r="D67" i="84"/>
  <c r="D65" i="84"/>
  <c r="D63" i="84"/>
  <c r="B61" i="84"/>
  <c r="D60" i="84"/>
  <c r="D59" i="84"/>
  <c r="D56" i="84"/>
  <c r="D54" i="84"/>
  <c r="D52" i="84"/>
  <c r="B50" i="84"/>
  <c r="D49" i="84"/>
  <c r="D48" i="84"/>
  <c r="B48" i="84"/>
  <c r="H39" i="84"/>
  <c r="H38" i="84"/>
  <c r="H37" i="84"/>
  <c r="H36" i="84"/>
  <c r="H35" i="84"/>
  <c r="H34" i="84"/>
  <c r="J20" i="84"/>
  <c r="I19" i="84"/>
  <c r="C18" i="84"/>
  <c r="F15" i="84"/>
  <c r="E15" i="84"/>
  <c r="D15" i="84"/>
  <c r="C15" i="84"/>
  <c r="AE12" i="84"/>
  <c r="Y12" i="84"/>
  <c r="AJ10" i="84"/>
  <c r="AB10" i="84"/>
  <c r="Y10" i="84"/>
  <c r="C10" i="84"/>
  <c r="C11" i="84" s="1"/>
  <c r="E11" i="84" s="1"/>
  <c r="AJ9" i="84"/>
  <c r="AJ12" i="84" s="1"/>
  <c r="AI9" i="84"/>
  <c r="AI10" i="84" s="1"/>
  <c r="AH9" i="84"/>
  <c r="AH12" i="84" s="1"/>
  <c r="AG9" i="84"/>
  <c r="AG10" i="84" s="1"/>
  <c r="AF9" i="84"/>
  <c r="AF12" i="84" s="1"/>
  <c r="AE9" i="84"/>
  <c r="AE10" i="84" s="1"/>
  <c r="AD9" i="84"/>
  <c r="AD12" i="84" s="1"/>
  <c r="AC9" i="84"/>
  <c r="AC10" i="84" s="1"/>
  <c r="AB9" i="84"/>
  <c r="AB12" i="84" s="1"/>
  <c r="AA9" i="84"/>
  <c r="AA10" i="84" s="1"/>
  <c r="Z9" i="84"/>
  <c r="Z12" i="84" s="1"/>
  <c r="C9" i="84"/>
  <c r="C7" i="84"/>
  <c r="A7" i="84"/>
  <c r="I2" i="84"/>
  <c r="M9" i="84" s="1"/>
  <c r="G2" i="84"/>
  <c r="K17" i="84" s="1"/>
  <c r="AG12" i="84" l="1"/>
  <c r="E81" i="84"/>
  <c r="B79" i="84" s="1"/>
  <c r="AA12" i="84"/>
  <c r="AI12" i="84"/>
  <c r="H78" i="84"/>
  <c r="M1" i="84"/>
  <c r="AF10" i="84"/>
  <c r="AC12" i="84"/>
  <c r="C12" i="84"/>
  <c r="H70" i="84"/>
  <c r="H74" i="84"/>
  <c r="O17" i="84"/>
  <c r="H72" i="84"/>
  <c r="H77" i="84"/>
  <c r="H81" i="84"/>
  <c r="H83" i="84"/>
  <c r="N1" i="84"/>
  <c r="H113" i="84"/>
  <c r="F39" i="84"/>
  <c r="F37" i="84"/>
  <c r="F36" i="84"/>
  <c r="F35" i="84"/>
  <c r="F34" i="84"/>
  <c r="F33" i="84"/>
  <c r="N17" i="84"/>
  <c r="L17" i="84"/>
  <c r="J17" i="84"/>
  <c r="H17" i="84"/>
  <c r="C17" i="84"/>
  <c r="X7" i="84"/>
  <c r="M2" i="84"/>
  <c r="N3" i="84"/>
  <c r="M4" i="84"/>
  <c r="N5" i="84"/>
  <c r="C6" i="84"/>
  <c r="E10" i="84"/>
  <c r="Z10" i="84"/>
  <c r="AD10" i="84"/>
  <c r="AH10" i="84"/>
  <c r="D17" i="84"/>
  <c r="I17" i="84"/>
  <c r="M17" i="84"/>
  <c r="F38" i="84"/>
  <c r="N12" i="84"/>
  <c r="M11" i="84"/>
  <c r="M10" i="84"/>
  <c r="N9" i="84"/>
  <c r="F48" i="84" s="1"/>
  <c r="N8" i="84"/>
  <c r="N7" i="84"/>
  <c r="M6" i="84"/>
  <c r="M5" i="84"/>
  <c r="N4" i="84"/>
  <c r="M3" i="84"/>
  <c r="N2" i="84"/>
  <c r="N6" i="84"/>
  <c r="M7" i="84"/>
  <c r="M8" i="84"/>
  <c r="E9" i="84"/>
  <c r="E8" i="84"/>
  <c r="N10" i="84"/>
  <c r="N11" i="84"/>
  <c r="M12" i="84"/>
  <c r="F59" i="84"/>
  <c r="H71" i="84"/>
  <c r="H73" i="84"/>
  <c r="H75" i="84"/>
  <c r="H82" i="84"/>
  <c r="H84" i="84"/>
  <c r="H86" i="84"/>
  <c r="H87" i="84"/>
  <c r="C108" i="84"/>
  <c r="C100" i="84"/>
  <c r="E108" i="84"/>
  <c r="E100" i="84"/>
  <c r="G108" i="84"/>
  <c r="G100" i="84"/>
  <c r="I108" i="84"/>
  <c r="I100" i="84"/>
  <c r="K108" i="84"/>
  <c r="K100" i="84"/>
  <c r="M108" i="84"/>
  <c r="M100" i="84"/>
  <c r="D100" i="84"/>
  <c r="H85" i="84"/>
  <c r="F108" i="84"/>
  <c r="F100" i="84"/>
  <c r="H108" i="84"/>
  <c r="H100" i="84"/>
  <c r="J108" i="84"/>
  <c r="J100" i="84"/>
  <c r="L108" i="84"/>
  <c r="L100" i="84"/>
  <c r="N108" i="84"/>
  <c r="N100" i="84"/>
  <c r="H52" i="84" l="1"/>
  <c r="G52" i="84" s="1"/>
  <c r="H55" i="84"/>
  <c r="G55" i="84" s="1"/>
  <c r="H54" i="84"/>
  <c r="G54" i="84" s="1"/>
  <c r="H50" i="84"/>
  <c r="G50" i="84" s="1"/>
  <c r="H49" i="84"/>
  <c r="G49" i="84" s="1"/>
  <c r="H56" i="84"/>
  <c r="G56" i="84" s="1"/>
  <c r="H51" i="84"/>
  <c r="G51" i="84" s="1"/>
  <c r="H48" i="84"/>
  <c r="G48" i="84" s="1"/>
  <c r="H53" i="84"/>
  <c r="G53" i="84" s="1"/>
  <c r="H63" i="84"/>
  <c r="G63" i="84" s="1"/>
  <c r="H62" i="84"/>
  <c r="G62" i="84" s="1"/>
  <c r="H67" i="84"/>
  <c r="G67" i="84" s="1"/>
  <c r="H65" i="84"/>
  <c r="G65" i="84" s="1"/>
  <c r="H60" i="84"/>
  <c r="G60" i="84" s="1"/>
  <c r="H66" i="84"/>
  <c r="G66" i="84" s="1"/>
  <c r="H64" i="84"/>
  <c r="G64" i="84" s="1"/>
  <c r="H61" i="84"/>
  <c r="G61" i="84" s="1"/>
  <c r="H59" i="84"/>
  <c r="G59" i="84" s="1"/>
  <c r="G17" i="84"/>
  <c r="I38" i="39"/>
  <c r="G38" i="39"/>
  <c r="E38" i="39"/>
  <c r="I7" i="39"/>
  <c r="G7" i="39"/>
  <c r="E7" i="39"/>
  <c r="I5" i="39"/>
  <c r="G5" i="39"/>
  <c r="E5" i="39"/>
  <c r="C38" i="39"/>
  <c r="D71" i="39"/>
  <c r="E71" i="39" s="1"/>
  <c r="F71" i="39" s="1"/>
  <c r="G71" i="39" s="1"/>
  <c r="H71" i="39" s="1"/>
  <c r="I71" i="39" s="1"/>
  <c r="J71" i="39" s="1"/>
  <c r="K71" i="39" s="1"/>
  <c r="L71" i="39" s="1"/>
  <c r="M71" i="39" s="1"/>
  <c r="N71" i="39" s="1"/>
  <c r="O71" i="39" s="1"/>
  <c r="K50" i="84" l="1"/>
  <c r="M50" i="84"/>
  <c r="N50" i="84" s="1"/>
  <c r="M56" i="84"/>
  <c r="N56" i="84" s="1"/>
  <c r="K56" i="84"/>
  <c r="J56" i="84" s="1"/>
  <c r="M55" i="84"/>
  <c r="N55" i="84" s="1"/>
  <c r="K55" i="84"/>
  <c r="J55" i="84" s="1"/>
  <c r="D55" i="84" s="1"/>
  <c r="K48" i="84"/>
  <c r="J48" i="84" s="1"/>
  <c r="M48" i="84"/>
  <c r="N48" i="84" s="1"/>
  <c r="K51" i="84"/>
  <c r="M51" i="84"/>
  <c r="N51" i="84" s="1"/>
  <c r="M54" i="84"/>
  <c r="N54" i="84" s="1"/>
  <c r="K54" i="84"/>
  <c r="J54" i="84" s="1"/>
  <c r="M53" i="84"/>
  <c r="N53" i="84" s="1"/>
  <c r="K53" i="84"/>
  <c r="M49" i="84"/>
  <c r="N49" i="84" s="1"/>
  <c r="K49" i="84"/>
  <c r="J49" i="84" s="1"/>
  <c r="K52" i="84"/>
  <c r="J52" i="84" s="1"/>
  <c r="M52" i="84"/>
  <c r="N52" i="84" s="1"/>
  <c r="M59" i="84"/>
  <c r="N59" i="84" s="1"/>
  <c r="K59" i="84"/>
  <c r="J59" i="84" s="1"/>
  <c r="M61" i="84"/>
  <c r="N61" i="84" s="1"/>
  <c r="K61" i="84"/>
  <c r="M66" i="84"/>
  <c r="N66" i="84" s="1"/>
  <c r="K66" i="84"/>
  <c r="J66" i="84" s="1"/>
  <c r="D66" i="84" s="1"/>
  <c r="M65" i="84"/>
  <c r="N65" i="84" s="1"/>
  <c r="K65" i="84"/>
  <c r="J65" i="84" s="1"/>
  <c r="K62" i="84"/>
  <c r="M62" i="84"/>
  <c r="N62" i="84" s="1"/>
  <c r="M64" i="84"/>
  <c r="N64" i="84" s="1"/>
  <c r="K64" i="84"/>
  <c r="M60" i="84"/>
  <c r="N60" i="84" s="1"/>
  <c r="K60" i="84"/>
  <c r="J60" i="84" s="1"/>
  <c r="M67" i="84"/>
  <c r="N67" i="84" s="1"/>
  <c r="K67" i="84"/>
  <c r="J67" i="84" s="1"/>
  <c r="K63" i="84"/>
  <c r="J63" i="84" s="1"/>
  <c r="M63" i="84"/>
  <c r="N63" i="84" s="1"/>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X21" i="1"/>
  <c r="N8" i="1"/>
  <c r="N6" i="1"/>
  <c r="Q72" i="78"/>
  <c r="Q59" i="78"/>
  <c r="K59" i="78"/>
  <c r="P74" i="78" s="1"/>
  <c r="F59" i="78"/>
  <c r="Q58" i="78"/>
  <c r="Q51" i="78"/>
  <c r="J50" i="78"/>
  <c r="M47" i="78"/>
  <c r="D46" i="78"/>
  <c r="F33" i="78"/>
  <c r="F61" i="78" s="1"/>
  <c r="F31" i="78"/>
  <c r="F23" i="78"/>
  <c r="D23" i="78" s="1"/>
  <c r="F21" i="78"/>
  <c r="F20" i="78"/>
  <c r="M19" i="78"/>
  <c r="F18" i="78"/>
  <c r="M17" i="78"/>
  <c r="F17" i="78"/>
  <c r="F15" i="78"/>
  <c r="C37" i="34" l="1"/>
  <c r="N10" i="1"/>
  <c r="N14" i="1"/>
  <c r="D22" i="81"/>
  <c r="N7" i="1"/>
  <c r="Y6" i="1"/>
  <c r="D23" i="81"/>
  <c r="J53" i="84"/>
  <c r="D53" i="84"/>
  <c r="J51" i="84"/>
  <c r="D51" i="84"/>
  <c r="N9" i="1"/>
  <c r="J50" i="84"/>
  <c r="D50" i="84"/>
  <c r="E48" i="84" s="1"/>
  <c r="B46" i="84" s="1"/>
  <c r="J64" i="84"/>
  <c r="D64" i="84"/>
  <c r="D62" i="84"/>
  <c r="J62" i="84"/>
  <c r="J61" i="84"/>
  <c r="D61" i="84"/>
  <c r="D24" i="82"/>
  <c r="P61" i="82"/>
  <c r="D22" i="82"/>
  <c r="P61" i="81"/>
  <c r="D24" i="80"/>
  <c r="P61" i="80"/>
  <c r="D22" i="80"/>
  <c r="D24" i="78"/>
  <c r="P61" i="78"/>
  <c r="D22" i="78"/>
  <c r="Y10" i="1" l="1"/>
  <c r="Y8" i="1"/>
  <c r="Y7" i="1"/>
  <c r="Y9" i="1"/>
  <c r="E59" i="84"/>
  <c r="B57" i="84" s="1"/>
  <c r="C24" i="84" s="1"/>
  <c r="L10" i="77" l="1"/>
  <c r="O97" i="77"/>
  <c r="G22" i="6" s="1"/>
  <c r="N97" i="77"/>
  <c r="I10" i="77"/>
  <c r="F10" i="77"/>
  <c r="F12" i="77" s="1"/>
  <c r="H10" i="77"/>
  <c r="H12" i="77" s="1"/>
  <c r="K11" i="77"/>
  <c r="V26" i="1" s="1"/>
  <c r="K10" i="77"/>
  <c r="D9" i="77"/>
  <c r="G9" i="77"/>
  <c r="M9" i="77" s="1"/>
  <c r="D8" i="77"/>
  <c r="G8" i="77"/>
  <c r="D7" i="77"/>
  <c r="G7" i="77"/>
  <c r="M7" i="77" s="1"/>
  <c r="D6" i="77"/>
  <c r="G6" i="77"/>
  <c r="D5" i="77"/>
  <c r="G5" i="77"/>
  <c r="M5" i="77" s="1"/>
  <c r="G4" i="77"/>
  <c r="D4" i="77"/>
  <c r="D3" i="77"/>
  <c r="E3" i="77"/>
  <c r="E12" i="77" s="1"/>
  <c r="K13" i="3" s="1"/>
  <c r="B24" i="31" s="1"/>
  <c r="G3" i="77"/>
  <c r="M6" i="77" l="1"/>
  <c r="M8" i="77"/>
  <c r="G23" i="6"/>
  <c r="P97" i="77"/>
  <c r="M3" i="77"/>
  <c r="C34" i="34" s="1"/>
  <c r="D12" i="77"/>
  <c r="I13" i="3" s="1"/>
  <c r="F19" i="6" s="1"/>
  <c r="W25" i="1"/>
  <c r="Q14" i="3"/>
  <c r="D39" i="43" s="1"/>
  <c r="L11" i="77"/>
  <c r="M13" i="3"/>
  <c r="B25" i="31" s="1"/>
  <c r="K12" i="77"/>
  <c r="V25" i="1"/>
  <c r="G10" i="77"/>
  <c r="M10" i="77" s="1"/>
  <c r="AN14" i="3"/>
  <c r="D29" i="84"/>
  <c r="V20" i="1"/>
  <c r="F20" i="6"/>
  <c r="D33" i="84"/>
  <c r="H33" i="84" s="1"/>
  <c r="G20" i="6"/>
  <c r="I12" i="77"/>
  <c r="M4" i="77"/>
  <c r="V21" i="1" l="1"/>
  <c r="W26" i="1"/>
  <c r="S14" i="3"/>
  <c r="W22" i="1"/>
  <c r="G12" i="77"/>
  <c r="O14" i="3" s="1"/>
  <c r="D1" i="84"/>
  <c r="AH5" i="71"/>
  <c r="AG5" i="71"/>
  <c r="AE5" i="71"/>
  <c r="AF5" i="71" s="1"/>
  <c r="AD5" i="71"/>
  <c r="Q5" i="71"/>
  <c r="P5" i="71"/>
  <c r="O5" i="71"/>
  <c r="N5" i="71"/>
  <c r="D38" i="43" l="1"/>
  <c r="G21" i="6"/>
  <c r="Q7" i="71"/>
  <c r="P7" i="71"/>
  <c r="O7" i="71"/>
  <c r="N7" i="71"/>
  <c r="AH6" i="71"/>
  <c r="AG6" i="71"/>
  <c r="AE6" i="71"/>
  <c r="AF6" i="71"/>
  <c r="AD6" i="71"/>
  <c r="Q6" i="71"/>
  <c r="P6" i="71"/>
  <c r="O6" i="71"/>
  <c r="N6" i="71"/>
  <c r="C7"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Y8" i="71" s="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D15" i="71"/>
  <c r="AH13" i="71"/>
  <c r="AG13" i="71"/>
  <c r="AE13" i="71"/>
  <c r="AF13" i="71"/>
  <c r="AD13" i="71"/>
  <c r="AD14" i="71"/>
  <c r="AG14" i="71"/>
  <c r="AH14" i="71"/>
  <c r="AE14" i="71"/>
  <c r="AF14" i="71" s="1"/>
  <c r="N14" i="71"/>
  <c r="B14" i="71" s="1"/>
  <c r="B13" i="71" s="1"/>
  <c r="B12" i="71" s="1"/>
  <c r="B11" i="71" s="1"/>
  <c r="B10" i="71" s="1"/>
  <c r="Q14" i="71"/>
  <c r="P14" i="71"/>
  <c r="O14" i="71"/>
  <c r="C14" i="71" s="1"/>
  <c r="C13" i="71" s="1"/>
  <c r="Q15" i="71"/>
  <c r="F14" i="71"/>
  <c r="F13" i="71" s="1"/>
  <c r="F12" i="71" s="1"/>
  <c r="P15" i="71"/>
  <c r="E14" i="71"/>
  <c r="O15" i="71"/>
  <c r="N15" i="71"/>
  <c r="Y14" i="71"/>
  <c r="Z14" i="71" s="1"/>
  <c r="A2" i="53"/>
  <c r="K59" i="67"/>
  <c r="P61" i="67"/>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6" i="71"/>
  <c r="P16" i="71"/>
  <c r="O16" i="71"/>
  <c r="N16" i="71"/>
  <c r="A15" i="51"/>
  <c r="B12" i="72" s="1"/>
  <c r="C76" i="9"/>
  <c r="I107" i="40"/>
  <c r="K6" i="4"/>
  <c r="B22" i="31"/>
  <c r="M56" i="9"/>
  <c r="K56" i="9"/>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s="1"/>
  <c r="AI9" i="43"/>
  <c r="AH9" i="43"/>
  <c r="AH12" i="43" s="1"/>
  <c r="AG9" i="43"/>
  <c r="AF9" i="43"/>
  <c r="AF12" i="43" s="1"/>
  <c r="AE9" i="43"/>
  <c r="AE10" i="43" s="1"/>
  <c r="AE12" i="43"/>
  <c r="AD9" i="43"/>
  <c r="AD12" i="43" s="1"/>
  <c r="AC9" i="43"/>
  <c r="AC12" i="43" s="1"/>
  <c r="AB9" i="43"/>
  <c r="AB12" i="43" s="1"/>
  <c r="AA9" i="43"/>
  <c r="AA12" i="43" s="1"/>
  <c r="Z9" i="43"/>
  <c r="Z12" i="43" s="1"/>
  <c r="AA10" i="43"/>
  <c r="AC10" i="43"/>
  <c r="Z10" i="43"/>
  <c r="AB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79" i="71"/>
  <c r="F78" i="71"/>
  <c r="F77" i="71" s="1"/>
  <c r="E78" i="71"/>
  <c r="E77" i="71" s="1"/>
  <c r="E76" i="71" s="1"/>
  <c r="C78" i="71"/>
  <c r="D78" i="71" s="1"/>
  <c r="B78" i="71"/>
  <c r="F76" i="71"/>
  <c r="B77" i="71"/>
  <c r="B76" i="71" s="1"/>
  <c r="D75" i="71"/>
  <c r="F74" i="71"/>
  <c r="F73" i="71" s="1"/>
  <c r="E74" i="71"/>
  <c r="E73" i="71" s="1"/>
  <c r="E72" i="71" s="1"/>
  <c r="C74" i="71"/>
  <c r="D74" i="71" s="1"/>
  <c r="B74" i="71"/>
  <c r="F72" i="71"/>
  <c r="B73" i="71"/>
  <c r="B72" i="71" s="1"/>
  <c r="D71" i="71"/>
  <c r="Q70" i="71"/>
  <c r="P70" i="71"/>
  <c r="O70" i="71"/>
  <c r="N70" i="71"/>
  <c r="F70" i="71"/>
  <c r="F69" i="71" s="1"/>
  <c r="F68" i="71" s="1"/>
  <c r="V70" i="71"/>
  <c r="E70" i="71"/>
  <c r="U70" i="71" s="1"/>
  <c r="C70" i="71"/>
  <c r="T70" i="71"/>
  <c r="B70" i="71"/>
  <c r="S70" i="71" s="1"/>
  <c r="Q69" i="71"/>
  <c r="P69" i="71"/>
  <c r="O69" i="71"/>
  <c r="N69" i="71"/>
  <c r="B69" i="71"/>
  <c r="B68" i="71" s="1"/>
  <c r="Q68" i="71"/>
  <c r="P68" i="71"/>
  <c r="O68" i="71"/>
  <c r="N68" i="71"/>
  <c r="Q67" i="71"/>
  <c r="P67" i="71"/>
  <c r="O67" i="71"/>
  <c r="N67" i="71"/>
  <c r="D67" i="71"/>
  <c r="Q66" i="71"/>
  <c r="P66" i="71"/>
  <c r="O66" i="71"/>
  <c r="N66" i="71"/>
  <c r="F66" i="71"/>
  <c r="V66" i="71" s="1"/>
  <c r="E66" i="71"/>
  <c r="U66" i="71"/>
  <c r="C66" i="71"/>
  <c r="B66" i="71"/>
  <c r="S66" i="71"/>
  <c r="Q65" i="71"/>
  <c r="P65" i="71"/>
  <c r="O65" i="71"/>
  <c r="N65" i="71"/>
  <c r="F65" i="71"/>
  <c r="F64" i="71" s="1"/>
  <c r="B65" i="71"/>
  <c r="B64" i="71"/>
  <c r="Q64" i="71"/>
  <c r="P64" i="71"/>
  <c r="O64" i="71"/>
  <c r="N64" i="71"/>
  <c r="Q63" i="71"/>
  <c r="P63" i="71"/>
  <c r="O63" i="71"/>
  <c r="N63" i="71"/>
  <c r="D63" i="71"/>
  <c r="Q62" i="71"/>
  <c r="P62" i="71"/>
  <c r="O62" i="71"/>
  <c r="N62" i="71"/>
  <c r="F62" i="71"/>
  <c r="V62" i="71" s="1"/>
  <c r="E62" i="71"/>
  <c r="C62" i="71"/>
  <c r="T62" i="71" s="1"/>
  <c r="B62" i="71"/>
  <c r="Q61" i="71"/>
  <c r="P61" i="71"/>
  <c r="O61" i="71"/>
  <c r="N61" i="71"/>
  <c r="F61" i="71"/>
  <c r="F60" i="71" s="1"/>
  <c r="Q60" i="71"/>
  <c r="P60" i="71"/>
  <c r="O60" i="71"/>
  <c r="N60" i="71"/>
  <c r="Q59" i="71"/>
  <c r="P59" i="71"/>
  <c r="O59" i="71"/>
  <c r="N59" i="71"/>
  <c r="D59" i="71"/>
  <c r="F58" i="71"/>
  <c r="V58" i="71"/>
  <c r="E58" i="71"/>
  <c r="P58" i="71" s="1"/>
  <c r="C58" i="71"/>
  <c r="B58" i="71"/>
  <c r="S58" i="71" s="1"/>
  <c r="F57" i="71"/>
  <c r="F56" i="71" s="1"/>
  <c r="B57" i="71"/>
  <c r="D55" i="71"/>
  <c r="Q54" i="71"/>
  <c r="P54" i="71"/>
  <c r="O54" i="71"/>
  <c r="N54" i="71"/>
  <c r="Q53" i="71"/>
  <c r="P53" i="71"/>
  <c r="O53" i="71"/>
  <c r="N53" i="71"/>
  <c r="Q52" i="71"/>
  <c r="P52" i="71"/>
  <c r="O52" i="71"/>
  <c r="N52" i="71"/>
  <c r="Q51" i="71"/>
  <c r="F52" i="71"/>
  <c r="F53" i="71" s="1"/>
  <c r="F54" i="71" s="1"/>
  <c r="V54" i="71" s="1"/>
  <c r="P51" i="71"/>
  <c r="E52" i="71"/>
  <c r="O51" i="71"/>
  <c r="C52" i="71" s="1"/>
  <c r="N51" i="71"/>
  <c r="B52" i="71" s="1"/>
  <c r="B53" i="71" s="1"/>
  <c r="B54" i="71" s="1"/>
  <c r="S54" i="71"/>
  <c r="D51" i="71"/>
  <c r="Q50" i="71"/>
  <c r="P50" i="71"/>
  <c r="O50" i="71"/>
  <c r="N50" i="71"/>
  <c r="Q49" i="71"/>
  <c r="P49" i="71"/>
  <c r="O49" i="71"/>
  <c r="N49" i="71"/>
  <c r="Q48" i="71"/>
  <c r="P48" i="71"/>
  <c r="O48" i="71"/>
  <c r="N48" i="71"/>
  <c r="Q47" i="71"/>
  <c r="F48" i="71" s="1"/>
  <c r="F49" i="71" s="1"/>
  <c r="F50" i="71" s="1"/>
  <c r="V50" i="71" s="1"/>
  <c r="P47" i="71"/>
  <c r="E48" i="71"/>
  <c r="O47" i="71"/>
  <c r="C48" i="71"/>
  <c r="D48" i="71" s="1"/>
  <c r="N47" i="71"/>
  <c r="B48" i="71"/>
  <c r="B49" i="71" s="1"/>
  <c r="B50" i="71"/>
  <c r="S50" i="71" s="1"/>
  <c r="D47" i="71"/>
  <c r="Q46" i="71"/>
  <c r="P46" i="71"/>
  <c r="O46" i="71"/>
  <c r="N46" i="71"/>
  <c r="Q45" i="71"/>
  <c r="P45" i="71"/>
  <c r="O45" i="71"/>
  <c r="N45" i="71"/>
  <c r="Q44" i="71"/>
  <c r="P44" i="71"/>
  <c r="O44" i="71"/>
  <c r="N44" i="71"/>
  <c r="Q43" i="71"/>
  <c r="F44" i="71" s="1"/>
  <c r="F45" i="71"/>
  <c r="F46" i="71"/>
  <c r="V46" i="71" s="1"/>
  <c r="P43" i="71"/>
  <c r="E44" i="71"/>
  <c r="E45" i="71" s="1"/>
  <c r="E46" i="71" s="1"/>
  <c r="O43" i="71"/>
  <c r="C44" i="71" s="1"/>
  <c r="C45" i="71" s="1"/>
  <c r="C46" i="71" s="1"/>
  <c r="N43" i="71"/>
  <c r="B44" i="71" s="1"/>
  <c r="B45" i="71" s="1"/>
  <c r="B46" i="71" s="1"/>
  <c r="S46" i="71"/>
  <c r="D43" i="71"/>
  <c r="Q42" i="71"/>
  <c r="P42" i="71"/>
  <c r="O42" i="71"/>
  <c r="N42" i="71"/>
  <c r="Q41" i="71"/>
  <c r="P41" i="71"/>
  <c r="O41" i="71"/>
  <c r="N41" i="71"/>
  <c r="Q40" i="71"/>
  <c r="P40" i="71"/>
  <c r="O40" i="71"/>
  <c r="C41" i="71" s="1"/>
  <c r="N40" i="71"/>
  <c r="Q39" i="71"/>
  <c r="F40" i="71"/>
  <c r="P39" i="71"/>
  <c r="E40" i="71" s="1"/>
  <c r="E41" i="71" s="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V38" i="71"/>
  <c r="Q35" i="71"/>
  <c r="F36" i="71" s="1"/>
  <c r="F37" i="71" s="1"/>
  <c r="F38" i="71" s="1"/>
  <c r="P35" i="71"/>
  <c r="E36" i="71" s="1"/>
  <c r="E37" i="71" s="1"/>
  <c r="E38" i="71" s="1"/>
  <c r="U38" i="71"/>
  <c r="O35" i="71"/>
  <c r="C36" i="71"/>
  <c r="N35" i="71"/>
  <c r="B36" i="71"/>
  <c r="B37" i="71" s="1"/>
  <c r="B38" i="71" s="1"/>
  <c r="S38" i="71" s="1"/>
  <c r="D35" i="71"/>
  <c r="Q34" i="71"/>
  <c r="P34" i="71"/>
  <c r="O34" i="71"/>
  <c r="N34" i="71"/>
  <c r="Q33" i="71"/>
  <c r="P33" i="71"/>
  <c r="O33" i="71"/>
  <c r="N33" i="71"/>
  <c r="Q32" i="71"/>
  <c r="P32" i="71"/>
  <c r="O32" i="71"/>
  <c r="N32" i="71"/>
  <c r="F33" i="71"/>
  <c r="F34" i="71" s="1"/>
  <c r="V34" i="71" s="1"/>
  <c r="Q31" i="71"/>
  <c r="F32" i="71" s="1"/>
  <c r="P31" i="71"/>
  <c r="E32" i="71" s="1"/>
  <c r="E33" i="71" s="1"/>
  <c r="E34" i="71" s="1"/>
  <c r="U34" i="71" s="1"/>
  <c r="O31" i="71"/>
  <c r="C32" i="71" s="1"/>
  <c r="N31" i="71"/>
  <c r="B32" i="71"/>
  <c r="B33" i="71" s="1"/>
  <c r="B34" i="71" s="1"/>
  <c r="S34" i="71" s="1"/>
  <c r="D31" i="71"/>
  <c r="Q30" i="71"/>
  <c r="P30" i="71"/>
  <c r="O30" i="71"/>
  <c r="N30" i="71"/>
  <c r="Q29" i="71"/>
  <c r="AB29" i="71" s="1"/>
  <c r="P29" i="71"/>
  <c r="AA29" i="71"/>
  <c r="O29" i="71"/>
  <c r="Y29" i="71"/>
  <c r="Z29" i="71" s="1"/>
  <c r="N29" i="71"/>
  <c r="X29" i="71" s="1"/>
  <c r="Q28" i="71"/>
  <c r="AB28" i="71" s="1"/>
  <c r="P28" i="71"/>
  <c r="AA28" i="71" s="1"/>
  <c r="O28" i="71"/>
  <c r="Y28" i="71" s="1"/>
  <c r="Z28" i="71" s="1"/>
  <c r="N28" i="71"/>
  <c r="X28" i="71" s="1"/>
  <c r="F28" i="71"/>
  <c r="F29" i="71" s="1"/>
  <c r="F30" i="71" s="1"/>
  <c r="V30" i="71" s="1"/>
  <c r="Q27" i="71"/>
  <c r="P27" i="71"/>
  <c r="O27" i="71"/>
  <c r="N27" i="71"/>
  <c r="D27" i="71"/>
  <c r="Q26" i="71"/>
  <c r="P26" i="71"/>
  <c r="O26" i="71"/>
  <c r="Y26" i="71"/>
  <c r="Z26" i="71" s="1"/>
  <c r="N26" i="71"/>
  <c r="X21" i="71" s="1"/>
  <c r="Q25" i="71"/>
  <c r="P25" i="71"/>
  <c r="O25" i="71"/>
  <c r="Y25" i="71" s="1"/>
  <c r="Z25" i="71" s="1"/>
  <c r="N25" i="71"/>
  <c r="Q24" i="71"/>
  <c r="P24" i="71"/>
  <c r="O24" i="71"/>
  <c r="Y24" i="71"/>
  <c r="Z24" i="71" s="1"/>
  <c r="N24" i="71"/>
  <c r="F25" i="71"/>
  <c r="F26" i="71" s="1"/>
  <c r="V26" i="71" s="1"/>
  <c r="Q23" i="71"/>
  <c r="F24" i="71" s="1"/>
  <c r="P23" i="71"/>
  <c r="O23" i="71"/>
  <c r="N23" i="71"/>
  <c r="D23" i="71"/>
  <c r="Q22" i="71"/>
  <c r="P22" i="71"/>
  <c r="O22" i="71"/>
  <c r="N22" i="71"/>
  <c r="Q21" i="71"/>
  <c r="P21" i="71"/>
  <c r="O21" i="71"/>
  <c r="N21" i="71"/>
  <c r="Q20" i="71"/>
  <c r="P20" i="71"/>
  <c r="O20" i="71"/>
  <c r="Y20" i="71"/>
  <c r="Z20" i="71" s="1"/>
  <c r="N20" i="71"/>
  <c r="Q19" i="71"/>
  <c r="P19" i="71"/>
  <c r="O19" i="71"/>
  <c r="N19" i="71"/>
  <c r="D19" i="71"/>
  <c r="O18" i="71"/>
  <c r="C18" i="71" s="1"/>
  <c r="T18" i="71" s="1"/>
  <c r="N18" i="71"/>
  <c r="B20" i="71"/>
  <c r="B21" i="71" s="1"/>
  <c r="B22" i="71" s="1"/>
  <c r="S22" i="71" s="1"/>
  <c r="E20" i="71"/>
  <c r="E21" i="71" s="1"/>
  <c r="B24" i="71"/>
  <c r="B25" i="71" s="1"/>
  <c r="B26" i="71" s="1"/>
  <c r="S26" i="71" s="1"/>
  <c r="N58" i="71"/>
  <c r="E24" i="71"/>
  <c r="E25" i="71" s="1"/>
  <c r="E26" i="71"/>
  <c r="U26" i="71" s="1"/>
  <c r="C20" i="71"/>
  <c r="Y19" i="71"/>
  <c r="Z19" i="71" s="1"/>
  <c r="X25" i="71"/>
  <c r="C28" i="71"/>
  <c r="D28" i="71" s="1"/>
  <c r="Y27" i="71"/>
  <c r="Z27" i="71" s="1"/>
  <c r="F41" i="71"/>
  <c r="F42" i="71" s="1"/>
  <c r="V42" i="71" s="1"/>
  <c r="Y16" i="71"/>
  <c r="Z16" i="71" s="1"/>
  <c r="B18" i="71"/>
  <c r="B17" i="71" s="1"/>
  <c r="B16" i="71" s="1"/>
  <c r="X15" i="71"/>
  <c r="C21" i="71"/>
  <c r="D20" i="71"/>
  <c r="C29" i="71"/>
  <c r="C37" i="71"/>
  <c r="D37" i="71"/>
  <c r="D36" i="71"/>
  <c r="D40" i="71"/>
  <c r="P18" i="71"/>
  <c r="U46" i="71"/>
  <c r="E49" i="71"/>
  <c r="E50" i="71" s="1"/>
  <c r="U50" i="71" s="1"/>
  <c r="E53" i="71"/>
  <c r="E54" i="71" s="1"/>
  <c r="U54" i="71" s="1"/>
  <c r="U58" i="71"/>
  <c r="E57" i="71"/>
  <c r="E56" i="71" s="1"/>
  <c r="P56" i="71" s="1"/>
  <c r="Q18" i="71"/>
  <c r="C49" i="71"/>
  <c r="D49" i="71" s="1"/>
  <c r="N57" i="71"/>
  <c r="B56" i="71"/>
  <c r="N56" i="71" s="1"/>
  <c r="Q57" i="71"/>
  <c r="T58" i="71"/>
  <c r="O58" i="71"/>
  <c r="D58" i="71"/>
  <c r="C57" i="71"/>
  <c r="Q58" i="71"/>
  <c r="C61" i="71"/>
  <c r="D62" i="71"/>
  <c r="E65" i="71"/>
  <c r="E64" i="71" s="1"/>
  <c r="C69" i="71"/>
  <c r="D69" i="71" s="1"/>
  <c r="E69" i="71"/>
  <c r="E68" i="71" s="1"/>
  <c r="D70" i="71"/>
  <c r="C73" i="71"/>
  <c r="C72" i="71" s="1"/>
  <c r="D72" i="71" s="1"/>
  <c r="C77" i="71"/>
  <c r="C17" i="71"/>
  <c r="S18" i="71"/>
  <c r="F18" i="71"/>
  <c r="F17" i="71" s="1"/>
  <c r="F16" i="71" s="1"/>
  <c r="AB15" i="71"/>
  <c r="E18" i="71"/>
  <c r="E17" i="71" s="1"/>
  <c r="E16" i="71" s="1"/>
  <c r="D18" i="71"/>
  <c r="U18" i="71" s="1"/>
  <c r="C56" i="71"/>
  <c r="O57" i="71"/>
  <c r="D57" i="71"/>
  <c r="D73" i="71"/>
  <c r="N55" i="71"/>
  <c r="D77" i="71"/>
  <c r="C76" i="71"/>
  <c r="D76" i="71" s="1"/>
  <c r="C68" i="71"/>
  <c r="D68" i="71"/>
  <c r="C50" i="71"/>
  <c r="D45" i="71"/>
  <c r="P57" i="71"/>
  <c r="C22" i="71"/>
  <c r="D21" i="71"/>
  <c r="V18" i="71"/>
  <c r="O56" i="71"/>
  <c r="D56" i="71"/>
  <c r="O55" i="71"/>
  <c r="T22" i="71"/>
  <c r="D22" i="71"/>
  <c r="T46" i="71"/>
  <c r="D4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c r="A13" i="70"/>
  <c r="E13" i="70" s="1"/>
  <c r="A6" i="70"/>
  <c r="Q25" i="40"/>
  <c r="Z25" i="40"/>
  <c r="D94" i="40"/>
  <c r="E94" i="40" s="1"/>
  <c r="F94" i="40" s="1"/>
  <c r="F25" i="40"/>
  <c r="Z29" i="39"/>
  <c r="Q29" i="39"/>
  <c r="D103" i="39"/>
  <c r="E103" i="39" s="1"/>
  <c r="F103" i="39" s="1"/>
  <c r="G103" i="39" s="1"/>
  <c r="F29" i="39"/>
  <c r="AA29" i="39" s="1"/>
  <c r="Q18" i="36"/>
  <c r="Z18" i="36" s="1"/>
  <c r="D66" i="36"/>
  <c r="E66" i="36"/>
  <c r="F66" i="36" s="1"/>
  <c r="G66" i="36" s="1"/>
  <c r="H18" i="36"/>
  <c r="AB18" i="36"/>
  <c r="F18" i="36"/>
  <c r="AA18" i="36" s="1"/>
  <c r="C18" i="36"/>
  <c r="Q18" i="35"/>
  <c r="Z18" i="35" s="1"/>
  <c r="D68" i="35"/>
  <c r="E68" i="35"/>
  <c r="F18" i="35"/>
  <c r="AA18" i="35"/>
  <c r="C18" i="35"/>
  <c r="Q21" i="37"/>
  <c r="Z21" i="37" s="1"/>
  <c r="D77" i="37"/>
  <c r="E77" i="37" s="1"/>
  <c r="C21" i="37"/>
  <c r="Q21" i="34"/>
  <c r="Z21" i="34" s="1"/>
  <c r="D84" i="34"/>
  <c r="E84" i="34"/>
  <c r="F84" i="34" s="1"/>
  <c r="G84" i="34" s="1"/>
  <c r="F21" i="34"/>
  <c r="S21" i="34" s="1"/>
  <c r="C21" i="34"/>
  <c r="Q21" i="33"/>
  <c r="Z21" i="33" s="1"/>
  <c r="D83" i="33"/>
  <c r="E83" i="33" s="1"/>
  <c r="F83" i="33" s="1"/>
  <c r="G83" i="33" s="1"/>
  <c r="C21" i="33"/>
  <c r="C21" i="21"/>
  <c r="Q21" i="21"/>
  <c r="Z21" i="21" s="1"/>
  <c r="H19" i="21"/>
  <c r="D83" i="21"/>
  <c r="F21" i="21"/>
  <c r="D81" i="21"/>
  <c r="G20" i="20"/>
  <c r="B86" i="84" s="1"/>
  <c r="B86" i="43"/>
  <c r="C22" i="20"/>
  <c r="B66" i="43"/>
  <c r="C25" i="40"/>
  <c r="S18" i="36"/>
  <c r="U18" i="36"/>
  <c r="H25" i="40"/>
  <c r="G94" i="40"/>
  <c r="J25" i="40"/>
  <c r="W25" i="40" s="1"/>
  <c r="H29" i="39"/>
  <c r="AB29" i="39" s="1"/>
  <c r="J29" i="39"/>
  <c r="AC29" i="39" s="1"/>
  <c r="J18" i="36"/>
  <c r="W18" i="36" s="1"/>
  <c r="F68" i="35"/>
  <c r="H18" i="35"/>
  <c r="S18" i="35"/>
  <c r="G68" i="35"/>
  <c r="J18" i="35"/>
  <c r="F77" i="37"/>
  <c r="G77" i="37" s="1"/>
  <c r="H21" i="37"/>
  <c r="U21" i="37" s="1"/>
  <c r="F21" i="37"/>
  <c r="S21" i="37" s="1"/>
  <c r="H21" i="34"/>
  <c r="AB21" i="34" s="1"/>
  <c r="H21" i="33"/>
  <c r="U21" i="33" s="1"/>
  <c r="F21" i="33"/>
  <c r="S21" i="33" s="1"/>
  <c r="E83" i="21"/>
  <c r="H1" i="69"/>
  <c r="AC25" i="40"/>
  <c r="AB25" i="40"/>
  <c r="U25" i="40"/>
  <c r="AB21" i="37"/>
  <c r="AA21" i="37"/>
  <c r="AB18" i="35"/>
  <c r="U18" i="35"/>
  <c r="AC18" i="35"/>
  <c r="W18" i="35"/>
  <c r="J21" i="37"/>
  <c r="J21" i="34"/>
  <c r="J21" i="33"/>
  <c r="AC21" i="33" s="1"/>
  <c r="F83" i="21"/>
  <c r="H21" i="21"/>
  <c r="U21" i="21" s="1"/>
  <c r="F38" i="69"/>
  <c r="E37" i="69"/>
  <c r="F36" i="69"/>
  <c r="F35" i="69"/>
  <c r="F21" i="69"/>
  <c r="F20" i="69"/>
  <c r="E10" i="69"/>
  <c r="E9" i="69"/>
  <c r="C7" i="69"/>
  <c r="AC21" i="37"/>
  <c r="W21" i="37"/>
  <c r="AB21" i="21"/>
  <c r="G83" i="21"/>
  <c r="J21" i="21"/>
  <c r="F38" i="68"/>
  <c r="E37" i="68"/>
  <c r="F36" i="68"/>
  <c r="F35" i="68"/>
  <c r="F21" i="68"/>
  <c r="C40" i="68" s="1"/>
  <c r="F20" i="68"/>
  <c r="E10" i="68"/>
  <c r="E9" i="68"/>
  <c r="W21" i="21"/>
  <c r="AC21" i="21"/>
  <c r="Q72" i="67"/>
  <c r="Q59" i="67"/>
  <c r="Q58" i="67"/>
  <c r="Q51" i="67"/>
  <c r="J50" i="67"/>
  <c r="M47" i="67"/>
  <c r="D46" i="67"/>
  <c r="F33" i="67"/>
  <c r="F61" i="67" s="1"/>
  <c r="F23" i="67"/>
  <c r="F21" i="67"/>
  <c r="F20" i="67"/>
  <c r="M19" i="67"/>
  <c r="F18" i="67"/>
  <c r="F17" i="67"/>
  <c r="F15" i="67"/>
  <c r="D23" i="67"/>
  <c r="S2" i="4"/>
  <c r="S1" i="4"/>
  <c r="B1" i="4"/>
  <c r="C31" i="66"/>
  <c r="C27" i="66"/>
  <c r="C32" i="66"/>
  <c r="I23" i="66"/>
  <c r="D20" i="66"/>
  <c r="I19" i="66"/>
  <c r="I18" i="66"/>
  <c r="I20" i="66" s="1"/>
  <c r="I17" i="66"/>
  <c r="E15" i="66"/>
  <c r="I14" i="66"/>
  <c r="I13" i="66"/>
  <c r="I12" i="66"/>
  <c r="I9" i="66"/>
  <c r="I8" i="66"/>
  <c r="I7" i="66"/>
  <c r="I6" i="66"/>
  <c r="I5" i="66"/>
  <c r="I4" i="66"/>
  <c r="I3" i="66"/>
  <c r="I10" i="66" s="1"/>
  <c r="I21" i="66" s="1"/>
  <c r="D1" i="43"/>
  <c r="F113" i="43"/>
  <c r="N99" i="43"/>
  <c r="N108" i="43" s="1"/>
  <c r="D99" i="43"/>
  <c r="E99" i="43"/>
  <c r="F99" i="43"/>
  <c r="F108" i="43" s="1"/>
  <c r="G99" i="43"/>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AE11" i="1"/>
  <c r="AE12" i="1"/>
  <c r="AE13" i="1"/>
  <c r="AG7" i="1"/>
  <c r="AG8" i="1"/>
  <c r="AG9" i="1"/>
  <c r="AG10" i="1"/>
  <c r="AG11" i="1"/>
  <c r="AG12" i="1"/>
  <c r="AG13" i="1"/>
  <c r="D12" i="31"/>
  <c r="E12" i="31" s="1"/>
  <c r="F12" i="31"/>
  <c r="G12" i="31" s="1"/>
  <c r="H12" i="31" s="1"/>
  <c r="I12" i="31" s="1"/>
  <c r="J12" i="31" s="1"/>
  <c r="K12" i="31" s="1"/>
  <c r="L12" i="31" s="1"/>
  <c r="M12" i="31" s="1"/>
  <c r="N12" i="31" s="1"/>
  <c r="O12" i="31" s="1"/>
  <c r="P12" i="31"/>
  <c r="Q12" i="31" s="1"/>
  <c r="R12" i="31" s="1"/>
  <c r="S12" i="31" s="1"/>
  <c r="D10" i="31"/>
  <c r="E10" i="31" s="1"/>
  <c r="F10" i="31"/>
  <c r="G10" i="31" s="1"/>
  <c r="H10" i="31"/>
  <c r="I10" i="31" s="1"/>
  <c r="J10" i="31" s="1"/>
  <c r="K10" i="31" s="1"/>
  <c r="L10" i="31" s="1"/>
  <c r="M10" i="31" s="1"/>
  <c r="N10" i="31"/>
  <c r="O10" i="31" s="1"/>
  <c r="P10" i="31"/>
  <c r="Q10" i="31" s="1"/>
  <c r="R10" i="31" s="1"/>
  <c r="S10" i="31" s="1"/>
  <c r="D8" i="31"/>
  <c r="E8" i="31" s="1"/>
  <c r="F8" i="31"/>
  <c r="G8" i="31" s="1"/>
  <c r="H8" i="31"/>
  <c r="I8" i="31" s="1"/>
  <c r="J8" i="31" s="1"/>
  <c r="K8" i="31" s="1"/>
  <c r="L8" i="31" s="1"/>
  <c r="M8" i="31" s="1"/>
  <c r="N8" i="31"/>
  <c r="O8" i="31" s="1"/>
  <c r="P8" i="31" s="1"/>
  <c r="Q8" i="31" s="1"/>
  <c r="R8" i="31" s="1"/>
  <c r="S8" i="31" s="1"/>
  <c r="D6" i="31"/>
  <c r="E6" i="31" s="1"/>
  <c r="F6" i="31"/>
  <c r="G6" i="31" s="1"/>
  <c r="H6" i="3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AZ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Z90" i="3"/>
  <c r="AX90" i="3"/>
  <c r="AW90" i="3"/>
  <c r="AV90" i="3"/>
  <c r="AC90" i="3"/>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J5" i="3" s="1"/>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c r="BK22" i="3"/>
  <c r="BJ22" i="3"/>
  <c r="BI22" i="3"/>
  <c r="BH22" i="3"/>
  <c r="BG22" i="3"/>
  <c r="BF22" i="3"/>
  <c r="BE22" i="3"/>
  <c r="BD22" i="3"/>
  <c r="BA22" i="3" s="1"/>
  <c r="BC22" i="3"/>
  <c r="BB22" i="3"/>
  <c r="AZ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L206" i="3" s="1"/>
  <c r="AZ206" i="3" s="1"/>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A148" i="3" s="1"/>
  <c r="AZ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AZ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BC118" i="3"/>
  <c r="BB118" i="3"/>
  <c r="AZ118" i="3"/>
  <c r="AX118" i="3"/>
  <c r="AW118" i="3"/>
  <c r="AV118" i="3"/>
  <c r="AC118" i="3"/>
  <c r="H118" i="3"/>
  <c r="BT117" i="3"/>
  <c r="BS117" i="3"/>
  <c r="BR117" i="3"/>
  <c r="BQ117" i="3"/>
  <c r="BP117" i="3"/>
  <c r="BO117" i="3"/>
  <c r="BN117" i="3"/>
  <c r="BL117" i="3" s="1"/>
  <c r="AZ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AZ297" i="3" s="1"/>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A291" i="3" s="1"/>
  <c r="BH291" i="3"/>
  <c r="BG291" i="3"/>
  <c r="BF291" i="3"/>
  <c r="BE291" i="3"/>
  <c r="BD291" i="3"/>
  <c r="BC291" i="3"/>
  <c r="BB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L249" i="3" s="1"/>
  <c r="AZ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AZ243" i="3" s="1"/>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AZ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AZ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AZ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Z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R46" i="31"/>
  <c r="S46" i="31" s="1"/>
  <c r="R47" i="3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R96" i="31"/>
  <c r="S96" i="31" s="1"/>
  <c r="R97" i="31"/>
  <c r="S97" i="31" s="1"/>
  <c r="R98" i="31"/>
  <c r="S98" i="31" s="1"/>
  <c r="R99" i="31"/>
  <c r="R100" i="31"/>
  <c r="S100" i="31" s="1"/>
  <c r="R101" i="3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R198" i="31"/>
  <c r="S198" i="31" s="1"/>
  <c r="R199" i="31"/>
  <c r="S199" i="31" s="1"/>
  <c r="R200" i="3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R35" i="4"/>
  <c r="Q35" i="4"/>
  <c r="P35" i="4"/>
  <c r="O35" i="4"/>
  <c r="N35" i="4"/>
  <c r="M35" i="4"/>
  <c r="L35" i="4"/>
  <c r="K34" i="4"/>
  <c r="T34" i="4"/>
  <c r="G13" i="1"/>
  <c r="G11" i="1"/>
  <c r="I15" i="4"/>
  <c r="H15" i="4"/>
  <c r="F8" i="1" s="1"/>
  <c r="G15" i="4"/>
  <c r="E15" i="4"/>
  <c r="F7" i="1" s="1"/>
  <c r="I20" i="84" s="1"/>
  <c r="D15" i="4"/>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K7" i="1" s="1"/>
  <c r="E21" i="6"/>
  <c r="K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D3" i="35"/>
  <c r="E59" i="9"/>
  <c r="N55" i="9"/>
  <c r="K55" i="9"/>
  <c r="F59" i="9"/>
  <c r="O55" i="9" s="1"/>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00" i="31"/>
  <c r="S256" i="31"/>
  <c r="S251" i="31"/>
  <c r="S245" i="31"/>
  <c r="S237" i="31"/>
  <c r="S231" i="31"/>
  <c r="S216" i="31"/>
  <c r="S213" i="31"/>
  <c r="S200" i="31"/>
  <c r="S197" i="31"/>
  <c r="S191" i="31"/>
  <c r="S187" i="31"/>
  <c r="S184" i="31"/>
  <c r="S183" i="31"/>
  <c r="S168" i="31"/>
  <c r="S165" i="31"/>
  <c r="S152" i="31"/>
  <c r="S149" i="31"/>
  <c r="S137" i="31"/>
  <c r="S136" i="31"/>
  <c r="S127" i="31"/>
  <c r="S123" i="31"/>
  <c r="S480" i="31"/>
  <c r="S119" i="31"/>
  <c r="S113" i="31"/>
  <c r="S500" i="31"/>
  <c r="S47" i="31"/>
  <c r="S45" i="31"/>
  <c r="S43" i="31"/>
  <c r="S39" i="31"/>
  <c r="S35" i="31"/>
  <c r="S75" i="31"/>
  <c r="S71" i="31"/>
  <c r="S63" i="31"/>
  <c r="S59" i="31"/>
  <c r="S55" i="31"/>
  <c r="S95" i="31"/>
  <c r="S83" i="31"/>
  <c r="S31" i="31"/>
  <c r="S99" i="31"/>
  <c r="S101" i="31"/>
  <c r="S111" i="31"/>
  <c r="I48" i="37"/>
  <c r="J48" i="37"/>
  <c r="G48" i="37"/>
  <c r="H48" i="37" s="1"/>
  <c r="E48" i="37"/>
  <c r="F48" i="37"/>
  <c r="I55" i="34"/>
  <c r="J55" i="34" s="1"/>
  <c r="G55" i="34"/>
  <c r="H55" i="34" s="1"/>
  <c r="E55" i="34"/>
  <c r="F55" i="34" s="1"/>
  <c r="I48" i="40"/>
  <c r="J48" i="40"/>
  <c r="G48" i="40"/>
  <c r="H48" i="40" s="1"/>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L543" i="3" s="1"/>
  <c r="BP543" i="3"/>
  <c r="BR543" i="3"/>
  <c r="BS543" i="3"/>
  <c r="BT543" i="3"/>
  <c r="H544" i="3"/>
  <c r="AC544" i="3"/>
  <c r="BB544" i="3"/>
  <c r="BC544" i="3"/>
  <c r="BA544" i="3" s="1"/>
  <c r="BD544" i="3"/>
  <c r="BE544" i="3"/>
  <c r="BF544" i="3"/>
  <c r="BG544" i="3"/>
  <c r="BH544" i="3"/>
  <c r="BI544" i="3"/>
  <c r="BJ544" i="3"/>
  <c r="BK544" i="3"/>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C26" i="35"/>
  <c r="C79" i="35"/>
  <c r="J31" i="35"/>
  <c r="H31" i="35"/>
  <c r="F31" i="35"/>
  <c r="D87" i="35"/>
  <c r="E87" i="35" s="1"/>
  <c r="F87" i="35" s="1"/>
  <c r="G87" i="35" s="1"/>
  <c r="H87" i="35" s="1"/>
  <c r="I87" i="35" s="1"/>
  <c r="J87" i="35" s="1"/>
  <c r="K87" i="35" s="1"/>
  <c r="L87" i="35"/>
  <c r="M87" i="35" s="1"/>
  <c r="H34" i="37"/>
  <c r="D101" i="37"/>
  <c r="F34" i="37"/>
  <c r="AA34" i="37" s="1"/>
  <c r="D99" i="37"/>
  <c r="E99" i="37" s="1"/>
  <c r="F99" i="37" s="1"/>
  <c r="G99" i="37" s="1"/>
  <c r="H99" i="37" s="1"/>
  <c r="I99" i="37" s="1"/>
  <c r="J99" i="37" s="1"/>
  <c r="K99" i="37"/>
  <c r="L99" i="37" s="1"/>
  <c r="M99" i="37" s="1"/>
  <c r="H42" i="34"/>
  <c r="J42" i="34"/>
  <c r="W42" i="34"/>
  <c r="F42" i="34"/>
  <c r="J38" i="34"/>
  <c r="W38" i="34" s="1"/>
  <c r="D114" i="34"/>
  <c r="F38" i="34"/>
  <c r="S38" i="34" s="1"/>
  <c r="D112" i="34"/>
  <c r="E112" i="34" s="1"/>
  <c r="F112" i="34" s="1"/>
  <c r="F40" i="33"/>
  <c r="J41" i="33"/>
  <c r="AC41" i="33" s="1"/>
  <c r="D113" i="33"/>
  <c r="F37" i="33"/>
  <c r="D111" i="33"/>
  <c r="E111" i="33" s="1"/>
  <c r="F111" i="33" s="1"/>
  <c r="G111" i="33" s="1"/>
  <c r="F41" i="21"/>
  <c r="J41" i="21"/>
  <c r="AC41" i="21" s="1"/>
  <c r="H41" i="21"/>
  <c r="U41" i="21"/>
  <c r="D81" i="39"/>
  <c r="E81" i="39" s="1"/>
  <c r="F81" i="39" s="1"/>
  <c r="G81" i="39" s="1"/>
  <c r="H81" i="39" s="1"/>
  <c r="I81" i="39" s="1"/>
  <c r="J81" i="39" s="1"/>
  <c r="K81" i="39" s="1"/>
  <c r="L81" i="39" s="1"/>
  <c r="M81" i="39" s="1"/>
  <c r="D76" i="40"/>
  <c r="E76" i="40"/>
  <c r="F76" i="40"/>
  <c r="G76" i="40" s="1"/>
  <c r="H76" i="40" s="1"/>
  <c r="I76" i="40" s="1"/>
  <c r="J76" i="40" s="1"/>
  <c r="K76" i="40" s="1"/>
  <c r="L76" i="40" s="1"/>
  <c r="M76" i="40"/>
  <c r="B120" i="40"/>
  <c r="B118" i="40"/>
  <c r="J39" i="40" s="1"/>
  <c r="B116" i="40"/>
  <c r="H38" i="40" s="1"/>
  <c r="F38" i="40"/>
  <c r="D115" i="40"/>
  <c r="E115" i="40"/>
  <c r="F115" i="40"/>
  <c r="G115" i="40" s="1"/>
  <c r="H115" i="40" s="1"/>
  <c r="I115" i="40" s="1"/>
  <c r="J115" i="40"/>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B101" i="40"/>
  <c r="D100" i="40"/>
  <c r="E100" i="40" s="1"/>
  <c r="F100" i="40"/>
  <c r="G100" i="40" s="1"/>
  <c r="H100" i="40"/>
  <c r="I100" i="40" s="1"/>
  <c r="J100" i="40" s="1"/>
  <c r="K100" i="40" s="1"/>
  <c r="L100" i="40"/>
  <c r="M100" i="40" s="1"/>
  <c r="D98" i="40"/>
  <c r="J28" i="40"/>
  <c r="AC28" i="40"/>
  <c r="D96" i="40"/>
  <c r="E96" i="40"/>
  <c r="F96" i="40" s="1"/>
  <c r="G96" i="40" s="1"/>
  <c r="H96" i="40" s="1"/>
  <c r="I96" i="40"/>
  <c r="J96" i="40" s="1"/>
  <c r="K96" i="40" s="1"/>
  <c r="L96" i="40" s="1"/>
  <c r="M96" i="40" s="1"/>
  <c r="B95" i="40"/>
  <c r="D92" i="40"/>
  <c r="E92" i="40" s="1"/>
  <c r="F92" i="40"/>
  <c r="G92" i="40" s="1"/>
  <c r="D90" i="40"/>
  <c r="E90" i="40" s="1"/>
  <c r="F90" i="40" s="1"/>
  <c r="G90" i="40" s="1"/>
  <c r="D88" i="40"/>
  <c r="E88" i="40"/>
  <c r="F88" i="40" s="1"/>
  <c r="G88" i="40" s="1"/>
  <c r="D86" i="40"/>
  <c r="E86" i="40" s="1"/>
  <c r="F86" i="40" s="1"/>
  <c r="G86" i="40" s="1"/>
  <c r="D84" i="40"/>
  <c r="E84" i="40" s="1"/>
  <c r="F84" i="40"/>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F40" i="40"/>
  <c r="Q39" i="40"/>
  <c r="Z39" i="40"/>
  <c r="H39" i="40"/>
  <c r="U39" i="40" s="1"/>
  <c r="Q38" i="40"/>
  <c r="Z38" i="40"/>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4" i="39"/>
  <c r="D120" i="39"/>
  <c r="E120" i="39" s="1"/>
  <c r="F120" i="39" s="1"/>
  <c r="G120" i="39" s="1"/>
  <c r="H120" i="39" s="1"/>
  <c r="I120" i="39" s="1"/>
  <c r="J120" i="39" s="1"/>
  <c r="K120" i="39"/>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c r="Q44" i="39"/>
  <c r="Z44" i="39" s="1"/>
  <c r="Q45" i="39"/>
  <c r="Z45" i="39" s="1"/>
  <c r="Q38" i="39"/>
  <c r="Z38" i="39" s="1"/>
  <c r="Q36" i="39"/>
  <c r="Z36" i="39"/>
  <c r="Q37" i="39"/>
  <c r="Z37" i="39" s="1"/>
  <c r="B131" i="39"/>
  <c r="B129" i="39"/>
  <c r="B127" i="39"/>
  <c r="J43" i="39"/>
  <c r="D126" i="39"/>
  <c r="E126" i="39" s="1"/>
  <c r="F126" i="39"/>
  <c r="G126" i="39" s="1"/>
  <c r="H126" i="39"/>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D93" i="39"/>
  <c r="E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S40" i="39" s="1"/>
  <c r="AA40" i="39"/>
  <c r="Q35" i="39"/>
  <c r="Z35" i="39" s="1"/>
  <c r="Q34" i="39"/>
  <c r="Z34" i="39"/>
  <c r="Q32" i="39"/>
  <c r="Z32" i="39" s="1"/>
  <c r="Q31" i="39"/>
  <c r="Z31" i="39" s="1"/>
  <c r="Q27" i="39"/>
  <c r="Z27" i="39" s="1"/>
  <c r="Q25" i="39"/>
  <c r="Z25" i="39"/>
  <c r="Q23" i="39"/>
  <c r="Z23" i="39" s="1"/>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B91" i="36"/>
  <c r="B95" i="36"/>
  <c r="H34" i="36"/>
  <c r="D83" i="36"/>
  <c r="E83" i="36" s="1"/>
  <c r="F83" i="36" s="1"/>
  <c r="G83" i="36" s="1"/>
  <c r="H83" i="36" s="1"/>
  <c r="I83" i="36" s="1"/>
  <c r="J83" i="36" s="1"/>
  <c r="K83" i="36"/>
  <c r="L83" i="36" s="1"/>
  <c r="M83" i="36" s="1"/>
  <c r="D78" i="36"/>
  <c r="E78" i="36"/>
  <c r="F78" i="36"/>
  <c r="G78" i="36" s="1"/>
  <c r="H78" i="36" s="1"/>
  <c r="I78" i="36" s="1"/>
  <c r="J78" i="36" s="1"/>
  <c r="K78" i="36" s="1"/>
  <c r="L78" i="36" s="1"/>
  <c r="M78" i="36" s="1"/>
  <c r="B75" i="36"/>
  <c r="B73" i="36"/>
  <c r="B71" i="36"/>
  <c r="H23" i="36" s="1"/>
  <c r="D70" i="36"/>
  <c r="H22" i="36"/>
  <c r="AB22" i="36"/>
  <c r="D68" i="36"/>
  <c r="E68" i="36"/>
  <c r="F68" i="36" s="1"/>
  <c r="G68" i="36"/>
  <c r="D64" i="36"/>
  <c r="E64" i="36" s="1"/>
  <c r="F64" i="36" s="1"/>
  <c r="G64" i="36" s="1"/>
  <c r="J16" i="36"/>
  <c r="W16" i="36"/>
  <c r="D62" i="36"/>
  <c r="E62" i="36"/>
  <c r="F62" i="36"/>
  <c r="G62" i="36"/>
  <c r="B59" i="36"/>
  <c r="B57" i="36"/>
  <c r="J12" i="36"/>
  <c r="B55" i="36"/>
  <c r="H11" i="36" s="1"/>
  <c r="F54" i="36"/>
  <c r="G54" i="36"/>
  <c r="H54" i="36"/>
  <c r="I54" i="36"/>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c r="Q26" i="36"/>
  <c r="Z26" i="36" s="1"/>
  <c r="H26" i="36"/>
  <c r="AB26" i="36"/>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H35" i="35" s="1"/>
  <c r="AB35" i="35" s="1"/>
  <c r="B97" i="35"/>
  <c r="B77" i="35"/>
  <c r="B75" i="35"/>
  <c r="F24" i="35" s="1"/>
  <c r="J24" i="35"/>
  <c r="B73" i="35"/>
  <c r="J23" i="35" s="1"/>
  <c r="H23" i="35"/>
  <c r="U23" i="35"/>
  <c r="B57" i="35"/>
  <c r="B61" i="35"/>
  <c r="B59" i="35"/>
  <c r="H12" i="35" s="1"/>
  <c r="U12" i="35" s="1"/>
  <c r="B131" i="34"/>
  <c r="B129" i="34"/>
  <c r="B127" i="34"/>
  <c r="B99" i="34"/>
  <c r="H32" i="34" s="1"/>
  <c r="B97" i="34"/>
  <c r="B95" i="34"/>
  <c r="B93" i="34"/>
  <c r="B75" i="34"/>
  <c r="F14" i="34" s="1"/>
  <c r="B73" i="34"/>
  <c r="J13" i="34" s="1"/>
  <c r="B71" i="34"/>
  <c r="B130" i="33"/>
  <c r="B128" i="33"/>
  <c r="B126" i="33"/>
  <c r="J44" i="33" s="1"/>
  <c r="B98" i="33"/>
  <c r="B96" i="33"/>
  <c r="B94" i="33"/>
  <c r="H29" i="33" s="1"/>
  <c r="B74" i="33"/>
  <c r="F14" i="33" s="1"/>
  <c r="B72" i="33"/>
  <c r="B70" i="33"/>
  <c r="J12" i="33"/>
  <c r="D96" i="35"/>
  <c r="E96" i="35" s="1"/>
  <c r="F96" i="35"/>
  <c r="G96" i="35" s="1"/>
  <c r="D94" i="35"/>
  <c r="E94" i="35" s="1"/>
  <c r="F94" i="35"/>
  <c r="G94" i="35"/>
  <c r="H94" i="35" s="1"/>
  <c r="I94" i="35" s="1"/>
  <c r="J94" i="35"/>
  <c r="K94" i="35" s="1"/>
  <c r="L94" i="35"/>
  <c r="M94" i="35" s="1"/>
  <c r="D84" i="35"/>
  <c r="E84" i="35"/>
  <c r="F84" i="35" s="1"/>
  <c r="G84" i="35" s="1"/>
  <c r="H84" i="35"/>
  <c r="I84" i="35" s="1"/>
  <c r="J84" i="35"/>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D64" i="35"/>
  <c r="E64" i="35"/>
  <c r="F64" i="35" s="1"/>
  <c r="G64" i="35" s="1"/>
  <c r="J14" i="35"/>
  <c r="W14" i="35" s="1"/>
  <c r="F56" i="35"/>
  <c r="G56" i="35" s="1"/>
  <c r="H56" i="35"/>
  <c r="I56" i="35" s="1"/>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c r="Q32" i="35"/>
  <c r="Z32" i="35" s="1"/>
  <c r="H32" i="35"/>
  <c r="AB32" i="35"/>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F12" i="35"/>
  <c r="AA12" i="35" s="1"/>
  <c r="S12" i="35"/>
  <c r="Q11" i="35"/>
  <c r="Z11" i="35"/>
  <c r="Q10" i="35"/>
  <c r="Z10" i="35"/>
  <c r="Q9" i="35"/>
  <c r="Z9" i="35"/>
  <c r="J8" i="35"/>
  <c r="W8" i="35"/>
  <c r="H8" i="35"/>
  <c r="AB8" i="35"/>
  <c r="F8" i="35"/>
  <c r="AA8" i="35"/>
  <c r="D120" i="34"/>
  <c r="E120" i="34"/>
  <c r="F120" i="34"/>
  <c r="G120" i="34"/>
  <c r="H120" i="34" s="1"/>
  <c r="I120" i="34" s="1"/>
  <c r="J120" i="34" s="1"/>
  <c r="K120" i="34" s="1"/>
  <c r="L120" i="34" s="1"/>
  <c r="M120" i="34" s="1"/>
  <c r="D90" i="34"/>
  <c r="E90" i="34"/>
  <c r="F90" i="34" s="1"/>
  <c r="G90" i="34" s="1"/>
  <c r="H90" i="34" s="1"/>
  <c r="I90" i="34" s="1"/>
  <c r="J90" i="34" s="1"/>
  <c r="K90" i="34" s="1"/>
  <c r="L90" i="34"/>
  <c r="M90" i="34" s="1"/>
  <c r="C15" i="34"/>
  <c r="F67" i="34"/>
  <c r="G67" i="34"/>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c r="M116" i="34" s="1"/>
  <c r="F110" i="34"/>
  <c r="E110" i="34"/>
  <c r="D110" i="34"/>
  <c r="C110" i="34"/>
  <c r="D109" i="34"/>
  <c r="E109" i="34"/>
  <c r="F109" i="34"/>
  <c r="G109" i="34" s="1"/>
  <c r="H109" i="34" s="1"/>
  <c r="I109" i="34"/>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c r="L92" i="34" s="1"/>
  <c r="M92" i="34" s="1"/>
  <c r="B91" i="34"/>
  <c r="B89" i="34"/>
  <c r="J27" i="34"/>
  <c r="D88" i="34"/>
  <c r="E88" i="34"/>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H12" i="34"/>
  <c r="F12" i="34"/>
  <c r="S12" i="34"/>
  <c r="Q11" i="34"/>
  <c r="Z11" i="34" s="1"/>
  <c r="Q10" i="34"/>
  <c r="Z10" i="34"/>
  <c r="F10" i="34"/>
  <c r="Q9" i="34"/>
  <c r="Z9" i="34" s="1"/>
  <c r="J9" i="34"/>
  <c r="W9" i="34" s="1"/>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D79" i="33"/>
  <c r="E79" i="33" s="1"/>
  <c r="F79" i="33" s="1"/>
  <c r="G79" i="33" s="1"/>
  <c r="D77" i="33"/>
  <c r="D69" i="33"/>
  <c r="E69" i="33" s="1"/>
  <c r="F69" i="33"/>
  <c r="G69" i="33" s="1"/>
  <c r="H69" i="33" s="1"/>
  <c r="I69" i="33" s="1"/>
  <c r="J69" i="33" s="1"/>
  <c r="K69" i="33"/>
  <c r="L69" i="33"/>
  <c r="M69" i="33" s="1"/>
  <c r="M67" i="33"/>
  <c r="L67" i="33"/>
  <c r="K67" i="33"/>
  <c r="J67" i="33"/>
  <c r="I67" i="33"/>
  <c r="H67" i="33"/>
  <c r="G67" i="33"/>
  <c r="F67" i="33"/>
  <c r="E67" i="33"/>
  <c r="D67" i="33"/>
  <c r="C67" i="33"/>
  <c r="G66" i="33"/>
  <c r="H66" i="33"/>
  <c r="C63" i="33"/>
  <c r="H9" i="33" s="1"/>
  <c r="P49" i="33"/>
  <c r="P48" i="33"/>
  <c r="V47" i="33"/>
  <c r="T47" i="33"/>
  <c r="R47" i="33"/>
  <c r="P47" i="33"/>
  <c r="Q46" i="33"/>
  <c r="Z46" i="33" s="1"/>
  <c r="Q45" i="33"/>
  <c r="Z45" i="33" s="1"/>
  <c r="Q44" i="33"/>
  <c r="Z44" i="33"/>
  <c r="Q43" i="33"/>
  <c r="Z43" i="33" s="1"/>
  <c r="Q42" i="33"/>
  <c r="Z42" i="33"/>
  <c r="J42" i="33"/>
  <c r="W42" i="33" s="1"/>
  <c r="W41" i="33"/>
  <c r="Q41" i="33"/>
  <c r="Z41" i="33"/>
  <c r="Q40" i="33"/>
  <c r="Z40" i="33"/>
  <c r="J40" i="33"/>
  <c r="AC40" i="33"/>
  <c r="H40" i="33"/>
  <c r="AB40" i="33"/>
  <c r="Q39" i="33"/>
  <c r="Z39" i="33" s="1"/>
  <c r="J39" i="33"/>
  <c r="Q38" i="33"/>
  <c r="Z38" i="33" s="1"/>
  <c r="J38" i="33"/>
  <c r="AC38" i="33"/>
  <c r="H38" i="33"/>
  <c r="AB38" i="33" s="1"/>
  <c r="F38" i="33"/>
  <c r="S38" i="33" s="1"/>
  <c r="AA38" i="33"/>
  <c r="Q37" i="33"/>
  <c r="Z37" i="33" s="1"/>
  <c r="Q36" i="33"/>
  <c r="Z36" i="33"/>
  <c r="Q35" i="33"/>
  <c r="Z35" i="33" s="1"/>
  <c r="H35" i="33"/>
  <c r="AB35" i="33" s="1"/>
  <c r="Q34" i="33"/>
  <c r="Z34" i="33" s="1"/>
  <c r="Q33" i="33"/>
  <c r="Z33" i="33"/>
  <c r="J33" i="33"/>
  <c r="AC33" i="33" s="1"/>
  <c r="H33" i="33"/>
  <c r="AB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Q14" i="33"/>
  <c r="Z14" i="33"/>
  <c r="Q13" i="33"/>
  <c r="Z13" i="33"/>
  <c r="Q12" i="33"/>
  <c r="Z12" i="33"/>
  <c r="H12" i="33"/>
  <c r="U12" i="33"/>
  <c r="Q11" i="33"/>
  <c r="Z11" i="33"/>
  <c r="Q10" i="33"/>
  <c r="Z10" i="33"/>
  <c r="Q9" i="33"/>
  <c r="Z9" i="33"/>
  <c r="J9" i="33"/>
  <c r="AC9" i="33"/>
  <c r="AB9" i="33"/>
  <c r="F9" i="33"/>
  <c r="AA9" i="33"/>
  <c r="J8" i="33"/>
  <c r="AC8" i="33" s="1"/>
  <c r="H8" i="33"/>
  <c r="U8" i="33" s="1"/>
  <c r="F8" i="33"/>
  <c r="AA8" i="33" s="1"/>
  <c r="M102" i="21"/>
  <c r="D102" i="21"/>
  <c r="E102" i="21"/>
  <c r="F102" i="21"/>
  <c r="G102" i="21"/>
  <c r="H102" i="21"/>
  <c r="I102" i="21"/>
  <c r="J102" i="21"/>
  <c r="K102" i="21"/>
  <c r="L102" i="21"/>
  <c r="C102" i="21"/>
  <c r="C63" i="21"/>
  <c r="F9" i="21"/>
  <c r="AA9" i="21" s="1"/>
  <c r="G18" i="20"/>
  <c r="B88" i="84" s="1"/>
  <c r="B88" i="43"/>
  <c r="G19" i="20"/>
  <c r="B85" i="84" s="1"/>
  <c r="B85" i="43"/>
  <c r="G16" i="20"/>
  <c r="B82" i="84" s="1"/>
  <c r="B82" i="43"/>
  <c r="G15" i="20"/>
  <c r="B81" i="84" s="1"/>
  <c r="B81" i="43"/>
  <c r="C24" i="20"/>
  <c r="B73" i="43"/>
  <c r="C21" i="20"/>
  <c r="B74" i="43"/>
  <c r="C20" i="20"/>
  <c r="B77" i="43"/>
  <c r="C18" i="20"/>
  <c r="B71" i="43"/>
  <c r="C17" i="20"/>
  <c r="B59" i="84" s="1"/>
  <c r="B59" i="43"/>
  <c r="C16" i="20"/>
  <c r="C17" i="39"/>
  <c r="C15" i="20"/>
  <c r="B70" i="84" s="1"/>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F40" i="21"/>
  <c r="AA40" i="21" s="1"/>
  <c r="D117" i="21"/>
  <c r="E117" i="21"/>
  <c r="F117" i="2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c r="K110" i="21"/>
  <c r="L110" i="21" s="1"/>
  <c r="M110" i="21" s="1"/>
  <c r="J36" i="21"/>
  <c r="AC36" i="21"/>
  <c r="D108" i="21"/>
  <c r="E108" i="21" s="1"/>
  <c r="F108" i="21" s="1"/>
  <c r="G108" i="21" s="1"/>
  <c r="H108" i="21" s="1"/>
  <c r="I108" i="21" s="1"/>
  <c r="J108" i="21"/>
  <c r="K108" i="21" s="1"/>
  <c r="L108" i="21" s="1"/>
  <c r="M108" i="21" s="1"/>
  <c r="D106" i="21"/>
  <c r="E106" i="21"/>
  <c r="F106" i="21"/>
  <c r="G106" i="21" s="1"/>
  <c r="H106" i="21" s="1"/>
  <c r="I106" i="21" s="1"/>
  <c r="J106" i="21" s="1"/>
  <c r="K106" i="21" s="1"/>
  <c r="L106" i="21" s="1"/>
  <c r="M106" i="21" s="1"/>
  <c r="D101" i="21"/>
  <c r="E101" i="21" s="1"/>
  <c r="F101" i="21"/>
  <c r="G101" i="21" s="1"/>
  <c r="H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c r="G79" i="21"/>
  <c r="D85" i="21"/>
  <c r="F19" i="21"/>
  <c r="AA19" i="21"/>
  <c r="E81" i="21"/>
  <c r="F81" i="21" s="1"/>
  <c r="G81" i="21"/>
  <c r="D77" i="21"/>
  <c r="E77" i="21"/>
  <c r="B130" i="21"/>
  <c r="B128" i="21"/>
  <c r="B126" i="21"/>
  <c r="B98" i="21"/>
  <c r="J31" i="21" s="1"/>
  <c r="B96" i="21"/>
  <c r="B94" i="21"/>
  <c r="J29" i="21"/>
  <c r="AC29" i="21" s="1"/>
  <c r="B92" i="21"/>
  <c r="B90" i="21"/>
  <c r="J27" i="21"/>
  <c r="B74" i="21"/>
  <c r="B72" i="21"/>
  <c r="H13" i="21"/>
  <c r="AB13" i="21" s="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AB38" i="21" s="1"/>
  <c r="H43" i="21"/>
  <c r="AB43" i="21"/>
  <c r="F38" i="21"/>
  <c r="S38" i="21" s="1"/>
  <c r="F36" i="21"/>
  <c r="S36" i="21"/>
  <c r="F39" i="21"/>
  <c r="AA39" i="21" s="1"/>
  <c r="J40" i="21"/>
  <c r="W40" i="21"/>
  <c r="H35" i="21"/>
  <c r="AB35" i="21" s="1"/>
  <c r="J8" i="21"/>
  <c r="AC8" i="21"/>
  <c r="H8" i="21"/>
  <c r="U8" i="21" s="1"/>
  <c r="H10" i="21"/>
  <c r="AB10" i="21"/>
  <c r="H39" i="21"/>
  <c r="U39" i="21" s="1"/>
  <c r="J34" i="21"/>
  <c r="W34" i="21"/>
  <c r="H36" i="21"/>
  <c r="U36" i="21" s="1"/>
  <c r="F35" i="21"/>
  <c r="AA35" i="21"/>
  <c r="J10" i="21"/>
  <c r="AC10" i="21" s="1"/>
  <c r="H26" i="21"/>
  <c r="AB26" i="21"/>
  <c r="AB19" i="21"/>
  <c r="J19" i="21"/>
  <c r="W19" i="21" s="1"/>
  <c r="J12" i="21"/>
  <c r="AC12" i="21"/>
  <c r="H12" i="21"/>
  <c r="J26" i="21"/>
  <c r="W26" i="21" s="1"/>
  <c r="F26" i="21"/>
  <c r="S26" i="21" s="1"/>
  <c r="AB41" i="21"/>
  <c r="S41" i="21"/>
  <c r="AA41" i="21"/>
  <c r="J45" i="39"/>
  <c r="W45" i="39"/>
  <c r="F36" i="39"/>
  <c r="AA36" i="39" s="1"/>
  <c r="S36" i="39"/>
  <c r="H36" i="39"/>
  <c r="AB36" i="39"/>
  <c r="J35" i="39"/>
  <c r="W35" i="39" s="1"/>
  <c r="AC35" i="39"/>
  <c r="AA35" i="39"/>
  <c r="J36" i="39"/>
  <c r="AC36" i="39"/>
  <c r="U9" i="39"/>
  <c r="W40" i="39"/>
  <c r="W25" i="37"/>
  <c r="U30" i="37"/>
  <c r="W31" i="37"/>
  <c r="E103" i="37"/>
  <c r="F103" i="37" s="1"/>
  <c r="G103" i="37" s="1"/>
  <c r="H103" i="37" s="1"/>
  <c r="I103" i="37"/>
  <c r="J103" i="37"/>
  <c r="K103" i="37" s="1"/>
  <c r="L103" i="37" s="1"/>
  <c r="M103" i="37" s="1"/>
  <c r="F39" i="37"/>
  <c r="AA39" i="37" s="1"/>
  <c r="F29" i="36"/>
  <c r="AA29" i="36"/>
  <c r="W8" i="36"/>
  <c r="F16" i="36"/>
  <c r="AA16" i="36"/>
  <c r="U9" i="36"/>
  <c r="W28" i="36"/>
  <c r="AC31" i="36"/>
  <c r="W31" i="36"/>
  <c r="J33" i="36"/>
  <c r="AC33" i="36" s="1"/>
  <c r="H22" i="35"/>
  <c r="AB22" i="35" s="1"/>
  <c r="AC27" i="35"/>
  <c r="W28" i="35"/>
  <c r="U31" i="35"/>
  <c r="S34" i="35"/>
  <c r="W34" i="35"/>
  <c r="W36" i="35"/>
  <c r="W22" i="35"/>
  <c r="S31" i="35"/>
  <c r="U34" i="35"/>
  <c r="F36" i="34"/>
  <c r="J35" i="34"/>
  <c r="W35" i="34" s="1"/>
  <c r="S34" i="34"/>
  <c r="H39" i="33"/>
  <c r="AB39" i="33"/>
  <c r="F26" i="33"/>
  <c r="S9" i="33"/>
  <c r="U33" i="33"/>
  <c r="U35" i="33"/>
  <c r="W33" i="33"/>
  <c r="H39" i="37"/>
  <c r="AB39" i="37" s="1"/>
  <c r="S27" i="35"/>
  <c r="F11" i="40"/>
  <c r="AA11" i="40" s="1"/>
  <c r="H11" i="40"/>
  <c r="AB11" i="40"/>
  <c r="W8" i="40"/>
  <c r="AB39" i="40"/>
  <c r="AA9" i="40"/>
  <c r="U9" i="40"/>
  <c r="U38" i="40"/>
  <c r="U34" i="40"/>
  <c r="F42" i="39"/>
  <c r="AA42" i="39" s="1"/>
  <c r="H40" i="39"/>
  <c r="H39" i="39"/>
  <c r="U39" i="39" s="1"/>
  <c r="S38" i="39"/>
  <c r="S34" i="39"/>
  <c r="H34" i="39"/>
  <c r="U34" i="39" s="1"/>
  <c r="E109" i="39"/>
  <c r="H31" i="39"/>
  <c r="AB31" i="39" s="1"/>
  <c r="F31" i="39"/>
  <c r="AA31" i="39" s="1"/>
  <c r="E101" i="39"/>
  <c r="J23" i="40"/>
  <c r="AC23" i="40"/>
  <c r="F21" i="40"/>
  <c r="AA21" i="40" s="1"/>
  <c r="J21" i="40"/>
  <c r="W21" i="40"/>
  <c r="H42" i="39"/>
  <c r="AB42" i="39" s="1"/>
  <c r="J34" i="39"/>
  <c r="AC34" i="39" s="1"/>
  <c r="F109" i="39"/>
  <c r="G109" i="39" s="1"/>
  <c r="H109" i="39"/>
  <c r="I109" i="39"/>
  <c r="J109" i="39" s="1"/>
  <c r="K109" i="39" s="1"/>
  <c r="L109" i="39" s="1"/>
  <c r="M109" i="39"/>
  <c r="J31" i="39"/>
  <c r="AC31" i="39" s="1"/>
  <c r="F101" i="39"/>
  <c r="H27" i="39"/>
  <c r="U27" i="39" s="1"/>
  <c r="J27" i="39"/>
  <c r="AC27" i="39" s="1"/>
  <c r="F27" i="39"/>
  <c r="F11" i="21"/>
  <c r="S11" i="21"/>
  <c r="S40"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F37" i="39"/>
  <c r="AA37" i="39" s="1"/>
  <c r="J34" i="36"/>
  <c r="W34" i="36"/>
  <c r="U30" i="36"/>
  <c r="J30" i="35"/>
  <c r="W30" i="35" s="1"/>
  <c r="H30" i="35"/>
  <c r="U30" i="35" s="1"/>
  <c r="AB30" i="35"/>
  <c r="F22" i="35"/>
  <c r="H10" i="35"/>
  <c r="U10" i="35"/>
  <c r="AC16" i="36"/>
  <c r="F33" i="36"/>
  <c r="AA33" i="36"/>
  <c r="W30" i="36"/>
  <c r="H16" i="36"/>
  <c r="AB16" i="36" s="1"/>
  <c r="E85" i="36"/>
  <c r="F85" i="36" s="1"/>
  <c r="G85" i="36" s="1"/>
  <c r="H85" i="36" s="1"/>
  <c r="I85" i="36" s="1"/>
  <c r="J85" i="36" s="1"/>
  <c r="K85" i="36" s="1"/>
  <c r="L85" i="36" s="1"/>
  <c r="M85" i="36" s="1"/>
  <c r="J29" i="36"/>
  <c r="AC29" i="36"/>
  <c r="F12" i="36"/>
  <c r="F34" i="36"/>
  <c r="S10" i="36"/>
  <c r="AB8" i="36"/>
  <c r="S8" i="36"/>
  <c r="U8" i="35"/>
  <c r="F14" i="35"/>
  <c r="AA14" i="35"/>
  <c r="F23" i="35"/>
  <c r="AA23" i="35" s="1"/>
  <c r="J32" i="35"/>
  <c r="AC32" i="35" s="1"/>
  <c r="J16" i="35"/>
  <c r="H16" i="35"/>
  <c r="AB16" i="35" s="1"/>
  <c r="F16" i="35"/>
  <c r="S16" i="35" s="1"/>
  <c r="H14" i="35"/>
  <c r="AB14" i="35"/>
  <c r="J29" i="35"/>
  <c r="H33" i="35"/>
  <c r="AB33" i="35"/>
  <c r="AC8" i="35"/>
  <c r="J20" i="35"/>
  <c r="F35" i="37"/>
  <c r="S35" i="37"/>
  <c r="E101" i="37"/>
  <c r="F101" i="37" s="1"/>
  <c r="G101" i="37" s="1"/>
  <c r="H101" i="37" s="1"/>
  <c r="I101" i="37" s="1"/>
  <c r="J101" i="37" s="1"/>
  <c r="K101" i="37" s="1"/>
  <c r="L101" i="37" s="1"/>
  <c r="M101" i="37" s="1"/>
  <c r="J34" i="37"/>
  <c r="W34" i="37"/>
  <c r="S10" i="37"/>
  <c r="AB34" i="37"/>
  <c r="J33" i="37"/>
  <c r="W33" i="37" s="1"/>
  <c r="H40" i="34"/>
  <c r="U40" i="34" s="1"/>
  <c r="E114" i="34"/>
  <c r="F114" i="34" s="1"/>
  <c r="G114" i="34" s="1"/>
  <c r="H114" i="34" s="1"/>
  <c r="I114" i="34" s="1"/>
  <c r="J114" i="34" s="1"/>
  <c r="K114" i="34" s="1"/>
  <c r="L114" i="34" s="1"/>
  <c r="M114" i="34" s="1"/>
  <c r="H36" i="34"/>
  <c r="U36" i="34" s="1"/>
  <c r="S35" i="34"/>
  <c r="F28" i="34"/>
  <c r="S28" i="34" s="1"/>
  <c r="F27" i="34"/>
  <c r="AA27" i="34"/>
  <c r="F25" i="34"/>
  <c r="AA25" i="34" s="1"/>
  <c r="H23" i="34"/>
  <c r="U23" i="34" s="1"/>
  <c r="J23" i="34"/>
  <c r="AC23" i="34" s="1"/>
  <c r="H17" i="34"/>
  <c r="U17" i="34" s="1"/>
  <c r="F15" i="34"/>
  <c r="AA15" i="34" s="1"/>
  <c r="J15" i="34"/>
  <c r="AC15" i="34" s="1"/>
  <c r="H15" i="34"/>
  <c r="AB15" i="34" s="1"/>
  <c r="S9" i="34"/>
  <c r="F41" i="33"/>
  <c r="AA41" i="33"/>
  <c r="E113" i="33"/>
  <c r="F113" i="33" s="1"/>
  <c r="G113" i="33" s="1"/>
  <c r="H113" i="33" s="1"/>
  <c r="F32" i="33"/>
  <c r="AA32" i="33"/>
  <c r="F11" i="33"/>
  <c r="AA11" i="33"/>
  <c r="U40" i="33"/>
  <c r="W40" i="33"/>
  <c r="F37" i="40"/>
  <c r="AA37" i="40" s="1"/>
  <c r="F36" i="40"/>
  <c r="AA36" i="40"/>
  <c r="H28" i="40"/>
  <c r="U28" i="40" s="1"/>
  <c r="F23" i="40"/>
  <c r="AA23" i="40"/>
  <c r="F17" i="40"/>
  <c r="AA17" i="40" s="1"/>
  <c r="J17" i="40"/>
  <c r="W17" i="40"/>
  <c r="F15" i="40"/>
  <c r="H15" i="40"/>
  <c r="AB15" i="40"/>
  <c r="AC11" i="40"/>
  <c r="S12" i="36"/>
  <c r="AA12" i="36"/>
  <c r="AB30" i="36"/>
  <c r="AC34" i="36"/>
  <c r="U33" i="35"/>
  <c r="F29" i="35"/>
  <c r="AA29" i="35" s="1"/>
  <c r="H29" i="35"/>
  <c r="AB29" i="35" s="1"/>
  <c r="H33" i="37"/>
  <c r="U33" i="37" s="1"/>
  <c r="AB33" i="37"/>
  <c r="F33" i="37"/>
  <c r="AA33" i="37" s="1"/>
  <c r="U34" i="37"/>
  <c r="S34" i="37"/>
  <c r="J43" i="34"/>
  <c r="W43" i="34" s="1"/>
  <c r="J40" i="34"/>
  <c r="W40" i="34" s="1"/>
  <c r="H38" i="34"/>
  <c r="AB38" i="34" s="1"/>
  <c r="J36" i="34"/>
  <c r="H25" i="34"/>
  <c r="AB25" i="34" s="1"/>
  <c r="J25" i="34"/>
  <c r="AC25" i="34"/>
  <c r="F23" i="34"/>
  <c r="S23" i="34" s="1"/>
  <c r="F17" i="34"/>
  <c r="AA17" i="34" s="1"/>
  <c r="J17" i="34"/>
  <c r="W17" i="34" s="1"/>
  <c r="S41" i="33"/>
  <c r="I113" i="33"/>
  <c r="J113" i="33" s="1"/>
  <c r="K113" i="33" s="1"/>
  <c r="L113" i="33" s="1"/>
  <c r="M113" i="33" s="1"/>
  <c r="H37" i="33"/>
  <c r="AB37" i="33"/>
  <c r="H11" i="33"/>
  <c r="F28" i="40"/>
  <c r="AA28" i="40" s="1"/>
  <c r="AA42" i="34"/>
  <c r="S42" i="34"/>
  <c r="J11" i="33"/>
  <c r="U23" i="40"/>
  <c r="J42" i="21"/>
  <c r="AC42" i="21" s="1"/>
  <c r="H42" i="21"/>
  <c r="U42" i="21" s="1"/>
  <c r="J44" i="34"/>
  <c r="AC44" i="34" s="1"/>
  <c r="F44" i="34"/>
  <c r="AA44" i="34" s="1"/>
  <c r="J10" i="35"/>
  <c r="W10" i="35"/>
  <c r="BL587" i="3"/>
  <c r="J14" i="21"/>
  <c r="W14" i="21" s="1"/>
  <c r="F14" i="21"/>
  <c r="S14" i="21"/>
  <c r="H14" i="21"/>
  <c r="U14" i="21" s="1"/>
  <c r="H28" i="21"/>
  <c r="AB28" i="21"/>
  <c r="F28" i="21"/>
  <c r="AA28" i="21" s="1"/>
  <c r="J28" i="21"/>
  <c r="H30" i="21"/>
  <c r="F30" i="21"/>
  <c r="S30" i="21"/>
  <c r="J30" i="21"/>
  <c r="AC30" i="21" s="1"/>
  <c r="J44" i="21"/>
  <c r="AC44" i="21"/>
  <c r="H44" i="21"/>
  <c r="U44" i="21" s="1"/>
  <c r="F44" i="21"/>
  <c r="AA44" i="2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s="1"/>
  <c r="J89" i="35"/>
  <c r="K89" i="35" s="1"/>
  <c r="L89" i="35" s="1"/>
  <c r="M89" i="35" s="1"/>
  <c r="H10" i="36"/>
  <c r="U10" i="36" s="1"/>
  <c r="J14" i="36"/>
  <c r="AC14" i="36" s="1"/>
  <c r="H14" i="36"/>
  <c r="U14" i="36"/>
  <c r="F28" i="36"/>
  <c r="J13" i="21"/>
  <c r="AC13" i="21"/>
  <c r="H27" i="21"/>
  <c r="F27" i="21"/>
  <c r="AA27" i="21" s="1"/>
  <c r="H29" i="21"/>
  <c r="U29" i="21" s="1"/>
  <c r="F27" i="33"/>
  <c r="AA27" i="33" s="1"/>
  <c r="J13" i="33"/>
  <c r="H13" i="33"/>
  <c r="U13" i="33" s="1"/>
  <c r="AB13" i="33"/>
  <c r="F13" i="33"/>
  <c r="S13" i="33"/>
  <c r="J29" i="33"/>
  <c r="W29" i="33" s="1"/>
  <c r="AC29" i="33"/>
  <c r="U29" i="33"/>
  <c r="F29" i="33"/>
  <c r="S29" i="33"/>
  <c r="J31" i="33"/>
  <c r="W31" i="33"/>
  <c r="H31" i="33"/>
  <c r="F31" i="33"/>
  <c r="J45" i="33"/>
  <c r="W45" i="33" s="1"/>
  <c r="J14" i="34"/>
  <c r="W14" i="34"/>
  <c r="S14" i="34"/>
  <c r="H14" i="34"/>
  <c r="H30" i="34"/>
  <c r="F30" i="34"/>
  <c r="S30" i="34"/>
  <c r="J30" i="34"/>
  <c r="W30" i="34"/>
  <c r="F32" i="34"/>
  <c r="AA32" i="34" s="1"/>
  <c r="J32" i="34"/>
  <c r="W32" i="34"/>
  <c r="H46" i="34"/>
  <c r="U46" i="34"/>
  <c r="F46" i="34"/>
  <c r="J46" i="34"/>
  <c r="H11" i="35"/>
  <c r="U11" i="35"/>
  <c r="J11" i="35"/>
  <c r="AC11" i="35"/>
  <c r="F11" i="35"/>
  <c r="S11" i="35"/>
  <c r="J26" i="36"/>
  <c r="W26" i="36"/>
  <c r="H28" i="36"/>
  <c r="U28" i="36"/>
  <c r="J11" i="36"/>
  <c r="U11" i="36"/>
  <c r="F11" i="36"/>
  <c r="AA11" i="36" s="1"/>
  <c r="H13" i="36"/>
  <c r="AB13" i="36"/>
  <c r="J13" i="36"/>
  <c r="W13" i="36" s="1"/>
  <c r="F13" i="36"/>
  <c r="S13" i="36" s="1"/>
  <c r="E89" i="37"/>
  <c r="F89" i="37"/>
  <c r="G89" i="37"/>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W37" i="37" s="1"/>
  <c r="H37" i="37"/>
  <c r="U37" i="37"/>
  <c r="H40" i="37"/>
  <c r="U40" i="37" s="1"/>
  <c r="J40" i="37"/>
  <c r="AC40" i="37"/>
  <c r="F40" i="37"/>
  <c r="AA40" i="37" s="1"/>
  <c r="W12" i="40"/>
  <c r="H14" i="33"/>
  <c r="U14" i="33"/>
  <c r="S14" i="33"/>
  <c r="J14" i="33"/>
  <c r="H30" i="33"/>
  <c r="AB30" i="33" s="1"/>
  <c r="F30" i="33"/>
  <c r="S30" i="33" s="1"/>
  <c r="J30" i="33"/>
  <c r="AC30" i="33" s="1"/>
  <c r="H44" i="33"/>
  <c r="AC44" i="33"/>
  <c r="F44" i="33"/>
  <c r="AA44" i="33" s="1"/>
  <c r="J46" i="33"/>
  <c r="AC46" i="33"/>
  <c r="F46" i="33"/>
  <c r="AA46" i="33" s="1"/>
  <c r="H46" i="33"/>
  <c r="AB46" i="33"/>
  <c r="H13" i="34"/>
  <c r="U13" i="34" s="1"/>
  <c r="W13" i="34"/>
  <c r="F13" i="34"/>
  <c r="AA13" i="34"/>
  <c r="J29" i="34"/>
  <c r="F29" i="34"/>
  <c r="S29" i="34"/>
  <c r="H29" i="34"/>
  <c r="AB29" i="34" s="1"/>
  <c r="J31" i="34"/>
  <c r="H31" i="34"/>
  <c r="AB31" i="34" s="1"/>
  <c r="F31" i="34"/>
  <c r="S31" i="34" s="1"/>
  <c r="H45" i="34"/>
  <c r="U45" i="34" s="1"/>
  <c r="J45" i="34"/>
  <c r="W45" i="34"/>
  <c r="F45" i="34"/>
  <c r="S45" i="34" s="1"/>
  <c r="H47" i="34"/>
  <c r="U47" i="34"/>
  <c r="F47" i="34"/>
  <c r="J47" i="34"/>
  <c r="AC47" i="34" s="1"/>
  <c r="F13" i="35"/>
  <c r="J13" i="35"/>
  <c r="AC13" i="35"/>
  <c r="H13" i="35"/>
  <c r="U13" i="35" s="1"/>
  <c r="J25" i="35"/>
  <c r="W25" i="35"/>
  <c r="F25" i="35"/>
  <c r="S25" i="35" s="1"/>
  <c r="H25" i="35"/>
  <c r="AB25" i="35"/>
  <c r="J35" i="35"/>
  <c r="AC35" i="35" s="1"/>
  <c r="F35" i="35"/>
  <c r="AA35" i="35" s="1"/>
  <c r="J25" i="36"/>
  <c r="W25" i="36" s="1"/>
  <c r="F25" i="36"/>
  <c r="S25" i="36" s="1"/>
  <c r="H25" i="36"/>
  <c r="AB25" i="36"/>
  <c r="H13" i="37"/>
  <c r="AB13" i="37" s="1"/>
  <c r="F13" i="37"/>
  <c r="S13" i="37"/>
  <c r="J13" i="37"/>
  <c r="W13" i="37" s="1"/>
  <c r="F28" i="37"/>
  <c r="J28" i="37"/>
  <c r="AC28" i="37" s="1"/>
  <c r="H28" i="37"/>
  <c r="AB28" i="37" s="1"/>
  <c r="H38" i="37"/>
  <c r="AB38" i="37" s="1"/>
  <c r="J38" i="37"/>
  <c r="AC38" i="37"/>
  <c r="F38" i="37"/>
  <c r="F43" i="39"/>
  <c r="AA43" i="39"/>
  <c r="H43" i="39"/>
  <c r="AB43" i="39" s="1"/>
  <c r="J14" i="39"/>
  <c r="AC14" i="39"/>
  <c r="F14" i="39"/>
  <c r="H14" i="39"/>
  <c r="AB14" i="39" s="1"/>
  <c r="F12" i="40"/>
  <c r="H12" i="40"/>
  <c r="AB12" i="40" s="1"/>
  <c r="H30" i="40"/>
  <c r="AB30" i="40"/>
  <c r="F33" i="40"/>
  <c r="AA33" i="40" s="1"/>
  <c r="H33" i="40"/>
  <c r="AB33" i="40" s="1"/>
  <c r="U33" i="40"/>
  <c r="J35" i="40"/>
  <c r="AC35" i="40" s="1"/>
  <c r="J37" i="40"/>
  <c r="AC37" i="40"/>
  <c r="H13" i="40"/>
  <c r="U13" i="40" s="1"/>
  <c r="J13" i="40"/>
  <c r="F13" i="40"/>
  <c r="AA13" i="40" s="1"/>
  <c r="F14" i="37"/>
  <c r="AA14" i="37" s="1"/>
  <c r="S14" i="37"/>
  <c r="F27" i="37"/>
  <c r="AA27" i="37" s="1"/>
  <c r="J13" i="39"/>
  <c r="AC13" i="39" s="1"/>
  <c r="J14" i="40"/>
  <c r="W14" i="40" s="1"/>
  <c r="F14" i="40"/>
  <c r="J14" i="37"/>
  <c r="AC14" i="37" s="1"/>
  <c r="J27" i="37"/>
  <c r="W27" i="37" s="1"/>
  <c r="AC27" i="37"/>
  <c r="U31" i="34"/>
  <c r="U46" i="33"/>
  <c r="AA14" i="33"/>
  <c r="J36" i="37"/>
  <c r="AC36" i="37"/>
  <c r="G105" i="37"/>
  <c r="AB11" i="36"/>
  <c r="AB11" i="35"/>
  <c r="J10" i="36"/>
  <c r="AC10" i="36"/>
  <c r="AB26" i="33"/>
  <c r="S11" i="36"/>
  <c r="W11" i="35"/>
  <c r="AB46" i="34"/>
  <c r="AC30" i="34"/>
  <c r="AA14" i="34"/>
  <c r="AB31" i="33"/>
  <c r="U31" i="33"/>
  <c r="S44" i="34"/>
  <c r="BA586" i="3"/>
  <c r="F17" i="21"/>
  <c r="AA17" i="21"/>
  <c r="H17" i="21"/>
  <c r="F15" i="21"/>
  <c r="S15" i="21" s="1"/>
  <c r="AB11" i="21"/>
  <c r="J41" i="39"/>
  <c r="W41" i="39" s="1"/>
  <c r="AC45" i="39"/>
  <c r="W36" i="39"/>
  <c r="U36" i="39"/>
  <c r="S35" i="39"/>
  <c r="G544" i="3"/>
  <c r="G540" i="3"/>
  <c r="G536" i="3"/>
  <c r="G535" i="3"/>
  <c r="G532" i="3"/>
  <c r="G531" i="3"/>
  <c r="G528" i="3"/>
  <c r="G527" i="3"/>
  <c r="G523" i="3"/>
  <c r="G514" i="3"/>
  <c r="G510" i="3"/>
  <c r="G508" i="3"/>
  <c r="G500" i="3"/>
  <c r="G584" i="3"/>
  <c r="G580" i="3"/>
  <c r="G576" i="3"/>
  <c r="G572" i="3"/>
  <c r="G568" i="3"/>
  <c r="G560" i="3"/>
  <c r="G554" i="3"/>
  <c r="BL580" i="3"/>
  <c r="BL576" i="3"/>
  <c r="BL572" i="3"/>
  <c r="BL560" i="3"/>
  <c r="BL554" i="3"/>
  <c r="BL538" i="3"/>
  <c r="BL534" i="3"/>
  <c r="BL526" i="3"/>
  <c r="BL506" i="3"/>
  <c r="BL502" i="3"/>
  <c r="BL582" i="3"/>
  <c r="BL578" i="3"/>
  <c r="AZ578" i="3" s="1"/>
  <c r="BL574" i="3"/>
  <c r="BL556" i="3"/>
  <c r="BL540" i="3"/>
  <c r="BL536" i="3"/>
  <c r="G533" i="3"/>
  <c r="BL532" i="3"/>
  <c r="G529" i="3"/>
  <c r="BL528" i="3"/>
  <c r="BL524" i="3"/>
  <c r="BL518" i="3"/>
  <c r="BL500" i="3"/>
  <c r="BL496" i="3"/>
  <c r="BA584" i="3"/>
  <c r="BA582" i="3"/>
  <c r="AZ582" i="3"/>
  <c r="BA578" i="3"/>
  <c r="BA574" i="3"/>
  <c r="BA570" i="3"/>
  <c r="BA558" i="3"/>
  <c r="AZ558" i="3"/>
  <c r="BA556" i="3"/>
  <c r="BA554" i="3"/>
  <c r="AZ554" i="3"/>
  <c r="BA552" i="3"/>
  <c r="BA540" i="3"/>
  <c r="AZ540" i="3" s="1"/>
  <c r="BA538" i="3"/>
  <c r="AZ538" i="3" s="1"/>
  <c r="BA536" i="3"/>
  <c r="BA534" i="3"/>
  <c r="AZ534" i="3"/>
  <c r="BA532" i="3"/>
  <c r="AZ532" i="3" s="1"/>
  <c r="BA530" i="3"/>
  <c r="BA528" i="3"/>
  <c r="AZ528" i="3"/>
  <c r="BA520" i="3"/>
  <c r="BA518" i="3"/>
  <c r="AZ518" i="3" s="1"/>
  <c r="BA514" i="3"/>
  <c r="BA512" i="3"/>
  <c r="BA508" i="3"/>
  <c r="BA504" i="3"/>
  <c r="BA498" i="3"/>
  <c r="BA583" i="3"/>
  <c r="BA579" i="3"/>
  <c r="BA577" i="3"/>
  <c r="BA573" i="3"/>
  <c r="BA571" i="3"/>
  <c r="BA565" i="3"/>
  <c r="BA563" i="3"/>
  <c r="BA555" i="3"/>
  <c r="BA553" i="3"/>
  <c r="BA549" i="3"/>
  <c r="BA541" i="3"/>
  <c r="BA537" i="3"/>
  <c r="BA535" i="3"/>
  <c r="BA533" i="3"/>
  <c r="BA529" i="3"/>
  <c r="BA527" i="3"/>
  <c r="BA517" i="3"/>
  <c r="AZ517" i="3" s="1"/>
  <c r="BA515" i="3"/>
  <c r="BA505" i="3"/>
  <c r="BA501" i="3"/>
  <c r="BA493" i="3"/>
  <c r="AZ493" i="3" s="1"/>
  <c r="G583" i="3"/>
  <c r="G581" i="3"/>
  <c r="G579" i="3"/>
  <c r="G577" i="3"/>
  <c r="G575" i="3"/>
  <c r="G573" i="3"/>
  <c r="G571" i="3"/>
  <c r="G569" i="3"/>
  <c r="G561" i="3"/>
  <c r="BL558" i="3"/>
  <c r="AC557" i="3"/>
  <c r="G557" i="3"/>
  <c r="BQ557" i="3"/>
  <c r="BL557" i="3"/>
  <c r="BQ583" i="3"/>
  <c r="BL583" i="3"/>
  <c r="BQ581" i="3"/>
  <c r="BL581" i="3" s="1"/>
  <c r="BQ579" i="3"/>
  <c r="BQ577" i="3"/>
  <c r="BL577" i="3" s="1"/>
  <c r="BQ575" i="3"/>
  <c r="BL575" i="3"/>
  <c r="BQ573" i="3"/>
  <c r="BL573" i="3"/>
  <c r="AZ573" i="3"/>
  <c r="BQ571" i="3"/>
  <c r="BQ569" i="3"/>
  <c r="BL569" i="3"/>
  <c r="BQ567" i="3"/>
  <c r="BQ565" i="3"/>
  <c r="BL565" i="3"/>
  <c r="BQ563" i="3"/>
  <c r="BQ561" i="3"/>
  <c r="BL561" i="3"/>
  <c r="BQ559" i="3"/>
  <c r="BL559" i="3"/>
  <c r="G559" i="3"/>
  <c r="G555" i="3"/>
  <c r="G553" i="3"/>
  <c r="G545" i="3"/>
  <c r="G543" i="3"/>
  <c r="G541" i="3"/>
  <c r="G539" i="3"/>
  <c r="BQ555" i="3"/>
  <c r="BL555" i="3"/>
  <c r="AZ555" i="3" s="1"/>
  <c r="BQ553" i="3"/>
  <c r="BL553" i="3"/>
  <c r="AZ553" i="3"/>
  <c r="BQ551" i="3"/>
  <c r="BQ549" i="3"/>
  <c r="BQ547" i="3"/>
  <c r="BL547" i="3"/>
  <c r="BQ545" i="3"/>
  <c r="BQ543" i="3"/>
  <c r="BQ541" i="3"/>
  <c r="BQ539" i="3"/>
  <c r="BL539" i="3" s="1"/>
  <c r="BQ537" i="3"/>
  <c r="BL537" i="3"/>
  <c r="AZ537" i="3" s="1"/>
  <c r="BQ535" i="3"/>
  <c r="BL535" i="3"/>
  <c r="AZ535" i="3"/>
  <c r="BQ533" i="3"/>
  <c r="BQ531" i="3"/>
  <c r="BL531" i="3"/>
  <c r="BQ529" i="3"/>
  <c r="BL529" i="3" s="1"/>
  <c r="BQ527" i="3"/>
  <c r="BL527" i="3"/>
  <c r="BQ525" i="3"/>
  <c r="BQ523" i="3"/>
  <c r="AC521" i="3"/>
  <c r="BQ521" i="3"/>
  <c r="BL520" i="3"/>
  <c r="G519" i="3"/>
  <c r="G517" i="3"/>
  <c r="G515" i="3"/>
  <c r="G511" i="3"/>
  <c r="BQ519" i="3"/>
  <c r="BQ517" i="3"/>
  <c r="BL517" i="3"/>
  <c r="BQ515" i="3"/>
  <c r="BQ513" i="3"/>
  <c r="BQ511" i="3"/>
  <c r="BL511" i="3"/>
  <c r="BA509" i="3"/>
  <c r="AC509" i="3"/>
  <c r="BQ509" i="3"/>
  <c r="BL508" i="3"/>
  <c r="AZ508" i="3"/>
  <c r="G503" i="3"/>
  <c r="G501" i="3"/>
  <c r="G499" i="3"/>
  <c r="G495" i="3"/>
  <c r="BQ507" i="3"/>
  <c r="BL507" i="3"/>
  <c r="BQ505" i="3"/>
  <c r="BQ503" i="3"/>
  <c r="BL503" i="3"/>
  <c r="BQ501" i="3"/>
  <c r="BQ499" i="3"/>
  <c r="BL499" i="3"/>
  <c r="BQ497" i="3"/>
  <c r="BQ495" i="3"/>
  <c r="BL495" i="3"/>
  <c r="BQ493" i="3"/>
  <c r="O27" i="31"/>
  <c r="O28" i="31"/>
  <c r="O26" i="31"/>
  <c r="M27" i="31"/>
  <c r="M28" i="31"/>
  <c r="M26" i="31"/>
  <c r="I26" i="31"/>
  <c r="I25" i="31"/>
  <c r="Q26" i="31"/>
  <c r="K26" i="31"/>
  <c r="I27" i="31"/>
  <c r="Q27" i="31"/>
  <c r="K27" i="31"/>
  <c r="I28" i="31"/>
  <c r="Q28" i="31"/>
  <c r="K28" i="31"/>
  <c r="H25" i="21"/>
  <c r="U25" i="21"/>
  <c r="F25" i="21"/>
  <c r="J25" i="21"/>
  <c r="AC25" i="21" s="1"/>
  <c r="H43" i="33"/>
  <c r="AB43" i="33" s="1"/>
  <c r="H17" i="37"/>
  <c r="U17" i="37"/>
  <c r="AB27" i="37"/>
  <c r="U32" i="33"/>
  <c r="F39" i="33"/>
  <c r="AA39" i="33" s="1"/>
  <c r="F42" i="33"/>
  <c r="AA42" i="33" s="1"/>
  <c r="F14" i="36"/>
  <c r="S14" i="36" s="1"/>
  <c r="AA14" i="36"/>
  <c r="F22" i="36"/>
  <c r="S22" i="36"/>
  <c r="F26" i="36"/>
  <c r="AA26" i="36" s="1"/>
  <c r="S26" i="36"/>
  <c r="H27" i="34"/>
  <c r="AB27" i="34"/>
  <c r="H35" i="34"/>
  <c r="AB35" i="34" s="1"/>
  <c r="U35" i="34"/>
  <c r="F41" i="34"/>
  <c r="S41" i="34"/>
  <c r="H41" i="34"/>
  <c r="AB41" i="34" s="1"/>
  <c r="U41" i="34"/>
  <c r="J41" i="34"/>
  <c r="AC41" i="34"/>
  <c r="F10" i="35"/>
  <c r="AA10" i="35" s="1"/>
  <c r="S10" i="35"/>
  <c r="AA24" i="35"/>
  <c r="H24" i="35"/>
  <c r="AB24" i="35"/>
  <c r="H23" i="37"/>
  <c r="AB23" i="37"/>
  <c r="J32" i="37"/>
  <c r="AC32" i="37"/>
  <c r="F36" i="37"/>
  <c r="AA36" i="37"/>
  <c r="F37" i="37"/>
  <c r="AA37" i="37"/>
  <c r="H32" i="40"/>
  <c r="AB32" i="40" s="1"/>
  <c r="J36" i="40"/>
  <c r="W36" i="40"/>
  <c r="AA41" i="34"/>
  <c r="H19" i="37"/>
  <c r="AB19" i="37" s="1"/>
  <c r="H42" i="33"/>
  <c r="AB42" i="33" s="1"/>
  <c r="J43" i="33"/>
  <c r="AC43" i="33" s="1"/>
  <c r="S27" i="31"/>
  <c r="U35" i="35"/>
  <c r="W23" i="35"/>
  <c r="U39" i="37"/>
  <c r="AC8" i="37"/>
  <c r="U26" i="37"/>
  <c r="W47" i="34"/>
  <c r="AB13" i="34"/>
  <c r="AA13" i="33"/>
  <c r="AC31" i="33"/>
  <c r="AC45" i="33"/>
  <c r="W44" i="33"/>
  <c r="U19" i="21"/>
  <c r="W44" i="21"/>
  <c r="U26" i="21"/>
  <c r="F43" i="33"/>
  <c r="AA43" i="33" s="1"/>
  <c r="W40" i="37"/>
  <c r="H37" i="21"/>
  <c r="U37" i="21"/>
  <c r="S42" i="21"/>
  <c r="F36" i="35"/>
  <c r="S36" i="35"/>
  <c r="J9" i="37"/>
  <c r="W9" i="37" s="1"/>
  <c r="H9" i="37"/>
  <c r="AB9" i="37" s="1"/>
  <c r="F9" i="37"/>
  <c r="S9" i="37" s="1"/>
  <c r="J12" i="37"/>
  <c r="W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AB31" i="37" s="1"/>
  <c r="U31" i="37"/>
  <c r="J15" i="37"/>
  <c r="AC15" i="37" s="1"/>
  <c r="W15" i="37"/>
  <c r="AT6" i="3"/>
  <c r="C12" i="43"/>
  <c r="H19" i="40"/>
  <c r="U19" i="40"/>
  <c r="F19" i="40"/>
  <c r="S19" i="40"/>
  <c r="W23" i="39"/>
  <c r="AC43" i="39"/>
  <c r="W43" i="39"/>
  <c r="G101" i="39"/>
  <c r="H37" i="39"/>
  <c r="AB37" i="39"/>
  <c r="AC37" i="39"/>
  <c r="F15" i="39"/>
  <c r="AA15" i="39" s="1"/>
  <c r="H15" i="39"/>
  <c r="U15" i="39" s="1"/>
  <c r="J15" i="39"/>
  <c r="W15" i="39" s="1"/>
  <c r="H41" i="39"/>
  <c r="AB34" i="39"/>
  <c r="W14" i="39"/>
  <c r="W9" i="39"/>
  <c r="W8" i="39"/>
  <c r="J19" i="40"/>
  <c r="AC19" i="40"/>
  <c r="J50" i="40"/>
  <c r="H103" i="9"/>
  <c r="D8" i="53"/>
  <c r="B16" i="53"/>
  <c r="B33" i="72" s="1"/>
  <c r="C7" i="37"/>
  <c r="C7" i="34"/>
  <c r="C7" i="36"/>
  <c r="A4" i="52"/>
  <c r="B41" i="72" s="1"/>
  <c r="G4" i="4"/>
  <c r="I4" i="4"/>
  <c r="K5" i="4"/>
  <c r="B47" i="48" s="1"/>
  <c r="AZ24" i="3"/>
  <c r="AZ32" i="3"/>
  <c r="G303" i="3"/>
  <c r="BL304" i="3"/>
  <c r="AZ304" i="3" s="1"/>
  <c r="G305" i="3"/>
  <c r="BL306" i="3"/>
  <c r="BA308" i="3"/>
  <c r="AZ308" i="3"/>
  <c r="BA309" i="3"/>
  <c r="BL309" i="3"/>
  <c r="G310" i="3"/>
  <c r="BA311" i="3"/>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AZ362" i="3"/>
  <c r="G370" i="3"/>
  <c r="BL371" i="3"/>
  <c r="G372" i="3"/>
  <c r="BL373" i="3"/>
  <c r="AZ373" i="3" s="1"/>
  <c r="BA375" i="3"/>
  <c r="AZ375" i="3"/>
  <c r="BA376" i="3"/>
  <c r="BL376" i="3"/>
  <c r="AZ376" i="3" s="1"/>
  <c r="G377" i="3"/>
  <c r="BA378" i="3"/>
  <c r="BL378" i="3"/>
  <c r="G379" i="3"/>
  <c r="BA380" i="3"/>
  <c r="G388" i="3"/>
  <c r="BL389" i="3"/>
  <c r="G390" i="3"/>
  <c r="BL391" i="3"/>
  <c r="BA393" i="3"/>
  <c r="AZ393" i="3"/>
  <c r="BA394" i="3"/>
  <c r="AZ394" i="3" s="1"/>
  <c r="BL394" i="3"/>
  <c r="G113" i="3"/>
  <c r="BA115" i="3"/>
  <c r="AZ115" i="3"/>
  <c r="BL116" i="3"/>
  <c r="AZ116" i="3" s="1"/>
  <c r="G117" i="3"/>
  <c r="BA119" i="3"/>
  <c r="AZ119" i="3"/>
  <c r="BL120" i="3"/>
  <c r="G121" i="3"/>
  <c r="BA123" i="3"/>
  <c r="AZ123" i="3"/>
  <c r="BL124" i="3"/>
  <c r="AZ124" i="3"/>
  <c r="G125" i="3"/>
  <c r="BA127" i="3"/>
  <c r="AZ127" i="3" s="1"/>
  <c r="BL132" i="3"/>
  <c r="AZ132" i="3" s="1"/>
  <c r="G133" i="3"/>
  <c r="BA135" i="3"/>
  <c r="AZ135" i="3"/>
  <c r="BL136" i="3"/>
  <c r="AZ136" i="3" s="1"/>
  <c r="G137" i="3"/>
  <c r="BA139" i="3"/>
  <c r="AZ139" i="3"/>
  <c r="BL140" i="3"/>
  <c r="AZ140" i="3"/>
  <c r="G141" i="3"/>
  <c r="BA143" i="3"/>
  <c r="AZ143" i="3" s="1"/>
  <c r="BL144" i="3"/>
  <c r="G145" i="3"/>
  <c r="BA147" i="3"/>
  <c r="BA151" i="3"/>
  <c r="AZ151" i="3" s="1"/>
  <c r="BL152" i="3"/>
  <c r="G153" i="3"/>
  <c r="BA155" i="3"/>
  <c r="BL156" i="3"/>
  <c r="AZ156" i="3"/>
  <c r="G157" i="3"/>
  <c r="BA159" i="3"/>
  <c r="BL160" i="3"/>
  <c r="G161" i="3"/>
  <c r="BA163" i="3"/>
  <c r="AZ163" i="3" s="1"/>
  <c r="BL164" i="3"/>
  <c r="G165" i="3"/>
  <c r="BA167" i="3"/>
  <c r="AZ167" i="3"/>
  <c r="BL168" i="3"/>
  <c r="AZ168" i="3" s="1"/>
  <c r="G169" i="3"/>
  <c r="BA171" i="3"/>
  <c r="BL172" i="3"/>
  <c r="AZ172" i="3"/>
  <c r="G173" i="3"/>
  <c r="BA175" i="3"/>
  <c r="AZ175" i="3"/>
  <c r="BL176" i="3"/>
  <c r="G177" i="3"/>
  <c r="BA179" i="3"/>
  <c r="AZ179" i="3"/>
  <c r="BL180" i="3"/>
  <c r="AZ180" i="3" s="1"/>
  <c r="G181" i="3"/>
  <c r="BA183" i="3"/>
  <c r="BL184" i="3"/>
  <c r="G185" i="3"/>
  <c r="BA187" i="3"/>
  <c r="AZ187" i="3"/>
  <c r="BL188" i="3"/>
  <c r="AZ188" i="3"/>
  <c r="G189" i="3"/>
  <c r="BA191" i="3"/>
  <c r="AZ191" i="3" s="1"/>
  <c r="BL192" i="3"/>
  <c r="AZ192" i="3" s="1"/>
  <c r="G193" i="3"/>
  <c r="BA195" i="3"/>
  <c r="AZ195" i="3" s="1"/>
  <c r="BL196" i="3"/>
  <c r="AZ196" i="3"/>
  <c r="G197" i="3"/>
  <c r="BA199" i="3"/>
  <c r="AZ199" i="3"/>
  <c r="BL200" i="3"/>
  <c r="AZ200" i="3" s="1"/>
  <c r="G201" i="3"/>
  <c r="BL204" i="3"/>
  <c r="AZ47" i="3"/>
  <c r="AZ63" i="3"/>
  <c r="AZ83" i="3"/>
  <c r="AZ152" i="3"/>
  <c r="AZ160" i="3"/>
  <c r="AZ176" i="3"/>
  <c r="AZ89" i="3"/>
  <c r="AZ93" i="3"/>
  <c r="AZ120" i="3"/>
  <c r="G534" i="3"/>
  <c r="G530" i="3"/>
  <c r="G522" i="3"/>
  <c r="G516" i="3"/>
  <c r="G512" i="3"/>
  <c r="G494" i="3"/>
  <c r="G16" i="3"/>
  <c r="G15" i="3"/>
  <c r="BA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AZ372" i="3"/>
  <c r="BL372" i="3"/>
  <c r="G373" i="3"/>
  <c r="G376" i="3"/>
  <c r="BL377" i="3"/>
  <c r="BL379" i="3"/>
  <c r="AZ379" i="3" s="1"/>
  <c r="BA381" i="3"/>
  <c r="AZ381" i="3"/>
  <c r="BA382" i="3"/>
  <c r="BL382" i="3"/>
  <c r="G383" i="3"/>
  <c r="G386" i="3"/>
  <c r="BL387" i="3"/>
  <c r="AZ387" i="3" s="1"/>
  <c r="BA389" i="3"/>
  <c r="BA390" i="3"/>
  <c r="BL390" i="3"/>
  <c r="AZ390" i="3" s="1"/>
  <c r="G391" i="3"/>
  <c r="G394" i="3"/>
  <c r="AZ142" i="3"/>
  <c r="AZ154" i="3"/>
  <c r="AZ158" i="3"/>
  <c r="AZ166" i="3"/>
  <c r="AZ170" i="3"/>
  <c r="AZ186" i="3"/>
  <c r="AZ194" i="3"/>
  <c r="AZ198" i="3"/>
  <c r="BA16" i="3"/>
  <c r="AZ16" i="3"/>
  <c r="BL303" i="3"/>
  <c r="G304" i="3"/>
  <c r="BA306" i="3"/>
  <c r="AZ306" i="3"/>
  <c r="BL307" i="3"/>
  <c r="AZ307" i="3"/>
  <c r="G308" i="3"/>
  <c r="BA310" i="3"/>
  <c r="AZ310" i="3"/>
  <c r="BL311" i="3"/>
  <c r="G312" i="3"/>
  <c r="BA314" i="3"/>
  <c r="AZ314" i="3"/>
  <c r="BL315" i="3"/>
  <c r="AZ315" i="3"/>
  <c r="G316" i="3"/>
  <c r="BA318" i="3"/>
  <c r="AZ318" i="3" s="1"/>
  <c r="BL319" i="3"/>
  <c r="AZ319" i="3" s="1"/>
  <c r="G320" i="3"/>
  <c r="BA322" i="3"/>
  <c r="BL323" i="3"/>
  <c r="AZ323" i="3"/>
  <c r="G324" i="3"/>
  <c r="BA326" i="3"/>
  <c r="AZ326" i="3"/>
  <c r="BL327" i="3"/>
  <c r="AZ327" i="3" s="1"/>
  <c r="G328" i="3"/>
  <c r="BA330" i="3"/>
  <c r="AZ330" i="3"/>
  <c r="BL331" i="3"/>
  <c r="AZ331" i="3" s="1"/>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c r="G359" i="3"/>
  <c r="BA361" i="3"/>
  <c r="BL362" i="3"/>
  <c r="G363" i="3"/>
  <c r="BA365" i="3"/>
  <c r="AZ365" i="3"/>
  <c r="BL366" i="3"/>
  <c r="AZ366" i="3" s="1"/>
  <c r="G367" i="3"/>
  <c r="BA369" i="3"/>
  <c r="AZ369" i="3"/>
  <c r="BL370" i="3"/>
  <c r="AZ370" i="3" s="1"/>
  <c r="G371" i="3"/>
  <c r="BA373" i="3"/>
  <c r="BL374" i="3"/>
  <c r="AZ374" i="3" s="1"/>
  <c r="G375" i="3"/>
  <c r="BA377" i="3"/>
  <c r="AZ377" i="3" s="1"/>
  <c r="AZ229" i="3"/>
  <c r="AZ233" i="3"/>
  <c r="AZ237" i="3"/>
  <c r="AZ241" i="3"/>
  <c r="AZ245" i="3"/>
  <c r="AZ261" i="3"/>
  <c r="AZ265" i="3"/>
  <c r="AZ269" i="3"/>
  <c r="BA379" i="3"/>
  <c r="BL380" i="3"/>
  <c r="AZ380" i="3" s="1"/>
  <c r="G381" i="3"/>
  <c r="BA383" i="3"/>
  <c r="AZ383" i="3"/>
  <c r="BL384" i="3"/>
  <c r="G385" i="3"/>
  <c r="BA387" i="3"/>
  <c r="BL388" i="3"/>
  <c r="AZ388" i="3" s="1"/>
  <c r="G389" i="3"/>
  <c r="BA391" i="3"/>
  <c r="AZ391" i="3"/>
  <c r="BL392" i="3"/>
  <c r="AZ392" i="3" s="1"/>
  <c r="G393" i="3"/>
  <c r="AZ275" i="3"/>
  <c r="AZ287" i="3"/>
  <c r="AZ309" i="3"/>
  <c r="AZ317" i="3"/>
  <c r="AZ333" i="3"/>
  <c r="AZ341" i="3"/>
  <c r="BQ5" i="3"/>
  <c r="G538" i="3"/>
  <c r="G520" i="3"/>
  <c r="G502" i="3"/>
  <c r="BG5" i="3"/>
  <c r="G17" i="3"/>
  <c r="BA17" i="3"/>
  <c r="BT5" i="3"/>
  <c r="AZ350" i="3"/>
  <c r="AZ352" i="3"/>
  <c r="AZ356" i="3"/>
  <c r="AZ360" i="3"/>
  <c r="AZ368" i="3"/>
  <c r="BA15" i="3"/>
  <c r="AZ384" i="3"/>
  <c r="AZ396" i="3"/>
  <c r="G509" i="3"/>
  <c r="BL493" i="3"/>
  <c r="AZ491" i="3"/>
  <c r="AZ382" i="3"/>
  <c r="U36" i="40"/>
  <c r="F36" i="43"/>
  <c r="F81" i="43"/>
  <c r="H83" i="43" s="1"/>
  <c r="H113" i="43"/>
  <c r="F70" i="43"/>
  <c r="H73" i="43" s="1"/>
  <c r="M11" i="43"/>
  <c r="D17" i="43"/>
  <c r="F39" i="43"/>
  <c r="I17" i="43"/>
  <c r="F35" i="43"/>
  <c r="J17" i="43"/>
  <c r="F6" i="1"/>
  <c r="I20" i="43" s="1"/>
  <c r="S14" i="35"/>
  <c r="U43" i="21"/>
  <c r="U35" i="21"/>
  <c r="AC35" i="21"/>
  <c r="U10" i="21"/>
  <c r="F48" i="9"/>
  <c r="O52" i="9" s="1"/>
  <c r="S15" i="37"/>
  <c r="U13" i="37"/>
  <c r="U12" i="40"/>
  <c r="J37" i="33"/>
  <c r="AC37" i="33" s="1"/>
  <c r="F106" i="33"/>
  <c r="G106" i="33"/>
  <c r="H106" i="33"/>
  <c r="I106" i="33" s="1"/>
  <c r="J106" i="33" s="1"/>
  <c r="K106" i="33" s="1"/>
  <c r="L106" i="33" s="1"/>
  <c r="M106" i="33" s="1"/>
  <c r="J34" i="33"/>
  <c r="W34" i="33"/>
  <c r="F33" i="34"/>
  <c r="S33" i="34" s="1"/>
  <c r="W12" i="36"/>
  <c r="AC12" i="36"/>
  <c r="H20" i="36"/>
  <c r="U20" i="36"/>
  <c r="J20" i="36"/>
  <c r="W20" i="36" s="1"/>
  <c r="J27" i="36"/>
  <c r="W27" i="36" s="1"/>
  <c r="AB25" i="37"/>
  <c r="AC33" i="40"/>
  <c r="F111" i="40"/>
  <c r="G111" i="40" s="1"/>
  <c r="H111" i="40" s="1"/>
  <c r="I111" i="40" s="1"/>
  <c r="J111" i="40" s="1"/>
  <c r="K111" i="40" s="1"/>
  <c r="L111" i="40" s="1"/>
  <c r="M111" i="40" s="1"/>
  <c r="H35" i="40"/>
  <c r="AB35" i="40" s="1"/>
  <c r="H35" i="37"/>
  <c r="AB35" i="37" s="1"/>
  <c r="U35" i="37"/>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C21" i="40"/>
  <c r="S11" i="40"/>
  <c r="E98" i="40"/>
  <c r="F98" i="40" s="1"/>
  <c r="G98" i="40" s="1"/>
  <c r="H98" i="40"/>
  <c r="I98" i="40" s="1"/>
  <c r="J98" i="40" s="1"/>
  <c r="K98" i="40" s="1"/>
  <c r="L98" i="40" s="1"/>
  <c r="M98" i="40" s="1"/>
  <c r="F10" i="33"/>
  <c r="S10" i="33"/>
  <c r="F34" i="33"/>
  <c r="S34" i="33"/>
  <c r="H34" i="33"/>
  <c r="U34" i="33"/>
  <c r="F35" i="33"/>
  <c r="S35" i="33"/>
  <c r="F39" i="34"/>
  <c r="S39" i="34"/>
  <c r="J39" i="34"/>
  <c r="W39" i="34"/>
  <c r="F40" i="34"/>
  <c r="S40" i="34" s="1"/>
  <c r="F43" i="34"/>
  <c r="AA43" i="34" s="1"/>
  <c r="H44" i="34"/>
  <c r="F39" i="39"/>
  <c r="AA39" i="39" s="1"/>
  <c r="S39" i="39"/>
  <c r="J39" i="39"/>
  <c r="E97" i="39"/>
  <c r="F97" i="39"/>
  <c r="G97" i="39" s="1"/>
  <c r="AZ353" i="3"/>
  <c r="AZ354" i="3"/>
  <c r="AZ386" i="3"/>
  <c r="C40" i="11"/>
  <c r="AZ215" i="3"/>
  <c r="AZ223" i="3"/>
  <c r="AZ227" i="3"/>
  <c r="AZ232" i="3"/>
  <c r="AZ235" i="3"/>
  <c r="AZ240" i="3"/>
  <c r="AZ248" i="3"/>
  <c r="AZ251" i="3"/>
  <c r="AZ256" i="3"/>
  <c r="AZ259" i="3"/>
  <c r="AZ271" i="3"/>
  <c r="AZ280" i="3"/>
  <c r="AZ133" i="3"/>
  <c r="AZ21" i="3"/>
  <c r="AZ29" i="3"/>
  <c r="AZ37" i="3"/>
  <c r="AZ50" i="3"/>
  <c r="AZ66" i="3"/>
  <c r="AZ72" i="3"/>
  <c r="AZ74" i="3"/>
  <c r="AZ82" i="3"/>
  <c r="AZ102" i="3"/>
  <c r="F23" i="39"/>
  <c r="AA23" i="39" s="1"/>
  <c r="H27" i="36"/>
  <c r="AB27" i="36" s="1"/>
  <c r="F27" i="36"/>
  <c r="AA27" i="36"/>
  <c r="H33" i="34"/>
  <c r="U33" i="34" s="1"/>
  <c r="F32" i="37"/>
  <c r="F20" i="36"/>
  <c r="AA20" i="36"/>
  <c r="J33" i="34"/>
  <c r="AC33" i="34" s="1"/>
  <c r="H23" i="39"/>
  <c r="U23" i="39" s="1"/>
  <c r="D48" i="9"/>
  <c r="M52" i="9"/>
  <c r="H82" i="43"/>
  <c r="K9" i="1"/>
  <c r="D93" i="9"/>
  <c r="K6" i="1"/>
  <c r="AC26" i="33"/>
  <c r="W27" i="34"/>
  <c r="AC27" i="34"/>
  <c r="AB34" i="36"/>
  <c r="U34" i="36"/>
  <c r="AB33" i="36"/>
  <c r="U33" i="36"/>
  <c r="AC12" i="39"/>
  <c r="W12" i="39"/>
  <c r="AC39" i="40"/>
  <c r="W39" i="40"/>
  <c r="AZ401" i="3"/>
  <c r="AZ412" i="3"/>
  <c r="AZ417" i="3"/>
  <c r="AZ428" i="3"/>
  <c r="AZ433" i="3"/>
  <c r="W12" i="33"/>
  <c r="AC12" i="33"/>
  <c r="AZ408" i="3"/>
  <c r="AZ437" i="3"/>
  <c r="AZ441" i="3"/>
  <c r="AZ457" i="3"/>
  <c r="AZ473" i="3"/>
  <c r="AZ490" i="3"/>
  <c r="AA39" i="34"/>
  <c r="BL14" i="3"/>
  <c r="AZ266" i="3"/>
  <c r="U30" i="33"/>
  <c r="AC13" i="34"/>
  <c r="W28" i="37"/>
  <c r="F12" i="33"/>
  <c r="AA12" i="33" s="1"/>
  <c r="H12" i="39"/>
  <c r="AB12" i="39" s="1"/>
  <c r="F39" i="40"/>
  <c r="BA14" i="3"/>
  <c r="AZ367" i="3"/>
  <c r="AZ213" i="3"/>
  <c r="AZ224" i="3"/>
  <c r="AZ250" i="3"/>
  <c r="AZ254" i="3"/>
  <c r="AZ281" i="3"/>
  <c r="AZ149" i="3"/>
  <c r="AZ165" i="3"/>
  <c r="AZ173" i="3"/>
  <c r="AZ181" i="3"/>
  <c r="AZ189" i="3"/>
  <c r="S12" i="1"/>
  <c r="T12" i="1" s="1"/>
  <c r="R12" i="1"/>
  <c r="B12" i="1"/>
  <c r="E12" i="1"/>
  <c r="B10" i="1"/>
  <c r="E10" i="1" s="1"/>
  <c r="AZ107" i="3"/>
  <c r="K12" i="1"/>
  <c r="M12" i="1" s="1"/>
  <c r="S13" i="1"/>
  <c r="AR13" i="1" s="1"/>
  <c r="R13" i="1"/>
  <c r="S11" i="1"/>
  <c r="AR11" i="1" s="1"/>
  <c r="R11" i="1"/>
  <c r="J51" i="67"/>
  <c r="C42" i="1"/>
  <c r="C77" i="86" s="1"/>
  <c r="C74" i="86" s="1"/>
  <c r="H100" i="43"/>
  <c r="C30" i="66"/>
  <c r="E26" i="66" s="1"/>
  <c r="AC34" i="33"/>
  <c r="AA34" i="33"/>
  <c r="B41" i="1"/>
  <c r="J100" i="43"/>
  <c r="AB37" i="40"/>
  <c r="S35" i="40"/>
  <c r="AC36" i="40"/>
  <c r="S17" i="40"/>
  <c r="S23" i="40"/>
  <c r="AC17" i="40"/>
  <c r="AC15" i="40"/>
  <c r="AB27" i="40"/>
  <c r="AA19" i="40"/>
  <c r="S28" i="40"/>
  <c r="AA27" i="40"/>
  <c r="AB19" i="40"/>
  <c r="W42" i="39"/>
  <c r="U37" i="39"/>
  <c r="S43" i="39"/>
  <c r="S37" i="39"/>
  <c r="U35" i="39"/>
  <c r="F32" i="39"/>
  <c r="AA32" i="39" s="1"/>
  <c r="AB27" i="39"/>
  <c r="U31" i="39"/>
  <c r="AA12" i="39"/>
  <c r="S9" i="39"/>
  <c r="S23" i="36"/>
  <c r="U13" i="36"/>
  <c r="U26" i="36"/>
  <c r="S33" i="36"/>
  <c r="S27" i="36"/>
  <c r="S29" i="36"/>
  <c r="AC26" i="36"/>
  <c r="AA22" i="36"/>
  <c r="W14" i="36"/>
  <c r="AB14" i="36"/>
  <c r="U22" i="36"/>
  <c r="S16" i="36"/>
  <c r="AA25" i="36"/>
  <c r="U23" i="36"/>
  <c r="AB20" i="36"/>
  <c r="U16" i="36"/>
  <c r="W10" i="36"/>
  <c r="AA25" i="35"/>
  <c r="S23" i="35"/>
  <c r="AB13" i="35"/>
  <c r="U29" i="35"/>
  <c r="U28" i="35"/>
  <c r="AB27" i="35"/>
  <c r="U36" i="35"/>
  <c r="U32" i="35"/>
  <c r="AA33" i="35"/>
  <c r="AC30" i="35"/>
  <c r="S32" i="35"/>
  <c r="AA36" i="35"/>
  <c r="W32" i="35"/>
  <c r="S28" i="35"/>
  <c r="U22" i="35"/>
  <c r="S20" i="35"/>
  <c r="U14" i="35"/>
  <c r="AC10" i="35"/>
  <c r="AB10" i="35"/>
  <c r="AA11" i="35"/>
  <c r="S8" i="35"/>
  <c r="AC9" i="35"/>
  <c r="W9" i="35"/>
  <c r="AC12" i="35"/>
  <c r="W13" i="35"/>
  <c r="F9" i="35"/>
  <c r="H9" i="35"/>
  <c r="F26" i="35"/>
  <c r="S26" i="35" s="1"/>
  <c r="AA26" i="35"/>
  <c r="AB40" i="37"/>
  <c r="S25" i="37"/>
  <c r="AC9" i="37"/>
  <c r="AC29" i="37"/>
  <c r="U29" i="37"/>
  <c r="W30" i="37"/>
  <c r="S36" i="37"/>
  <c r="U32" i="37"/>
  <c r="W38" i="37"/>
  <c r="AC35" i="37"/>
  <c r="W39" i="37"/>
  <c r="S30" i="37"/>
  <c r="S37" i="37"/>
  <c r="J17" i="37"/>
  <c r="W17" i="37"/>
  <c r="G73" i="37"/>
  <c r="F17" i="37"/>
  <c r="AA17" i="37"/>
  <c r="AB17" i="37"/>
  <c r="F75" i="37"/>
  <c r="G75" i="37" s="1"/>
  <c r="F19" i="37"/>
  <c r="F79" i="37"/>
  <c r="G79" i="37" s="1"/>
  <c r="F23" i="37"/>
  <c r="S23" i="37" s="1"/>
  <c r="U23" i="37"/>
  <c r="U15" i="37"/>
  <c r="AC13" i="37"/>
  <c r="AA13" i="37"/>
  <c r="AA9" i="37"/>
  <c r="H10" i="37"/>
  <c r="H60" i="37"/>
  <c r="F63" i="37"/>
  <c r="G63" i="37" s="1"/>
  <c r="F11" i="37"/>
  <c r="S11" i="37" s="1"/>
  <c r="S27" i="34"/>
  <c r="W25" i="34"/>
  <c r="AB8" i="34"/>
  <c r="AA33" i="34"/>
  <c r="AC39" i="34"/>
  <c r="W41" i="34"/>
  <c r="AC42" i="34"/>
  <c r="U39" i="34"/>
  <c r="AA45" i="34"/>
  <c r="AA29" i="34"/>
  <c r="U27" i="34"/>
  <c r="S13" i="34"/>
  <c r="H10" i="34"/>
  <c r="U10" i="34" s="1"/>
  <c r="F11" i="34"/>
  <c r="S11" i="34" s="1"/>
  <c r="F70" i="34"/>
  <c r="G70" i="34" s="1"/>
  <c r="AA35" i="33"/>
  <c r="S27" i="33"/>
  <c r="S32" i="33"/>
  <c r="AA29" i="33"/>
  <c r="AB29" i="33"/>
  <c r="W38" i="33"/>
  <c r="H41" i="33"/>
  <c r="F121" i="33"/>
  <c r="G121" i="33"/>
  <c r="H121" i="33"/>
  <c r="I121" i="33" s="1"/>
  <c r="J121" i="33" s="1"/>
  <c r="K121" i="33" s="1"/>
  <c r="L121" i="33" s="1"/>
  <c r="M121" i="33" s="1"/>
  <c r="G108" i="33"/>
  <c r="H108" i="33" s="1"/>
  <c r="I108" i="33" s="1"/>
  <c r="J108" i="33" s="1"/>
  <c r="K108" i="33" s="1"/>
  <c r="L108" i="33" s="1"/>
  <c r="M108" i="33" s="1"/>
  <c r="J35" i="33"/>
  <c r="S37" i="33"/>
  <c r="AA37" i="33"/>
  <c r="F101" i="33"/>
  <c r="G101" i="33"/>
  <c r="H101" i="33"/>
  <c r="I101" i="33" s="1"/>
  <c r="J101" i="33" s="1"/>
  <c r="K101" i="33" s="1"/>
  <c r="L101" i="33" s="1"/>
  <c r="M101" i="33" s="1"/>
  <c r="J32" i="33"/>
  <c r="S46" i="33"/>
  <c r="F91" i="33"/>
  <c r="G91" i="33" s="1"/>
  <c r="H91" i="33" s="1"/>
  <c r="I91" i="33" s="1"/>
  <c r="J91" i="33" s="1"/>
  <c r="K91" i="33" s="1"/>
  <c r="L91" i="33" s="1"/>
  <c r="M91" i="33" s="1"/>
  <c r="H27" i="33"/>
  <c r="AB27" i="33" s="1"/>
  <c r="F87" i="33"/>
  <c r="H25" i="33"/>
  <c r="U25" i="33" s="1"/>
  <c r="F25" i="33"/>
  <c r="S25" i="33" s="1"/>
  <c r="J23" i="33"/>
  <c r="AC23" i="33" s="1"/>
  <c r="H23" i="33"/>
  <c r="AB23" i="33" s="1"/>
  <c r="J17" i="33"/>
  <c r="W17" i="33" s="1"/>
  <c r="U9" i="33"/>
  <c r="I66" i="33"/>
  <c r="J10" i="33"/>
  <c r="H10" i="33"/>
  <c r="AB10" i="33" s="1"/>
  <c r="AA10" i="33"/>
  <c r="AB14" i="33"/>
  <c r="W43" i="21"/>
  <c r="W36" i="21"/>
  <c r="W41" i="21"/>
  <c r="AB39" i="21"/>
  <c r="AA43" i="21"/>
  <c r="AA36" i="21"/>
  <c r="AC40" i="21"/>
  <c r="J15" i="21"/>
  <c r="W15" i="21"/>
  <c r="F77" i="21"/>
  <c r="G77" i="21" s="1"/>
  <c r="F23" i="21"/>
  <c r="S23" i="21" s="1"/>
  <c r="E85" i="21"/>
  <c r="F85" i="21" s="1"/>
  <c r="G85" i="21" s="1"/>
  <c r="AC11" i="21"/>
  <c r="AA14" i="21"/>
  <c r="S8" i="21"/>
  <c r="M3" i="43"/>
  <c r="M1" i="43"/>
  <c r="N8" i="43"/>
  <c r="D120" i="9"/>
  <c r="K120" i="9" s="1"/>
  <c r="A18" i="62" s="1"/>
  <c r="B64" i="72" s="1"/>
  <c r="C18" i="9"/>
  <c r="D18" i="9" s="1"/>
  <c r="F34" i="67"/>
  <c r="F62" i="67" s="1"/>
  <c r="M20" i="67"/>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s="1"/>
  <c r="E48" i="43"/>
  <c r="B46" i="43"/>
  <c r="E70" i="43"/>
  <c r="B68" i="43" s="1"/>
  <c r="F100" i="43"/>
  <c r="H17" i="43"/>
  <c r="D9" i="53"/>
  <c r="B25" i="72" s="1"/>
  <c r="B24" i="72"/>
  <c r="H85" i="43"/>
  <c r="H78" i="43"/>
  <c r="H71" i="43"/>
  <c r="C17" i="43"/>
  <c r="F33" i="43"/>
  <c r="K17" i="43"/>
  <c r="F34" i="43"/>
  <c r="N6" i="43"/>
  <c r="N3" i="43"/>
  <c r="F38" i="43"/>
  <c r="F37" i="43"/>
  <c r="M9" i="43"/>
  <c r="C6" i="43" s="1"/>
  <c r="N5" i="43"/>
  <c r="M12" i="43"/>
  <c r="B19" i="53"/>
  <c r="B37" i="72" s="1"/>
  <c r="C7" i="39"/>
  <c r="C68" i="39" s="1"/>
  <c r="C7" i="35"/>
  <c r="C48" i="35" s="1"/>
  <c r="C7" i="33"/>
  <c r="C7" i="21"/>
  <c r="C58" i="21" s="1"/>
  <c r="C7" i="40"/>
  <c r="C63" i="40" s="1"/>
  <c r="C65" i="40" s="1"/>
  <c r="M47" i="9"/>
  <c r="G19" i="43"/>
  <c r="O19" i="43" s="1"/>
  <c r="T35" i="4"/>
  <c r="A19" i="51" s="1"/>
  <c r="B14" i="72" s="1"/>
  <c r="C46" i="36"/>
  <c r="C59" i="34"/>
  <c r="D59" i="34" s="1"/>
  <c r="E59" i="34" s="1"/>
  <c r="C52" i="37"/>
  <c r="A4" i="51"/>
  <c r="B6" i="72" s="1"/>
  <c r="C4" i="12"/>
  <c r="H72" i="43"/>
  <c r="L20" i="6"/>
  <c r="B6" i="1"/>
  <c r="E6" i="1" s="1"/>
  <c r="K11" i="1"/>
  <c r="M11" i="1" s="1"/>
  <c r="O11" i="1" s="1"/>
  <c r="P11" i="1" s="1"/>
  <c r="AP6" i="1"/>
  <c r="B9" i="1"/>
  <c r="E9" i="1" s="1"/>
  <c r="G1" i="69"/>
  <c r="G1" i="67"/>
  <c r="W23" i="40"/>
  <c r="U32" i="40"/>
  <c r="S37" i="40"/>
  <c r="AB28" i="40"/>
  <c r="W28" i="40"/>
  <c r="W34" i="40"/>
  <c r="W19" i="40"/>
  <c r="W27" i="40"/>
  <c r="S36" i="40"/>
  <c r="W37" i="40"/>
  <c r="AC14" i="40"/>
  <c r="S13" i="40"/>
  <c r="S33" i="40"/>
  <c r="U11" i="40"/>
  <c r="AB13" i="40"/>
  <c r="U15" i="40"/>
  <c r="AB17" i="40"/>
  <c r="U8" i="40"/>
  <c r="S8" i="40"/>
  <c r="U42" i="39"/>
  <c r="AB23" i="39"/>
  <c r="U41" i="39"/>
  <c r="AB41" i="39"/>
  <c r="S14" i="39"/>
  <c r="AA14" i="39"/>
  <c r="AA27" i="39"/>
  <c r="S27" i="39"/>
  <c r="W31" i="39"/>
  <c r="AB39" i="39"/>
  <c r="U38" i="39"/>
  <c r="S8" i="39"/>
  <c r="S20" i="36"/>
  <c r="AC25" i="36"/>
  <c r="W29" i="36"/>
  <c r="U25" i="36"/>
  <c r="AB28" i="36"/>
  <c r="AA13" i="36"/>
  <c r="W9" i="36"/>
  <c r="W22" i="36"/>
  <c r="W23" i="36"/>
  <c r="S9" i="36"/>
  <c r="AB20" i="35"/>
  <c r="AC25" i="35"/>
  <c r="U25" i="35"/>
  <c r="S24" i="35"/>
  <c r="W33" i="35"/>
  <c r="AA30" i="35"/>
  <c r="U24" i="35"/>
  <c r="W35" i="35"/>
  <c r="AA16" i="35"/>
  <c r="AA35" i="37"/>
  <c r="W36" i="37"/>
  <c r="S27" i="37"/>
  <c r="W32" i="37"/>
  <c r="U36" i="37"/>
  <c r="S40" i="37"/>
  <c r="U38" i="37"/>
  <c r="AB37" i="37"/>
  <c r="S33" i="37"/>
  <c r="AC34" i="37"/>
  <c r="U19" i="37"/>
  <c r="AA29" i="37"/>
  <c r="AA8" i="37"/>
  <c r="U8" i="37"/>
  <c r="AA40" i="34"/>
  <c r="AC45" i="34"/>
  <c r="AA31" i="34"/>
  <c r="AA30" i="34"/>
  <c r="AB45" i="34"/>
  <c r="AB47" i="34"/>
  <c r="U25" i="34"/>
  <c r="AB36" i="34"/>
  <c r="AC14" i="34"/>
  <c r="AC32" i="34"/>
  <c r="AC29" i="34"/>
  <c r="W29" i="34"/>
  <c r="W46" i="34"/>
  <c r="AC46" i="34"/>
  <c r="S32" i="34"/>
  <c r="U30" i="34"/>
  <c r="AB30" i="34"/>
  <c r="U38" i="34"/>
  <c r="AC40" i="34"/>
  <c r="AA36" i="34"/>
  <c r="S36" i="34"/>
  <c r="AA8" i="34"/>
  <c r="S8" i="34"/>
  <c r="AB9" i="34"/>
  <c r="U9" i="34"/>
  <c r="S46" i="34"/>
  <c r="AA46" i="34"/>
  <c r="U32" i="34"/>
  <c r="AB32" i="34"/>
  <c r="U14" i="34"/>
  <c r="AB14" i="34"/>
  <c r="AC35" i="34"/>
  <c r="U12" i="34"/>
  <c r="AB12" i="34"/>
  <c r="AB28" i="33"/>
  <c r="W46" i="33"/>
  <c r="U39" i="33"/>
  <c r="U38" i="33"/>
  <c r="S33" i="33"/>
  <c r="AB34" i="33"/>
  <c r="U44" i="33"/>
  <c r="AB44" i="33"/>
  <c r="AA30" i="33"/>
  <c r="AC14" i="33"/>
  <c r="W14" i="33"/>
  <c r="W30" i="33"/>
  <c r="S31" i="33"/>
  <c r="AA31" i="33"/>
  <c r="W13" i="33"/>
  <c r="AC13" i="33"/>
  <c r="S11" i="33"/>
  <c r="U37" i="33"/>
  <c r="AC28" i="33"/>
  <c r="S28" i="33"/>
  <c r="W9" i="33"/>
  <c r="W8" i="33"/>
  <c r="S44" i="21"/>
  <c r="AB42" i="21"/>
  <c r="U28" i="21"/>
  <c r="AA11" i="21"/>
  <c r="I101" i="21"/>
  <c r="J101" i="21" s="1"/>
  <c r="K101" i="21" s="1"/>
  <c r="L101" i="21" s="1"/>
  <c r="M101" i="21" s="1"/>
  <c r="F33" i="21"/>
  <c r="S33" i="21" s="1"/>
  <c r="J33" i="21"/>
  <c r="W33" i="21" s="1"/>
  <c r="H33" i="21"/>
  <c r="AB33" i="21"/>
  <c r="F37" i="21"/>
  <c r="AA37" i="21" s="1"/>
  <c r="AA26" i="21"/>
  <c r="AB46" i="21"/>
  <c r="U40" i="21"/>
  <c r="AC15" i="21"/>
  <c r="U13" i="21"/>
  <c r="W8" i="21"/>
  <c r="S35" i="21"/>
  <c r="AB37" i="21"/>
  <c r="J37" i="21"/>
  <c r="W37" i="21"/>
  <c r="H15" i="21"/>
  <c r="U15" i="21"/>
  <c r="J17" i="21"/>
  <c r="AC17" i="21"/>
  <c r="AC19" i="21"/>
  <c r="W39" i="21"/>
  <c r="AC14" i="21"/>
  <c r="W30" i="21"/>
  <c r="S46" i="21"/>
  <c r="H45" i="21"/>
  <c r="U45" i="21" s="1"/>
  <c r="F29" i="21"/>
  <c r="S29" i="21" s="1"/>
  <c r="F13" i="21"/>
  <c r="AC38" i="21"/>
  <c r="H32" i="21"/>
  <c r="AB32" i="21" s="1"/>
  <c r="H9" i="21"/>
  <c r="J9" i="21"/>
  <c r="J32" i="21"/>
  <c r="W32" i="21" s="1"/>
  <c r="F32" i="21"/>
  <c r="AA32" i="21" s="1"/>
  <c r="W29" i="21"/>
  <c r="S19" i="21"/>
  <c r="S9" i="21"/>
  <c r="K141" i="21"/>
  <c r="K144" i="21"/>
  <c r="K143" i="21"/>
  <c r="AB25" i="21"/>
  <c r="AB44" i="21"/>
  <c r="AA30" i="21"/>
  <c r="W13" i="21"/>
  <c r="W42" i="21"/>
  <c r="F10" i="21"/>
  <c r="K145" i="21"/>
  <c r="W17" i="21"/>
  <c r="W25" i="21"/>
  <c r="S27" i="21"/>
  <c r="S17" i="21"/>
  <c r="AC26" i="21"/>
  <c r="AB29" i="21"/>
  <c r="S28" i="21"/>
  <c r="AC34" i="21"/>
  <c r="W12" i="21"/>
  <c r="AB36" i="21"/>
  <c r="C19" i="39"/>
  <c r="C15" i="40"/>
  <c r="C17" i="40"/>
  <c r="C23" i="40"/>
  <c r="C21" i="40"/>
  <c r="U30" i="40"/>
  <c r="B54" i="43"/>
  <c r="B65" i="43"/>
  <c r="B49" i="43"/>
  <c r="B52" i="43"/>
  <c r="B56" i="43"/>
  <c r="B60" i="43"/>
  <c r="B63" i="43"/>
  <c r="B67" i="43"/>
  <c r="E4" i="4"/>
  <c r="B5" i="62" s="1"/>
  <c r="B73" i="72" s="1"/>
  <c r="C4" i="4"/>
  <c r="AA39" i="40"/>
  <c r="S39" i="40"/>
  <c r="S12" i="33"/>
  <c r="J32" i="39"/>
  <c r="AC32" i="39" s="1"/>
  <c r="H32" i="39"/>
  <c r="AB32" i="39" s="1"/>
  <c r="S32" i="39"/>
  <c r="U9" i="35"/>
  <c r="AB9" i="35"/>
  <c r="AA9" i="35"/>
  <c r="S9" i="35"/>
  <c r="AC17" i="37"/>
  <c r="S17" i="37"/>
  <c r="J19" i="37"/>
  <c r="W19" i="37" s="1"/>
  <c r="S19" i="37"/>
  <c r="AA19" i="37"/>
  <c r="J23" i="37"/>
  <c r="J10" i="37"/>
  <c r="I60" i="37"/>
  <c r="H11" i="37"/>
  <c r="AB11" i="37" s="1"/>
  <c r="AB10" i="37"/>
  <c r="U10" i="37"/>
  <c r="H11" i="34"/>
  <c r="AB11" i="34" s="1"/>
  <c r="AB10" i="34"/>
  <c r="J10" i="34"/>
  <c r="AC10" i="34" s="1"/>
  <c r="AB41" i="33"/>
  <c r="U41" i="33"/>
  <c r="W35" i="33"/>
  <c r="AC35" i="33"/>
  <c r="AC32" i="33"/>
  <c r="W32" i="33"/>
  <c r="U27" i="33"/>
  <c r="J27" i="33"/>
  <c r="AC27" i="33" s="1"/>
  <c r="AB25" i="33"/>
  <c r="G87" i="33"/>
  <c r="H87" i="33"/>
  <c r="I87" i="33" s="1"/>
  <c r="J87" i="33" s="1"/>
  <c r="K87" i="33" s="1"/>
  <c r="L87" i="33" s="1"/>
  <c r="M87" i="33" s="1"/>
  <c r="J25" i="33"/>
  <c r="W25" i="33" s="1"/>
  <c r="F23" i="33"/>
  <c r="AA23" i="33" s="1"/>
  <c r="H17" i="33"/>
  <c r="U17" i="33" s="1"/>
  <c r="F17" i="33"/>
  <c r="AA17" i="33" s="1"/>
  <c r="U10" i="33"/>
  <c r="AC10" i="33"/>
  <c r="W10" i="33"/>
  <c r="AC37" i="21"/>
  <c r="U33" i="21"/>
  <c r="AA23" i="21"/>
  <c r="AB15" i="21"/>
  <c r="J23" i="21"/>
  <c r="H23" i="21"/>
  <c r="U23" i="21" s="1"/>
  <c r="AP7" i="1"/>
  <c r="AB45" i="21"/>
  <c r="AC33" i="21"/>
  <c r="AA33" i="21"/>
  <c r="AB9" i="21"/>
  <c r="U9" i="21"/>
  <c r="W9" i="21"/>
  <c r="AC9" i="21"/>
  <c r="AA10" i="21"/>
  <c r="S10" i="21"/>
  <c r="W32" i="39"/>
  <c r="W23" i="37"/>
  <c r="AC23" i="37"/>
  <c r="H63" i="37"/>
  <c r="I63" i="37"/>
  <c r="J63" i="37" s="1"/>
  <c r="K63" i="37" s="1"/>
  <c r="L63" i="37" s="1"/>
  <c r="M63" i="37" s="1"/>
  <c r="J11" i="37"/>
  <c r="W11" i="37" s="1"/>
  <c r="W10" i="37"/>
  <c r="AC10" i="37"/>
  <c r="U11" i="34"/>
  <c r="H70" i="34"/>
  <c r="I70" i="34" s="1"/>
  <c r="J70" i="34" s="1"/>
  <c r="K70" i="34" s="1"/>
  <c r="L70" i="34" s="1"/>
  <c r="M70" i="34" s="1"/>
  <c r="J11" i="34"/>
  <c r="W11" i="34" s="1"/>
  <c r="W27" i="33"/>
  <c r="AC25" i="33"/>
  <c r="S17" i="33"/>
  <c r="AC23" i="21"/>
  <c r="W23" i="21"/>
  <c r="AC11" i="37"/>
  <c r="F34" i="11"/>
  <c r="F11" i="12"/>
  <c r="F34" i="68"/>
  <c r="AG6" i="1"/>
  <c r="H109" i="9"/>
  <c r="H110" i="9" s="1"/>
  <c r="D18" i="53" s="1"/>
  <c r="B35" i="72" s="1"/>
  <c r="H112" i="9"/>
  <c r="D21" i="53"/>
  <c r="B39" i="72" s="1"/>
  <c r="H111" i="9"/>
  <c r="D126" i="9" s="1"/>
  <c r="D59" i="9"/>
  <c r="M55" i="9" s="1"/>
  <c r="AD3" i="71"/>
  <c r="J1" i="73"/>
  <c r="H77" i="43"/>
  <c r="H76" i="43"/>
  <c r="M4" i="43"/>
  <c r="M5" i="43"/>
  <c r="N12" i="43"/>
  <c r="N11" i="43"/>
  <c r="M10" i="43"/>
  <c r="M2" i="43"/>
  <c r="M7" i="43"/>
  <c r="H70" i="43"/>
  <c r="N9" i="43"/>
  <c r="F59" i="43" s="1"/>
  <c r="M8" i="43"/>
  <c r="N10" i="43"/>
  <c r="H74" i="43"/>
  <c r="M6" i="43"/>
  <c r="N7" i="43"/>
  <c r="N4" i="43"/>
  <c r="N2" i="43"/>
  <c r="N17" i="43"/>
  <c r="L17" i="43"/>
  <c r="O17" i="43"/>
  <c r="M17" i="43"/>
  <c r="E17" i="43"/>
  <c r="C12" i="71"/>
  <c r="D12" i="71" s="1"/>
  <c r="D13" i="71"/>
  <c r="D14" i="71"/>
  <c r="U14" i="71" s="1"/>
  <c r="S14" i="71"/>
  <c r="T14" i="71"/>
  <c r="AB12" i="71"/>
  <c r="X10" i="71"/>
  <c r="AA10" i="71"/>
  <c r="AA9" i="71"/>
  <c r="X13" i="71"/>
  <c r="Z8" i="71"/>
  <c r="Y9" i="71"/>
  <c r="Z9" i="71" s="1"/>
  <c r="AB10" i="71"/>
  <c r="AB9" i="71"/>
  <c r="S10" i="71"/>
  <c r="F11" i="71"/>
  <c r="F10" i="71"/>
  <c r="F9" i="71" s="1"/>
  <c r="F8" i="71" s="1"/>
  <c r="F7" i="71" s="1"/>
  <c r="Y10" i="71"/>
  <c r="Z10" i="71" s="1"/>
  <c r="C11" i="71"/>
  <c r="C10" i="71"/>
  <c r="C9" i="71" s="1"/>
  <c r="C8" i="71" s="1"/>
  <c r="D8" i="71" s="1"/>
  <c r="D11" i="71"/>
  <c r="D10" i="71"/>
  <c r="U10" i="71" s="1"/>
  <c r="C76" i="67"/>
  <c r="F20" i="31"/>
  <c r="D2" i="35"/>
  <c r="D6" i="73"/>
  <c r="F5" i="73"/>
  <c r="F8" i="67"/>
  <c r="AO12" i="1"/>
  <c r="F9" i="67"/>
  <c r="AO13" i="1"/>
  <c r="M8" i="67"/>
  <c r="D2" i="33"/>
  <c r="F37" i="67"/>
  <c r="B10" i="76"/>
  <c r="E13" i="76"/>
  <c r="M24" i="67"/>
  <c r="M26" i="67"/>
  <c r="F7" i="67"/>
  <c r="B11" i="76"/>
  <c r="M9" i="67"/>
  <c r="E2" i="69"/>
  <c r="F36" i="67"/>
  <c r="M21" i="67"/>
  <c r="E2" i="68"/>
  <c r="M22" i="67"/>
  <c r="J15" i="67"/>
  <c r="F3" i="73"/>
  <c r="D2" i="36"/>
  <c r="B9" i="76"/>
  <c r="B13" i="76"/>
  <c r="F7" i="73"/>
  <c r="E9" i="76"/>
  <c r="E12" i="76"/>
  <c r="M6" i="67"/>
  <c r="D2" i="21"/>
  <c r="L48" i="67"/>
  <c r="M27" i="67"/>
  <c r="D4" i="73"/>
  <c r="F6" i="67"/>
  <c r="D2" i="34"/>
  <c r="F6" i="73"/>
  <c r="B8" i="76"/>
  <c r="L47" i="67"/>
  <c r="AO11" i="1"/>
  <c r="B12" i="76"/>
  <c r="E11" i="76"/>
  <c r="F40" i="67"/>
  <c r="F41" i="67"/>
  <c r="F4" i="73"/>
  <c r="F35" i="67"/>
  <c r="D2" i="37"/>
  <c r="D34" i="9"/>
  <c r="E8" i="76"/>
  <c r="E10" i="76"/>
  <c r="D35" i="9"/>
  <c r="F38" i="67"/>
  <c r="F42" i="67"/>
  <c r="AB40" i="34" l="1"/>
  <c r="C21" i="68"/>
  <c r="W31" i="21"/>
  <c r="AC31" i="21"/>
  <c r="AZ544" i="3"/>
  <c r="D68" i="39"/>
  <c r="C70" i="39"/>
  <c r="AZ533" i="3"/>
  <c r="AZ549" i="3"/>
  <c r="AZ565" i="3"/>
  <c r="AZ552" i="3"/>
  <c r="W13" i="40"/>
  <c r="AC13" i="40"/>
  <c r="AB27" i="21"/>
  <c r="U27" i="21"/>
  <c r="J32" i="36"/>
  <c r="F32" i="36"/>
  <c r="H32" i="36"/>
  <c r="BL542" i="3"/>
  <c r="AZ542" i="3" s="1"/>
  <c r="BI5" i="3"/>
  <c r="BO5" i="3"/>
  <c r="BS5" i="3"/>
  <c r="F28" i="6" s="1"/>
  <c r="BA34" i="3"/>
  <c r="AZ34" i="3" s="1"/>
  <c r="BC5" i="3"/>
  <c r="BK5" i="3"/>
  <c r="E10" i="6" s="1"/>
  <c r="BD5" i="3"/>
  <c r="BH5" i="3"/>
  <c r="BP5" i="3"/>
  <c r="G90" i="3"/>
  <c r="AC5" i="3"/>
  <c r="C42" i="71"/>
  <c r="D41" i="71"/>
  <c r="C53" i="71"/>
  <c r="D52" i="71"/>
  <c r="AI12" i="43"/>
  <c r="AI10" i="43"/>
  <c r="X7" i="71"/>
  <c r="X8" i="71"/>
  <c r="B9" i="71"/>
  <c r="B8" i="71" s="1"/>
  <c r="B7" i="71" s="1"/>
  <c r="AA8" i="71"/>
  <c r="AA7" i="71"/>
  <c r="AA3" i="71"/>
  <c r="C6" i="71"/>
  <c r="D7" i="71"/>
  <c r="AB14" i="21"/>
  <c r="AA31" i="37"/>
  <c r="W34" i="39"/>
  <c r="AC15" i="39"/>
  <c r="U35" i="40"/>
  <c r="F53" i="9"/>
  <c r="F54" i="86"/>
  <c r="D68" i="86"/>
  <c r="F53" i="86"/>
  <c r="F52" i="86"/>
  <c r="F28" i="85"/>
  <c r="C28" i="85" s="1"/>
  <c r="F32" i="85"/>
  <c r="F60" i="85" s="1"/>
  <c r="M18" i="85"/>
  <c r="F28" i="81"/>
  <c r="M18" i="81"/>
  <c r="F32" i="80"/>
  <c r="F60" i="80" s="1"/>
  <c r="M18" i="80"/>
  <c r="F32" i="82"/>
  <c r="F60" i="82" s="1"/>
  <c r="M18" i="82"/>
  <c r="F28" i="78"/>
  <c r="F32" i="81"/>
  <c r="F60" i="81" s="1"/>
  <c r="F28" i="80"/>
  <c r="F28" i="82"/>
  <c r="F32" i="78"/>
  <c r="F60" i="78" s="1"/>
  <c r="M18" i="78"/>
  <c r="AZ17" i="3"/>
  <c r="AZ311" i="3"/>
  <c r="W35" i="40"/>
  <c r="AB21" i="40"/>
  <c r="U21" i="40"/>
  <c r="AZ583" i="3"/>
  <c r="AZ504" i="3"/>
  <c r="AB17" i="21"/>
  <c r="U17" i="21"/>
  <c r="AC13" i="36"/>
  <c r="AC46" i="21"/>
  <c r="W46" i="21"/>
  <c r="S34" i="36"/>
  <c r="AA34" i="36"/>
  <c r="AC9" i="40"/>
  <c r="J24" i="36"/>
  <c r="H24" i="36"/>
  <c r="F24" i="36"/>
  <c r="U14" i="40"/>
  <c r="AB14" i="40"/>
  <c r="S40" i="33"/>
  <c r="AA40" i="33"/>
  <c r="U42" i="34"/>
  <c r="AB42" i="34"/>
  <c r="J26" i="35"/>
  <c r="H26" i="35"/>
  <c r="G550" i="3"/>
  <c r="BL525" i="3"/>
  <c r="BA525" i="3"/>
  <c r="BA524" i="3"/>
  <c r="AZ524" i="3" s="1"/>
  <c r="BL523" i="3"/>
  <c r="BL522" i="3"/>
  <c r="BL521" i="3"/>
  <c r="BA521" i="3"/>
  <c r="BL519" i="3"/>
  <c r="BA519" i="3"/>
  <c r="BL516" i="3"/>
  <c r="BL515" i="3"/>
  <c r="AZ515" i="3" s="1"/>
  <c r="BL514" i="3"/>
  <c r="AZ514" i="3" s="1"/>
  <c r="BA511" i="3"/>
  <c r="AZ511" i="3" s="1"/>
  <c r="BL510" i="3"/>
  <c r="BA510" i="3"/>
  <c r="BA507" i="3"/>
  <c r="AZ507" i="3" s="1"/>
  <c r="BL505" i="3"/>
  <c r="BL504" i="3"/>
  <c r="BA502" i="3"/>
  <c r="AZ502" i="3" s="1"/>
  <c r="BA500" i="3"/>
  <c r="AZ500" i="3" s="1"/>
  <c r="BA499" i="3"/>
  <c r="AZ499" i="3" s="1"/>
  <c r="BL498" i="3"/>
  <c r="AZ498" i="3" s="1"/>
  <c r="BL497" i="3"/>
  <c r="BA497" i="3"/>
  <c r="AZ497" i="3" s="1"/>
  <c r="BA496" i="3"/>
  <c r="AZ496" i="3" s="1"/>
  <c r="AA30" i="40"/>
  <c r="S30" i="40"/>
  <c r="AZ147" i="3"/>
  <c r="AA14" i="40"/>
  <c r="S14" i="40"/>
  <c r="S15" i="40"/>
  <c r="AA15" i="40"/>
  <c r="AB12" i="21"/>
  <c r="U12" i="21"/>
  <c r="BL548" i="3"/>
  <c r="BA548" i="3"/>
  <c r="AZ548" i="3" s="1"/>
  <c r="BA543" i="3"/>
  <c r="AZ543" i="3" s="1"/>
  <c r="BR5" i="3"/>
  <c r="G28" i="6" s="1"/>
  <c r="D9" i="71"/>
  <c r="AA38" i="21"/>
  <c r="AB44" i="34"/>
  <c r="U44" i="34"/>
  <c r="T10" i="71"/>
  <c r="X3" i="71"/>
  <c r="X9" i="71"/>
  <c r="D124" i="9"/>
  <c r="AB23" i="21"/>
  <c r="U11" i="37"/>
  <c r="AC19" i="37"/>
  <c r="U32" i="39"/>
  <c r="U32" i="21"/>
  <c r="S32" i="21"/>
  <c r="AC32" i="21"/>
  <c r="D121" i="9"/>
  <c r="D7" i="52" s="1"/>
  <c r="S37" i="21"/>
  <c r="AA25" i="33"/>
  <c r="W10" i="21"/>
  <c r="AA29" i="21"/>
  <c r="AA13" i="21"/>
  <c r="S13" i="21"/>
  <c r="AA11" i="34"/>
  <c r="AA11" i="37"/>
  <c r="AC20" i="36"/>
  <c r="AB8" i="21"/>
  <c r="S39" i="21"/>
  <c r="U14" i="39"/>
  <c r="AC39" i="39"/>
  <c r="W39" i="39"/>
  <c r="BN5" i="3"/>
  <c r="G29" i="6" s="1"/>
  <c r="BM5" i="3"/>
  <c r="AZ322" i="3"/>
  <c r="AZ325" i="3"/>
  <c r="S21" i="40"/>
  <c r="AZ501" i="3"/>
  <c r="AZ527" i="3"/>
  <c r="AZ520" i="3"/>
  <c r="AZ574" i="3"/>
  <c r="W13" i="39"/>
  <c r="AA28" i="37"/>
  <c r="S28" i="37"/>
  <c r="AC31" i="34"/>
  <c r="W31" i="34"/>
  <c r="S44" i="33"/>
  <c r="AC37" i="37"/>
  <c r="AC11" i="36"/>
  <c r="W11" i="36"/>
  <c r="S29" i="35"/>
  <c r="AC33" i="37"/>
  <c r="W20" i="35"/>
  <c r="AC20" i="35"/>
  <c r="AC29" i="35"/>
  <c r="W29" i="35"/>
  <c r="U16" i="35"/>
  <c r="AA26" i="33"/>
  <c r="S26" i="33"/>
  <c r="W33" i="36"/>
  <c r="AA31" i="36"/>
  <c r="S39" i="37"/>
  <c r="BA585" i="3"/>
  <c r="AZ585" i="3" s="1"/>
  <c r="W27" i="21"/>
  <c r="AC27" i="21"/>
  <c r="J45" i="21"/>
  <c r="F45" i="21"/>
  <c r="AC39" i="33"/>
  <c r="W39" i="33"/>
  <c r="AA10" i="34"/>
  <c r="S10" i="34"/>
  <c r="AC24" i="35"/>
  <c r="W24" i="35"/>
  <c r="H13" i="39"/>
  <c r="F13" i="39"/>
  <c r="J31" i="40"/>
  <c r="F31" i="40"/>
  <c r="H31" i="40"/>
  <c r="BA569" i="3"/>
  <c r="AZ569" i="3" s="1"/>
  <c r="BA568" i="3"/>
  <c r="BL567" i="3"/>
  <c r="BL566" i="3"/>
  <c r="BA566" i="3"/>
  <c r="BL564" i="3"/>
  <c r="BL563" i="3"/>
  <c r="AZ563" i="3" s="1"/>
  <c r="BL562" i="3"/>
  <c r="BA562" i="3"/>
  <c r="BA561" i="3"/>
  <c r="AZ561" i="3" s="1"/>
  <c r="BA560" i="3"/>
  <c r="AZ560" i="3" s="1"/>
  <c r="BA559" i="3"/>
  <c r="AZ559" i="3" s="1"/>
  <c r="S47" i="34"/>
  <c r="AA47" i="34"/>
  <c r="W28" i="21"/>
  <c r="AC28" i="21"/>
  <c r="W36" i="34"/>
  <c r="AC36" i="34"/>
  <c r="AA22" i="35"/>
  <c r="S22" i="35"/>
  <c r="H31" i="21"/>
  <c r="F31" i="21"/>
  <c r="J28" i="34"/>
  <c r="H28" i="34"/>
  <c r="E124" i="39"/>
  <c r="F124" i="39" s="1"/>
  <c r="G124" i="39" s="1"/>
  <c r="H124" i="39" s="1"/>
  <c r="I124" i="39" s="1"/>
  <c r="J124" i="39" s="1"/>
  <c r="K124" i="39" s="1"/>
  <c r="L124" i="39" s="1"/>
  <c r="M124" i="39" s="1"/>
  <c r="F41" i="39"/>
  <c r="S41" i="39" s="1"/>
  <c r="AA38" i="40"/>
  <c r="S38" i="40"/>
  <c r="BA547" i="3"/>
  <c r="AZ547" i="3" s="1"/>
  <c r="BA546" i="3"/>
  <c r="AZ546" i="3" s="1"/>
  <c r="BA465" i="3"/>
  <c r="AZ465" i="3" s="1"/>
  <c r="BL246" i="3"/>
  <c r="D16" i="53"/>
  <c r="AC11" i="34"/>
  <c r="AA23" i="37"/>
  <c r="C23" i="12"/>
  <c r="D6" i="52"/>
  <c r="AA15" i="21"/>
  <c r="S35" i="35"/>
  <c r="U43" i="39"/>
  <c r="H84" i="43"/>
  <c r="S39" i="33"/>
  <c r="U9" i="37"/>
  <c r="AC27" i="36"/>
  <c r="AA32" i="37"/>
  <c r="S32" i="37"/>
  <c r="U27" i="36"/>
  <c r="W37" i="33"/>
  <c r="BE5" i="3"/>
  <c r="AZ389" i="3"/>
  <c r="AZ155" i="3"/>
  <c r="S25" i="21"/>
  <c r="AA25" i="21"/>
  <c r="AZ505" i="3"/>
  <c r="AZ529" i="3"/>
  <c r="AZ577" i="3"/>
  <c r="S12" i="40"/>
  <c r="AA12" i="40"/>
  <c r="S38" i="37"/>
  <c r="AA38" i="37"/>
  <c r="U28" i="37"/>
  <c r="AA28" i="36"/>
  <c r="S28" i="36"/>
  <c r="AB10" i="36"/>
  <c r="AC11" i="33"/>
  <c r="W11" i="33"/>
  <c r="S25" i="34"/>
  <c r="AA28" i="34"/>
  <c r="U34" i="21"/>
  <c r="AB40" i="39"/>
  <c r="U40" i="39"/>
  <c r="U38" i="21"/>
  <c r="BA587" i="3"/>
  <c r="AZ587" i="3" s="1"/>
  <c r="H12" i="37"/>
  <c r="F12" i="37"/>
  <c r="H44" i="39"/>
  <c r="J44" i="39"/>
  <c r="F44" i="39"/>
  <c r="AA34" i="40"/>
  <c r="S34" i="40"/>
  <c r="AA40" i="40"/>
  <c r="S40" i="40"/>
  <c r="J32" i="40"/>
  <c r="F32" i="40"/>
  <c r="AZ378" i="3"/>
  <c r="S13" i="35"/>
  <c r="AA13" i="35"/>
  <c r="U30" i="21"/>
  <c r="AB30" i="21"/>
  <c r="AB11" i="33"/>
  <c r="U11" i="33"/>
  <c r="AC16" i="35"/>
  <c r="W16" i="35"/>
  <c r="S12" i="21"/>
  <c r="AA12" i="21"/>
  <c r="E77" i="33"/>
  <c r="J15" i="33"/>
  <c r="AC15" i="33" s="1"/>
  <c r="AB31" i="36"/>
  <c r="U31" i="36"/>
  <c r="H45" i="39"/>
  <c r="F45" i="39"/>
  <c r="AA30" i="36"/>
  <c r="S30" i="36"/>
  <c r="BA581" i="3"/>
  <c r="AZ581" i="3" s="1"/>
  <c r="BA580" i="3"/>
  <c r="AZ580" i="3" s="1"/>
  <c r="BL579" i="3"/>
  <c r="AZ579" i="3" s="1"/>
  <c r="BA572" i="3"/>
  <c r="AZ572" i="3" s="1"/>
  <c r="BL571" i="3"/>
  <c r="AZ571" i="3" s="1"/>
  <c r="BL570" i="3"/>
  <c r="AZ570" i="3" s="1"/>
  <c r="BA550" i="3"/>
  <c r="AZ550" i="3" s="1"/>
  <c r="BL541" i="3"/>
  <c r="AZ541" i="3" s="1"/>
  <c r="BA539" i="3"/>
  <c r="AZ539" i="3" s="1"/>
  <c r="BL533" i="3"/>
  <c r="BA531" i="3"/>
  <c r="AZ531" i="3" s="1"/>
  <c r="BL530" i="3"/>
  <c r="AZ530" i="3" s="1"/>
  <c r="BA526" i="3"/>
  <c r="AZ526" i="3" s="1"/>
  <c r="G526" i="3"/>
  <c r="BA523" i="3"/>
  <c r="BA522" i="3"/>
  <c r="AZ522" i="3" s="1"/>
  <c r="G521" i="3"/>
  <c r="BA516" i="3"/>
  <c r="AZ516" i="3" s="1"/>
  <c r="BL513" i="3"/>
  <c r="BA513" i="3"/>
  <c r="AZ513" i="3" s="1"/>
  <c r="G513" i="3"/>
  <c r="BL512" i="3"/>
  <c r="AZ512" i="3" s="1"/>
  <c r="BL509" i="3"/>
  <c r="AZ509" i="3" s="1"/>
  <c r="BA506" i="3"/>
  <c r="AZ506" i="3" s="1"/>
  <c r="BA503" i="3"/>
  <c r="AZ503" i="3" s="1"/>
  <c r="BL501" i="3"/>
  <c r="BA495" i="3"/>
  <c r="AZ495" i="3" s="1"/>
  <c r="BL494" i="3"/>
  <c r="BA494" i="3"/>
  <c r="C58" i="33"/>
  <c r="D58" i="33" s="1"/>
  <c r="E58" i="33" s="1"/>
  <c r="F58" i="33" s="1"/>
  <c r="G58" i="33" s="1"/>
  <c r="H58" i="33" s="1"/>
  <c r="I58" i="33" s="1"/>
  <c r="J58" i="33" s="1"/>
  <c r="K58" i="33" s="1"/>
  <c r="L58" i="33" s="1"/>
  <c r="M58" i="33" s="1"/>
  <c r="N58" i="33" s="1"/>
  <c r="O58" i="33" s="1"/>
  <c r="I7" i="33"/>
  <c r="G7" i="33"/>
  <c r="H7" i="33" s="1"/>
  <c r="AB7" i="33" s="1"/>
  <c r="E7" i="33"/>
  <c r="AB15" i="39"/>
  <c r="I7" i="34"/>
  <c r="G7" i="34"/>
  <c r="E7" i="34"/>
  <c r="W14" i="37"/>
  <c r="AZ536" i="3"/>
  <c r="AZ556" i="3"/>
  <c r="BL586" i="3"/>
  <c r="AZ586" i="3" s="1"/>
  <c r="W12" i="34"/>
  <c r="AC12" i="34"/>
  <c r="E82" i="34"/>
  <c r="H19" i="34" s="1"/>
  <c r="J19" i="34"/>
  <c r="H45" i="33"/>
  <c r="F45" i="33"/>
  <c r="AB14" i="37"/>
  <c r="U14" i="37"/>
  <c r="J38" i="40"/>
  <c r="W31" i="35"/>
  <c r="AC31" i="35"/>
  <c r="BL584" i="3"/>
  <c r="AZ584" i="3" s="1"/>
  <c r="BA576" i="3"/>
  <c r="AZ576" i="3" s="1"/>
  <c r="BA575" i="3"/>
  <c r="AZ575" i="3" s="1"/>
  <c r="BL568" i="3"/>
  <c r="BA567" i="3"/>
  <c r="AZ567" i="3" s="1"/>
  <c r="BA564" i="3"/>
  <c r="AZ564" i="3" s="1"/>
  <c r="BA557" i="3"/>
  <c r="AZ557" i="3" s="1"/>
  <c r="BL552" i="3"/>
  <c r="BL551" i="3"/>
  <c r="AZ551" i="3" s="1"/>
  <c r="B71" i="84"/>
  <c r="B49" i="84"/>
  <c r="B60" i="84"/>
  <c r="B65" i="84"/>
  <c r="B74" i="84"/>
  <c r="B54" i="84"/>
  <c r="J26" i="37"/>
  <c r="F26" i="37"/>
  <c r="H40" i="40"/>
  <c r="J40" i="40"/>
  <c r="B56" i="84"/>
  <c r="B67" i="84"/>
  <c r="B77" i="84"/>
  <c r="B73" i="84"/>
  <c r="B63" i="84"/>
  <c r="B52" i="84"/>
  <c r="G578" i="3"/>
  <c r="AZ403" i="3"/>
  <c r="AZ409" i="3"/>
  <c r="AZ411" i="3"/>
  <c r="AZ423" i="3"/>
  <c r="AZ425" i="3"/>
  <c r="AZ429" i="3"/>
  <c r="AZ430" i="3"/>
  <c r="AZ432" i="3"/>
  <c r="AZ434" i="3"/>
  <c r="AZ461" i="3"/>
  <c r="AZ468" i="3"/>
  <c r="AZ479" i="3"/>
  <c r="AZ480" i="3"/>
  <c r="AZ482" i="3"/>
  <c r="AZ210" i="3"/>
  <c r="AZ211" i="3"/>
  <c r="AZ216" i="3"/>
  <c r="AZ219" i="3"/>
  <c r="AZ221" i="3"/>
  <c r="AZ230" i="3"/>
  <c r="AZ236" i="3"/>
  <c r="AZ244" i="3"/>
  <c r="AZ262" i="3"/>
  <c r="AZ201" i="3"/>
  <c r="AZ52" i="3"/>
  <c r="AZ68" i="3"/>
  <c r="D61" i="71"/>
  <c r="C60" i="71"/>
  <c r="D60" i="71" s="1"/>
  <c r="AZ422" i="3"/>
  <c r="AZ450" i="3"/>
  <c r="AZ126" i="3"/>
  <c r="BF5" i="3"/>
  <c r="BB5" i="3"/>
  <c r="BL15" i="3"/>
  <c r="AZ404" i="3"/>
  <c r="AZ414" i="3"/>
  <c r="AZ435" i="3"/>
  <c r="AZ436" i="3"/>
  <c r="AZ438" i="3"/>
  <c r="AZ439" i="3"/>
  <c r="AZ440" i="3"/>
  <c r="AZ442" i="3"/>
  <c r="AZ445" i="3"/>
  <c r="AZ455" i="3"/>
  <c r="AZ472" i="3"/>
  <c r="AZ474" i="3"/>
  <c r="AZ481" i="3"/>
  <c r="AZ488" i="3"/>
  <c r="AZ492" i="3"/>
  <c r="AZ395" i="3"/>
  <c r="AZ226" i="3"/>
  <c r="AZ247" i="3"/>
  <c r="AZ264" i="3"/>
  <c r="AZ276" i="3"/>
  <c r="AZ285" i="3"/>
  <c r="AZ27" i="3"/>
  <c r="AZ44" i="3"/>
  <c r="AZ60" i="3"/>
  <c r="K10" i="1"/>
  <c r="M10" i="1" s="1"/>
  <c r="O10" i="1" s="1"/>
  <c r="P10" i="1" s="1"/>
  <c r="D78" i="86"/>
  <c r="D93" i="86"/>
  <c r="F9" i="1"/>
  <c r="F10" i="1"/>
  <c r="G10" i="1" s="1"/>
  <c r="AZ255" i="3"/>
  <c r="AZ270" i="3"/>
  <c r="AZ294" i="3"/>
  <c r="AZ207" i="3"/>
  <c r="AZ81" i="3"/>
  <c r="U62" i="71"/>
  <c r="E61" i="71"/>
  <c r="E60" i="71" s="1"/>
  <c r="T66" i="71"/>
  <c r="C65" i="71"/>
  <c r="D66" i="71"/>
  <c r="X14" i="71"/>
  <c r="X12" i="71"/>
  <c r="AB7" i="71"/>
  <c r="M20" i="85"/>
  <c r="F34" i="85"/>
  <c r="F62" i="85" s="1"/>
  <c r="F34" i="81"/>
  <c r="F62" i="81" s="1"/>
  <c r="M20" i="78"/>
  <c r="M20" i="80"/>
  <c r="M20" i="82"/>
  <c r="F34" i="80"/>
  <c r="F62" i="80" s="1"/>
  <c r="F34" i="82"/>
  <c r="F62" i="82" s="1"/>
  <c r="M20" i="81"/>
  <c r="F34" i="78"/>
  <c r="F62" i="78" s="1"/>
  <c r="A15" i="62"/>
  <c r="B61" i="72" s="1"/>
  <c r="BA258" i="3"/>
  <c r="AZ258" i="3" s="1"/>
  <c r="BA263" i="3"/>
  <c r="AZ263" i="3" s="1"/>
  <c r="BA279" i="3"/>
  <c r="AZ279" i="3" s="1"/>
  <c r="BL283" i="3"/>
  <c r="AZ283" i="3" s="1"/>
  <c r="BL288" i="3"/>
  <c r="AZ288" i="3" s="1"/>
  <c r="BA292" i="3"/>
  <c r="AZ292" i="3" s="1"/>
  <c r="BA295" i="3"/>
  <c r="AZ295" i="3" s="1"/>
  <c r="AZ300" i="3"/>
  <c r="AZ121" i="3"/>
  <c r="AZ161" i="3"/>
  <c r="AZ169" i="3"/>
  <c r="AZ18" i="3"/>
  <c r="AZ36" i="3"/>
  <c r="AZ38" i="3"/>
  <c r="AZ40" i="3"/>
  <c r="AZ48" i="3"/>
  <c r="AZ54" i="3"/>
  <c r="AZ56" i="3"/>
  <c r="AZ64" i="3"/>
  <c r="AZ70" i="3"/>
  <c r="K108" i="43"/>
  <c r="K100" i="43"/>
  <c r="G108" i="43"/>
  <c r="G100" i="43"/>
  <c r="S21" i="21"/>
  <c r="AA21" i="21"/>
  <c r="P27" i="6"/>
  <c r="C5" i="11"/>
  <c r="B13" i="53"/>
  <c r="B29" i="72" s="1"/>
  <c r="BA246" i="3"/>
  <c r="BA253" i="3"/>
  <c r="AZ253" i="3" s="1"/>
  <c r="BL257" i="3"/>
  <c r="AZ257" i="3" s="1"/>
  <c r="BL260" i="3"/>
  <c r="AZ260" i="3" s="1"/>
  <c r="BA268" i="3"/>
  <c r="AZ268" i="3" s="1"/>
  <c r="BA273" i="3"/>
  <c r="AZ273" i="3" s="1"/>
  <c r="G277" i="3"/>
  <c r="G282" i="3"/>
  <c r="BL286" i="3"/>
  <c r="AZ286" i="3" s="1"/>
  <c r="BL291" i="3"/>
  <c r="AZ291" i="3" s="1"/>
  <c r="BL298" i="3"/>
  <c r="AZ298" i="3" s="1"/>
  <c r="BL300" i="3"/>
  <c r="AZ122" i="3"/>
  <c r="BL125" i="3"/>
  <c r="AZ125" i="3" s="1"/>
  <c r="BL126" i="3"/>
  <c r="BL130" i="3"/>
  <c r="AZ130" i="3" s="1"/>
  <c r="G135" i="3"/>
  <c r="AZ145" i="3"/>
  <c r="BA185" i="3"/>
  <c r="BL203" i="3"/>
  <c r="AZ203" i="3" s="1"/>
  <c r="BA19" i="3"/>
  <c r="AZ19" i="3" s="1"/>
  <c r="AZ23" i="3"/>
  <c r="BA39" i="3"/>
  <c r="AZ39" i="3" s="1"/>
  <c r="AZ76" i="3"/>
  <c r="BL77" i="3"/>
  <c r="AZ77" i="3" s="1"/>
  <c r="BL79" i="3"/>
  <c r="AZ79" i="3" s="1"/>
  <c r="BA87" i="3"/>
  <c r="AZ87" i="3" s="1"/>
  <c r="AZ91" i="3"/>
  <c r="AZ106" i="3"/>
  <c r="BA299" i="3"/>
  <c r="AZ299" i="3" s="1"/>
  <c r="BL114" i="3"/>
  <c r="AZ114" i="3" s="1"/>
  <c r="G120" i="3"/>
  <c r="BL134" i="3"/>
  <c r="AZ134" i="3" s="1"/>
  <c r="BA138" i="3"/>
  <c r="AZ138" i="3" s="1"/>
  <c r="BA141" i="3"/>
  <c r="AZ141" i="3" s="1"/>
  <c r="BL147" i="3"/>
  <c r="G151" i="3"/>
  <c r="BA153" i="3"/>
  <c r="AZ153" i="3" s="1"/>
  <c r="BL157" i="3"/>
  <c r="AZ157" i="3" s="1"/>
  <c r="G160" i="3"/>
  <c r="BA164" i="3"/>
  <c r="AZ164" i="3" s="1"/>
  <c r="BL171" i="3"/>
  <c r="AZ171" i="3" s="1"/>
  <c r="BL174" i="3"/>
  <c r="AZ174" i="3" s="1"/>
  <c r="BA178" i="3"/>
  <c r="AZ178" i="3" s="1"/>
  <c r="BA182" i="3"/>
  <c r="AZ182" i="3" s="1"/>
  <c r="BA184" i="3"/>
  <c r="AZ184" i="3" s="1"/>
  <c r="G186" i="3"/>
  <c r="BL197" i="3"/>
  <c r="BL202" i="3"/>
  <c r="BL20" i="3"/>
  <c r="AZ20" i="3" s="1"/>
  <c r="BL23" i="3"/>
  <c r="BL26" i="3"/>
  <c r="BL28" i="3"/>
  <c r="AZ28" i="3" s="1"/>
  <c r="BL31" i="3"/>
  <c r="G34" i="3"/>
  <c r="BA41" i="3"/>
  <c r="AZ41" i="3" s="1"/>
  <c r="BL43" i="3"/>
  <c r="BL45" i="3"/>
  <c r="AZ45" i="3" s="1"/>
  <c r="G47" i="3"/>
  <c r="BA49" i="3"/>
  <c r="AZ49" i="3" s="1"/>
  <c r="BL51" i="3"/>
  <c r="BL53" i="3"/>
  <c r="AZ53" i="3" s="1"/>
  <c r="G55" i="3"/>
  <c r="BA57" i="3"/>
  <c r="AZ57" i="3" s="1"/>
  <c r="BL59" i="3"/>
  <c r="BL61" i="3"/>
  <c r="AZ61" i="3" s="1"/>
  <c r="G63" i="3"/>
  <c r="BA65" i="3"/>
  <c r="AZ65" i="3" s="1"/>
  <c r="BL67" i="3"/>
  <c r="BL69" i="3"/>
  <c r="AZ69" i="3" s="1"/>
  <c r="G71" i="3"/>
  <c r="BA73" i="3"/>
  <c r="AZ73" i="3" s="1"/>
  <c r="BA78" i="3"/>
  <c r="AZ78" i="3" s="1"/>
  <c r="BA84" i="3"/>
  <c r="AZ84" i="3" s="1"/>
  <c r="BL86" i="3"/>
  <c r="BL88" i="3"/>
  <c r="AZ88" i="3" s="1"/>
  <c r="BL91" i="3"/>
  <c r="G93" i="3"/>
  <c r="BA96" i="3"/>
  <c r="AZ96" i="3" s="1"/>
  <c r="BL101" i="3"/>
  <c r="BL104" i="3"/>
  <c r="BL110" i="3"/>
  <c r="AZ110" i="3" s="1"/>
  <c r="X17" i="71"/>
  <c r="X18" i="71"/>
  <c r="X19" i="71"/>
  <c r="X16" i="71"/>
  <c r="AA21" i="71"/>
  <c r="AA18" i="71"/>
  <c r="AA20" i="71"/>
  <c r="AA15" i="71"/>
  <c r="BL296" i="3"/>
  <c r="AZ296" i="3" s="1"/>
  <c r="BL302" i="3"/>
  <c r="AZ302" i="3" s="1"/>
  <c r="G118" i="3"/>
  <c r="BA128" i="3"/>
  <c r="AZ128" i="3" s="1"/>
  <c r="BL137" i="3"/>
  <c r="AZ137" i="3" s="1"/>
  <c r="G140" i="3"/>
  <c r="BA144" i="3"/>
  <c r="AZ144" i="3" s="1"/>
  <c r="BL150" i="3"/>
  <c r="AZ150" i="3" s="1"/>
  <c r="BL159" i="3"/>
  <c r="AZ159" i="3" s="1"/>
  <c r="BL162" i="3"/>
  <c r="AZ162" i="3" s="1"/>
  <c r="G166" i="3"/>
  <c r="G171" i="3"/>
  <c r="BL177" i="3"/>
  <c r="AZ177" i="3" s="1"/>
  <c r="G180" i="3"/>
  <c r="BL183" i="3"/>
  <c r="AZ183" i="3" s="1"/>
  <c r="BL185" i="3"/>
  <c r="BA190" i="3"/>
  <c r="AZ190" i="3" s="1"/>
  <c r="BA193" i="3"/>
  <c r="AZ193" i="3" s="1"/>
  <c r="BA197" i="3"/>
  <c r="BA202" i="3"/>
  <c r="AZ202" i="3" s="1"/>
  <c r="BA204" i="3"/>
  <c r="AZ204" i="3" s="1"/>
  <c r="BA26" i="3"/>
  <c r="AZ26" i="3" s="1"/>
  <c r="BA31" i="3"/>
  <c r="BL33" i="3"/>
  <c r="AZ33" i="3" s="1"/>
  <c r="BL35" i="3"/>
  <c r="AZ35" i="3" s="1"/>
  <c r="G37" i="3"/>
  <c r="BA43" i="3"/>
  <c r="AZ43" i="3" s="1"/>
  <c r="BL46" i="3"/>
  <c r="AZ46" i="3" s="1"/>
  <c r="BA51" i="3"/>
  <c r="AZ51" i="3" s="1"/>
  <c r="BL54" i="3"/>
  <c r="BA59" i="3"/>
  <c r="AZ59" i="3" s="1"/>
  <c r="BL62" i="3"/>
  <c r="AZ62" i="3" s="1"/>
  <c r="BA67" i="3"/>
  <c r="AZ67" i="3" s="1"/>
  <c r="BL70" i="3"/>
  <c r="G73" i="3"/>
  <c r="BA75" i="3"/>
  <c r="AZ75" i="3" s="1"/>
  <c r="G78" i="3"/>
  <c r="BA80" i="3"/>
  <c r="AZ80" i="3" s="1"/>
  <c r="G83" i="3"/>
  <c r="BA86" i="3"/>
  <c r="AZ86" i="3" s="1"/>
  <c r="BL92" i="3"/>
  <c r="AZ92" i="3" s="1"/>
  <c r="G96" i="3"/>
  <c r="BA101" i="3"/>
  <c r="BA104" i="3"/>
  <c r="AZ104" i="3" s="1"/>
  <c r="BL109" i="3"/>
  <c r="AZ109" i="3" s="1"/>
  <c r="C21" i="69"/>
  <c r="C40" i="69"/>
  <c r="W21" i="34"/>
  <c r="AC21" i="34"/>
  <c r="AB22" i="71"/>
  <c r="BL94" i="3"/>
  <c r="AZ94" i="3" s="1"/>
  <c r="BA98" i="3"/>
  <c r="AZ98" i="3" s="1"/>
  <c r="BA111" i="3"/>
  <c r="AZ111" i="3" s="1"/>
  <c r="K13" i="1"/>
  <c r="M13" i="1" s="1"/>
  <c r="O13" i="1" s="1"/>
  <c r="P13" i="1" s="1"/>
  <c r="B13" i="1"/>
  <c r="E13" i="1" s="1"/>
  <c r="M47" i="86"/>
  <c r="J51" i="85"/>
  <c r="G19" i="84"/>
  <c r="M100" i="43"/>
  <c r="M108" i="43"/>
  <c r="I108" i="43"/>
  <c r="I100" i="43"/>
  <c r="E100" i="43"/>
  <c r="E108" i="43"/>
  <c r="D24" i="67"/>
  <c r="D22" i="67"/>
  <c r="AC18" i="36"/>
  <c r="S25" i="40"/>
  <c r="AA25" i="40"/>
  <c r="T50" i="71"/>
  <c r="D50" i="71"/>
  <c r="C30" i="71"/>
  <c r="D29" i="71"/>
  <c r="AA19" i="71"/>
  <c r="Y23" i="71"/>
  <c r="Z23" i="71" s="1"/>
  <c r="C24" i="71"/>
  <c r="Y15" i="71"/>
  <c r="Z15" i="71" s="1"/>
  <c r="Y22" i="71"/>
  <c r="Z22" i="71" s="1"/>
  <c r="Y18" i="71"/>
  <c r="Z18" i="71" s="1"/>
  <c r="AG10" i="43"/>
  <c r="AG12" i="43"/>
  <c r="AA14" i="71"/>
  <c r="AA16" i="71"/>
  <c r="AA17" i="71"/>
  <c r="AA13" i="71"/>
  <c r="Y11" i="71"/>
  <c r="Z11" i="71" s="1"/>
  <c r="BL97" i="3"/>
  <c r="AZ97" i="3" s="1"/>
  <c r="G102" i="3"/>
  <c r="G105" i="3"/>
  <c r="G110" i="3"/>
  <c r="D108" i="43"/>
  <c r="D100" i="43"/>
  <c r="I15" i="66"/>
  <c r="D1" i="66" s="1"/>
  <c r="E10" i="66" s="1"/>
  <c r="D17" i="71"/>
  <c r="C16" i="71"/>
  <c r="D16" i="71" s="1"/>
  <c r="AB17" i="71"/>
  <c r="E22" i="71"/>
  <c r="U22" i="71" s="1"/>
  <c r="X26" i="71"/>
  <c r="X24" i="71"/>
  <c r="AB26" i="71"/>
  <c r="AB18" i="71"/>
  <c r="AB21" i="71"/>
  <c r="AA27" i="71"/>
  <c r="AA25" i="71"/>
  <c r="E28" i="71"/>
  <c r="E29" i="71" s="1"/>
  <c r="E30" i="71" s="1"/>
  <c r="U30" i="71" s="1"/>
  <c r="D32" i="71"/>
  <c r="C33" i="71"/>
  <c r="Q55" i="71"/>
  <c r="Q56" i="71"/>
  <c r="B61" i="71"/>
  <c r="B60" i="71" s="1"/>
  <c r="S62" i="71"/>
  <c r="Y7" i="71"/>
  <c r="Z7" i="71" s="1"/>
  <c r="G1" i="78"/>
  <c r="G1" i="82"/>
  <c r="G1" i="80"/>
  <c r="G41" i="43"/>
  <c r="G41" i="84"/>
  <c r="C10" i="39"/>
  <c r="C51" i="10"/>
  <c r="A13" i="51" s="1"/>
  <c r="B11" i="72" s="1"/>
  <c r="A118" i="86"/>
  <c r="A2" i="86"/>
  <c r="B75" i="84"/>
  <c r="B55" i="84"/>
  <c r="B66" i="84"/>
  <c r="B75" i="43"/>
  <c r="C29" i="39"/>
  <c r="B55" i="43"/>
  <c r="P55" i="71"/>
  <c r="D44" i="71"/>
  <c r="X20" i="71"/>
  <c r="AB20" i="71"/>
  <c r="AA23" i="71"/>
  <c r="AB24" i="71"/>
  <c r="AB23" i="71"/>
  <c r="AB25" i="71"/>
  <c r="AB13" i="71"/>
  <c r="AB11" i="71"/>
  <c r="AB8" i="71"/>
  <c r="F20" i="71"/>
  <c r="F21" i="71" s="1"/>
  <c r="F22" i="71" s="1"/>
  <c r="V22" i="71" s="1"/>
  <c r="AB16" i="71"/>
  <c r="AB19" i="71"/>
  <c r="AA22" i="71"/>
  <c r="X23" i="71"/>
  <c r="AB27" i="71"/>
  <c r="AB14" i="71"/>
  <c r="AA11" i="71"/>
  <c r="Y12" i="71"/>
  <c r="Z12" i="71" s="1"/>
  <c r="Y13" i="71"/>
  <c r="Z13" i="71" s="1"/>
  <c r="X11" i="71"/>
  <c r="Y17" i="71"/>
  <c r="Z17" i="71" s="1"/>
  <c r="AA24" i="71"/>
  <c r="B28" i="71"/>
  <c r="B29" i="71" s="1"/>
  <c r="B30" i="71" s="1"/>
  <c r="S30" i="71" s="1"/>
  <c r="X27" i="71"/>
  <c r="K56" i="86"/>
  <c r="N56" i="86"/>
  <c r="M56" i="86"/>
  <c r="J56" i="86"/>
  <c r="J57" i="86" s="1"/>
  <c r="J59" i="86" s="1"/>
  <c r="J61" i="86" s="1"/>
  <c r="N56" i="9"/>
  <c r="E13" i="71"/>
  <c r="E12" i="71" s="1"/>
  <c r="E11" i="71" s="1"/>
  <c r="E10" i="71" s="1"/>
  <c r="V14" i="71"/>
  <c r="AA12" i="71"/>
  <c r="X5" i="71"/>
  <c r="Y21" i="71"/>
  <c r="Z21" i="71" s="1"/>
  <c r="X22" i="71"/>
  <c r="AA26" i="71"/>
  <c r="E17" i="84"/>
  <c r="C16" i="84" s="1"/>
  <c r="AD10" i="43"/>
  <c r="AA5" i="71"/>
  <c r="AB5" i="71"/>
  <c r="W34" i="34"/>
  <c r="AZ14" i="3"/>
  <c r="F19" i="33"/>
  <c r="AA19" i="33" s="1"/>
  <c r="H19" i="33"/>
  <c r="AB19" i="33" s="1"/>
  <c r="J19" i="33"/>
  <c r="AC19" i="33" s="1"/>
  <c r="F81" i="33"/>
  <c r="G81" i="33" s="1"/>
  <c r="AA38" i="34"/>
  <c r="AC38" i="34"/>
  <c r="AC43" i="34"/>
  <c r="W44" i="34"/>
  <c r="U43" i="34"/>
  <c r="S43" i="34"/>
  <c r="U42" i="33"/>
  <c r="AC42" i="33"/>
  <c r="S42" i="33"/>
  <c r="S43" i="33"/>
  <c r="U43" i="33"/>
  <c r="W43" i="33"/>
  <c r="H36" i="33"/>
  <c r="F36" i="33"/>
  <c r="AA36" i="33" s="1"/>
  <c r="J36" i="33"/>
  <c r="H111" i="33"/>
  <c r="I111" i="33" s="1"/>
  <c r="J111" i="33" s="1"/>
  <c r="K111" i="33" s="1"/>
  <c r="L111" i="33" s="1"/>
  <c r="M111" i="33" s="1"/>
  <c r="W21" i="33"/>
  <c r="AB21" i="33"/>
  <c r="AC17" i="33"/>
  <c r="W23" i="33"/>
  <c r="U23" i="33"/>
  <c r="S23" i="33"/>
  <c r="AA21" i="33"/>
  <c r="AB17" i="33"/>
  <c r="W15" i="33"/>
  <c r="AB8" i="33"/>
  <c r="S8" i="33"/>
  <c r="U34" i="34"/>
  <c r="W33" i="34"/>
  <c r="AB33" i="34"/>
  <c r="G112" i="34"/>
  <c r="H112" i="34" s="1"/>
  <c r="I112" i="34" s="1"/>
  <c r="J112" i="34" s="1"/>
  <c r="K112" i="34" s="1"/>
  <c r="L112" i="34" s="1"/>
  <c r="M112" i="34" s="1"/>
  <c r="H37" i="34"/>
  <c r="F37" i="34"/>
  <c r="AA37" i="34" s="1"/>
  <c r="J37" i="34"/>
  <c r="AC37" i="34" s="1"/>
  <c r="AA23" i="34"/>
  <c r="AB23" i="34"/>
  <c r="W23" i="34"/>
  <c r="AA21" i="34"/>
  <c r="U21" i="34"/>
  <c r="S17" i="34"/>
  <c r="AB17" i="34"/>
  <c r="AC17" i="34"/>
  <c r="U15" i="34"/>
  <c r="S15" i="34"/>
  <c r="W15" i="34"/>
  <c r="W10" i="34"/>
  <c r="AC9" i="34"/>
  <c r="W8" i="34"/>
  <c r="G1" i="85"/>
  <c r="G1" i="81"/>
  <c r="L27" i="6"/>
  <c r="E28" i="6"/>
  <c r="G30" i="6"/>
  <c r="G31" i="6" s="1"/>
  <c r="E14" i="6"/>
  <c r="E59" i="40" s="1"/>
  <c r="M7" i="1"/>
  <c r="G3" i="43"/>
  <c r="G101" i="43" s="1"/>
  <c r="G3" i="84"/>
  <c r="BA13" i="3"/>
  <c r="T13" i="1"/>
  <c r="M6" i="1"/>
  <c r="M9" i="1"/>
  <c r="C36" i="69"/>
  <c r="M8" i="1"/>
  <c r="O6" i="1"/>
  <c r="P6" i="1" s="1"/>
  <c r="O7" i="1"/>
  <c r="E20" i="84"/>
  <c r="S31" i="39"/>
  <c r="U12" i="39"/>
  <c r="AC38" i="39"/>
  <c r="W29" i="39"/>
  <c r="U29" i="39"/>
  <c r="S29" i="39"/>
  <c r="W27" i="39"/>
  <c r="J25" i="39"/>
  <c r="F99" i="39"/>
  <c r="G99" i="39" s="1"/>
  <c r="H25" i="39"/>
  <c r="F25" i="39"/>
  <c r="F91" i="39"/>
  <c r="G91" i="39" s="1"/>
  <c r="F17" i="39"/>
  <c r="AA17" i="39" s="1"/>
  <c r="H17" i="39"/>
  <c r="J17" i="39"/>
  <c r="S15" i="39"/>
  <c r="S23" i="39"/>
  <c r="F21" i="39"/>
  <c r="AA21" i="39" s="1"/>
  <c r="H21" i="39"/>
  <c r="AB21" i="39" s="1"/>
  <c r="F95" i="39"/>
  <c r="G95" i="39" s="1"/>
  <c r="J21" i="39"/>
  <c r="S21" i="39"/>
  <c r="U21" i="39"/>
  <c r="H19" i="39"/>
  <c r="AB19" i="39" s="1"/>
  <c r="J19" i="39"/>
  <c r="AC19" i="39" s="1"/>
  <c r="F93" i="39"/>
  <c r="G93" i="39" s="1"/>
  <c r="F19" i="39"/>
  <c r="AA19" i="39" s="1"/>
  <c r="W19" i="39"/>
  <c r="S19" i="39"/>
  <c r="AC41" i="39"/>
  <c r="AA41" i="39"/>
  <c r="S42" i="39"/>
  <c r="K4" i="4"/>
  <c r="B46" i="48" s="1"/>
  <c r="B4" i="72" s="1"/>
  <c r="F48" i="43"/>
  <c r="E68" i="39"/>
  <c r="D70" i="39"/>
  <c r="C28" i="81"/>
  <c r="C28" i="78"/>
  <c r="C28" i="82"/>
  <c r="C28" i="80"/>
  <c r="D63" i="40"/>
  <c r="F7" i="33"/>
  <c r="S7" i="33" s="1"/>
  <c r="J51" i="82"/>
  <c r="J51" i="78"/>
  <c r="J51" i="81"/>
  <c r="J51" i="80"/>
  <c r="E11" i="43"/>
  <c r="E9" i="43"/>
  <c r="E10" i="43"/>
  <c r="E8" i="43"/>
  <c r="H62" i="43"/>
  <c r="G62" i="43" s="1"/>
  <c r="H65" i="43"/>
  <c r="G65" i="43" s="1"/>
  <c r="H63" i="43"/>
  <c r="G63" i="43" s="1"/>
  <c r="H67" i="43"/>
  <c r="G67" i="43" s="1"/>
  <c r="H60" i="43"/>
  <c r="G60" i="43" s="1"/>
  <c r="H66" i="43"/>
  <c r="G66" i="43" s="1"/>
  <c r="H64" i="43"/>
  <c r="G64" i="43" s="1"/>
  <c r="H59" i="43"/>
  <c r="G59" i="43" s="1"/>
  <c r="H61" i="43"/>
  <c r="G61" i="43" s="1"/>
  <c r="H88" i="43"/>
  <c r="H81" i="43"/>
  <c r="H87" i="43"/>
  <c r="H86" i="43"/>
  <c r="H50" i="43"/>
  <c r="H75" i="43"/>
  <c r="E10" i="49"/>
  <c r="A2" i="9"/>
  <c r="A118" i="9"/>
  <c r="G17" i="43"/>
  <c r="C16" i="43" s="1"/>
  <c r="D5" i="43" s="1"/>
  <c r="B4" i="62"/>
  <c r="B71" i="72" s="1"/>
  <c r="C92" i="9"/>
  <c r="C94" i="9"/>
  <c r="F31" i="12"/>
  <c r="C31" i="12" s="1"/>
  <c r="F54" i="9"/>
  <c r="M18" i="67"/>
  <c r="F30" i="68"/>
  <c r="C24" i="12"/>
  <c r="C77" i="9"/>
  <c r="C74" i="9" s="1"/>
  <c r="C13" i="12"/>
  <c r="D68" i="9"/>
  <c r="F30" i="69"/>
  <c r="C30" i="69" s="1"/>
  <c r="F32" i="67"/>
  <c r="F60" i="67" s="1"/>
  <c r="F52" i="9"/>
  <c r="F28" i="67"/>
  <c r="C28" i="67" s="1"/>
  <c r="F30" i="11"/>
  <c r="Q16" i="1"/>
  <c r="F28" i="12" s="1"/>
  <c r="E8" i="49"/>
  <c r="E12" i="6"/>
  <c r="E11" i="6"/>
  <c r="AQ11" i="1"/>
  <c r="T11" i="1"/>
  <c r="AQ12" i="1"/>
  <c r="AR12" i="1"/>
  <c r="H5" i="3"/>
  <c r="G13" i="3"/>
  <c r="G5" i="3" s="1"/>
  <c r="B3" i="3" s="1"/>
  <c r="AO6" i="3" s="1"/>
  <c r="E8" i="6"/>
  <c r="E51" i="40" s="1"/>
  <c r="E15" i="6"/>
  <c r="E60" i="40" s="1"/>
  <c r="D9" i="69"/>
  <c r="C9" i="69" s="1"/>
  <c r="C36" i="11"/>
  <c r="D19" i="12"/>
  <c r="C19" i="12" s="1"/>
  <c r="O12" i="1"/>
  <c r="P12" i="1" s="1"/>
  <c r="O8" i="1"/>
  <c r="O9" i="1"/>
  <c r="P9" i="1" s="1"/>
  <c r="P7" i="1"/>
  <c r="AQ13" i="1"/>
  <c r="B22" i="49"/>
  <c r="B4" i="49"/>
  <c r="E9" i="49"/>
  <c r="E6" i="49"/>
  <c r="J101" i="43"/>
  <c r="I101" i="43"/>
  <c r="AB11" i="43"/>
  <c r="AB13" i="43" s="1"/>
  <c r="K101" i="43"/>
  <c r="G22" i="43"/>
  <c r="I14" i="74"/>
  <c r="B8" i="74" s="1"/>
  <c r="D127" i="9"/>
  <c r="D13" i="52" s="1"/>
  <c r="D12" i="52"/>
  <c r="D19" i="53"/>
  <c r="F59" i="34"/>
  <c r="G59" i="34" s="1"/>
  <c r="H59" i="34" s="1"/>
  <c r="I59" i="34" s="1"/>
  <c r="J59" i="34" s="1"/>
  <c r="K59" i="34" s="1"/>
  <c r="L59" i="34" s="1"/>
  <c r="M59" i="34" s="1"/>
  <c r="N59" i="34" s="1"/>
  <c r="O59" i="34" s="1"/>
  <c r="D46" i="36"/>
  <c r="D58" i="21"/>
  <c r="U7" i="33"/>
  <c r="D48" i="35"/>
  <c r="D52" i="37"/>
  <c r="B6" i="49"/>
  <c r="B10" i="49"/>
  <c r="E13" i="49"/>
  <c r="B8" i="49"/>
  <c r="E14" i="49"/>
  <c r="Y6" i="71"/>
  <c r="Z6" i="71" s="1"/>
  <c r="Y5" i="71"/>
  <c r="Z5" i="71" s="1"/>
  <c r="AA6" i="71"/>
  <c r="AB3" i="71"/>
  <c r="E22" i="49"/>
  <c r="E21" i="49"/>
  <c r="B14" i="49"/>
  <c r="B9" i="49"/>
  <c r="E11" i="49"/>
  <c r="B11" i="49"/>
  <c r="E4" i="49"/>
  <c r="B13" i="49"/>
  <c r="E7" i="49"/>
  <c r="B6" i="71"/>
  <c r="X6" i="71"/>
  <c r="AB6" i="71"/>
  <c r="Y3" i="71"/>
  <c r="Z3" i="71" s="1"/>
  <c r="D6" i="71"/>
  <c r="U6" i="71" s="1"/>
  <c r="F6" i="71"/>
  <c r="F5" i="71" s="1"/>
  <c r="AF3" i="71"/>
  <c r="P22" i="43" s="1"/>
  <c r="P21" i="43"/>
  <c r="C6" i="67"/>
  <c r="K1" i="73"/>
  <c r="I1" i="73"/>
  <c r="B39" i="1" s="1"/>
  <c r="F51" i="67"/>
  <c r="F65" i="67"/>
  <c r="J20" i="67"/>
  <c r="B12" i="70"/>
  <c r="J53" i="67"/>
  <c r="J57" i="67"/>
  <c r="J55" i="67" s="1"/>
  <c r="J58" i="67" s="1"/>
  <c r="Q50" i="67" s="1"/>
  <c r="L56" i="67"/>
  <c r="I54" i="67"/>
  <c r="F69" i="67"/>
  <c r="E20" i="43"/>
  <c r="F66" i="67"/>
  <c r="B11" i="70"/>
  <c r="Q71" i="67"/>
  <c r="F70" i="67"/>
  <c r="N59" i="67"/>
  <c r="L59" i="67"/>
  <c r="L58" i="67"/>
  <c r="M59" i="67"/>
  <c r="B13" i="70"/>
  <c r="M7" i="67"/>
  <c r="J6" i="67" s="1"/>
  <c r="F50" i="67"/>
  <c r="F63" i="67"/>
  <c r="C62" i="67" s="1"/>
  <c r="C34" i="67"/>
  <c r="F68" i="67"/>
  <c r="F64" i="67"/>
  <c r="M17" i="67"/>
  <c r="F59" i="67"/>
  <c r="F31" i="67"/>
  <c r="M28" i="85"/>
  <c r="F26" i="67"/>
  <c r="J15" i="85"/>
  <c r="F43" i="67"/>
  <c r="D3" i="73"/>
  <c r="M29" i="85"/>
  <c r="F43" i="85"/>
  <c r="M22" i="81"/>
  <c r="F42" i="85"/>
  <c r="F43" i="81"/>
  <c r="D5" i="73"/>
  <c r="M28" i="67"/>
  <c r="M9" i="85"/>
  <c r="M28" i="81"/>
  <c r="M29" i="67"/>
  <c r="F26" i="85"/>
  <c r="F40" i="85"/>
  <c r="F7" i="85"/>
  <c r="F38" i="81"/>
  <c r="L48" i="85"/>
  <c r="F16" i="67"/>
  <c r="L47" i="85"/>
  <c r="F36" i="81"/>
  <c r="C76" i="85"/>
  <c r="M8" i="85"/>
  <c r="F36" i="85"/>
  <c r="D7" i="73"/>
  <c r="M22" i="85"/>
  <c r="F38" i="85"/>
  <c r="F16" i="85"/>
  <c r="C36" i="68"/>
  <c r="M23" i="67"/>
  <c r="F6" i="85"/>
  <c r="F13" i="67"/>
  <c r="M6" i="85"/>
  <c r="F37" i="85"/>
  <c r="M23" i="85"/>
  <c r="M26" i="85"/>
  <c r="D9" i="68"/>
  <c r="F9" i="85"/>
  <c r="M24" i="85"/>
  <c r="F13" i="85"/>
  <c r="M27" i="85"/>
  <c r="F8" i="85"/>
  <c r="C27" i="67" l="1"/>
  <c r="F71" i="67"/>
  <c r="AB19" i="34"/>
  <c r="U19" i="34"/>
  <c r="D24" i="71"/>
  <c r="C25" i="71"/>
  <c r="AB40" i="40"/>
  <c r="U40" i="40"/>
  <c r="AC38" i="40"/>
  <c r="W38" i="40"/>
  <c r="AB45" i="33"/>
  <c r="U45" i="33"/>
  <c r="AC32" i="40"/>
  <c r="W32" i="40"/>
  <c r="AA12" i="37"/>
  <c r="S12" i="37"/>
  <c r="AB28" i="34"/>
  <c r="U28" i="34"/>
  <c r="AB31" i="40"/>
  <c r="U31" i="40"/>
  <c r="AB13" i="39"/>
  <c r="U13" i="39"/>
  <c r="W45" i="21"/>
  <c r="AC45" i="21"/>
  <c r="H14" i="74"/>
  <c r="B7" i="74" s="1"/>
  <c r="D10" i="52"/>
  <c r="D125" i="9"/>
  <c r="D11" i="52" s="1"/>
  <c r="C54" i="71"/>
  <c r="D53" i="71"/>
  <c r="F29" i="6"/>
  <c r="AB32" i="36"/>
  <c r="U32" i="36"/>
  <c r="P24" i="43"/>
  <c r="B66" i="40" s="1"/>
  <c r="C48" i="69"/>
  <c r="H7" i="34"/>
  <c r="U7" i="34" s="1"/>
  <c r="AE11" i="43"/>
  <c r="AE13" i="43" s="1"/>
  <c r="E13" i="6"/>
  <c r="E58" i="40" s="1"/>
  <c r="E9" i="71"/>
  <c r="E8" i="71" s="1"/>
  <c r="E7" i="71" s="1"/>
  <c r="E6" i="71" s="1"/>
  <c r="V10" i="71"/>
  <c r="D33" i="71"/>
  <c r="C34" i="71"/>
  <c r="AZ101" i="3"/>
  <c r="AZ31" i="3"/>
  <c r="AZ197" i="3"/>
  <c r="AZ246" i="3"/>
  <c r="BL5" i="3"/>
  <c r="AZ15" i="3"/>
  <c r="AA26" i="37"/>
  <c r="S26" i="37"/>
  <c r="J7" i="33"/>
  <c r="AZ523" i="3"/>
  <c r="AA44" i="39"/>
  <c r="S44" i="39"/>
  <c r="AB12" i="37"/>
  <c r="U12" i="37"/>
  <c r="W28" i="34"/>
  <c r="AC28" i="34"/>
  <c r="AA31" i="40"/>
  <c r="S31" i="40"/>
  <c r="AZ510" i="3"/>
  <c r="AZ521" i="3"/>
  <c r="U26" i="35"/>
  <c r="AB26" i="35"/>
  <c r="S24" i="36"/>
  <c r="AA24" i="36"/>
  <c r="AA32" i="36"/>
  <c r="S32" i="36"/>
  <c r="C5" i="84"/>
  <c r="D5" i="84"/>
  <c r="P24" i="84"/>
  <c r="P21" i="84"/>
  <c r="O19" i="84"/>
  <c r="P25" i="84"/>
  <c r="P22" i="84"/>
  <c r="P23" i="84"/>
  <c r="AC26" i="37"/>
  <c r="W26" i="37"/>
  <c r="AC19" i="34"/>
  <c r="W19" i="34"/>
  <c r="S45" i="39"/>
  <c r="AA45" i="39"/>
  <c r="AC44" i="39"/>
  <c r="W44" i="39"/>
  <c r="S31" i="21"/>
  <c r="AA31" i="21"/>
  <c r="AZ568" i="3"/>
  <c r="AC31" i="40"/>
  <c r="W31" i="40"/>
  <c r="AZ525" i="3"/>
  <c r="AC26" i="35"/>
  <c r="W26" i="35"/>
  <c r="AB24" i="36"/>
  <c r="U24" i="36"/>
  <c r="C5" i="71"/>
  <c r="D5" i="71" s="1"/>
  <c r="T6" i="71"/>
  <c r="T42" i="71"/>
  <c r="D42" i="71"/>
  <c r="AC32" i="36"/>
  <c r="W32" i="36"/>
  <c r="U19" i="39"/>
  <c r="M19" i="84"/>
  <c r="T30" i="71"/>
  <c r="D30" i="71"/>
  <c r="M19" i="43" s="1"/>
  <c r="B5" i="71"/>
  <c r="S6" i="71"/>
  <c r="S19" i="33"/>
  <c r="AZ185" i="3"/>
  <c r="D65" i="71"/>
  <c r="C64" i="71"/>
  <c r="D64" i="71" s="1"/>
  <c r="AC40" i="40"/>
  <c r="W40" i="40"/>
  <c r="AA45" i="33"/>
  <c r="S45" i="33"/>
  <c r="F82" i="34"/>
  <c r="G82" i="34" s="1"/>
  <c r="F19" i="34"/>
  <c r="AZ494" i="3"/>
  <c r="U45" i="39"/>
  <c r="AB45" i="39"/>
  <c r="F77" i="33"/>
  <c r="G77" i="33" s="1"/>
  <c r="H15" i="33"/>
  <c r="F15" i="33"/>
  <c r="S32" i="40"/>
  <c r="AA32" i="40"/>
  <c r="U44" i="39"/>
  <c r="AB44" i="39"/>
  <c r="B34" i="72"/>
  <c r="D17" i="53"/>
  <c r="B36" i="72" s="1"/>
  <c r="AB31" i="21"/>
  <c r="U31" i="21"/>
  <c r="AZ562" i="3"/>
  <c r="AZ566" i="3"/>
  <c r="S13" i="39"/>
  <c r="AA13" i="39"/>
  <c r="S45" i="21"/>
  <c r="AA45" i="21"/>
  <c r="AZ519" i="3"/>
  <c r="W24" i="36"/>
  <c r="AC24" i="36"/>
  <c r="U19" i="33"/>
  <c r="W19" i="33"/>
  <c r="L101" i="43"/>
  <c r="F22" i="43"/>
  <c r="AG11" i="43"/>
  <c r="AG13" i="43" s="1"/>
  <c r="AF11" i="43"/>
  <c r="AF13" i="43" s="1"/>
  <c r="M101" i="43"/>
  <c r="C101" i="43"/>
  <c r="C102" i="43" s="1"/>
  <c r="E22" i="43"/>
  <c r="Y11" i="43"/>
  <c r="Y13" i="43" s="1"/>
  <c r="Z7" i="43"/>
  <c r="AH11" i="43"/>
  <c r="AH13" i="43" s="1"/>
  <c r="D101" i="43"/>
  <c r="B113" i="43"/>
  <c r="D115" i="43" s="1"/>
  <c r="E115" i="43" s="1"/>
  <c r="F115" i="43" s="1"/>
  <c r="G115" i="43" s="1"/>
  <c r="H115" i="43" s="1"/>
  <c r="J22" i="43"/>
  <c r="N101" i="43"/>
  <c r="N103" i="43" s="1"/>
  <c r="AC11" i="43"/>
  <c r="AC13" i="43" s="1"/>
  <c r="Z11" i="43"/>
  <c r="Z13" i="43" s="1"/>
  <c r="AJ11" i="43"/>
  <c r="AJ13" i="43" s="1"/>
  <c r="N104" i="46"/>
  <c r="E586" i="3"/>
  <c r="E247" i="3"/>
  <c r="E153" i="3"/>
  <c r="E230" i="3"/>
  <c r="E124" i="3"/>
  <c r="E495" i="3"/>
  <c r="E579" i="3"/>
  <c r="E319" i="3"/>
  <c r="E439" i="3"/>
  <c r="E347" i="3"/>
  <c r="E107" i="3"/>
  <c r="H101" i="43"/>
  <c r="H105" i="43" s="1"/>
  <c r="F101" i="43"/>
  <c r="AA11" i="43"/>
  <c r="AA13" i="43" s="1"/>
  <c r="AI11" i="43"/>
  <c r="AI13" i="43" s="1"/>
  <c r="AD11" i="43"/>
  <c r="AD13" i="43" s="1"/>
  <c r="E101" i="43"/>
  <c r="H22" i="43"/>
  <c r="E303" i="3"/>
  <c r="E314" i="3"/>
  <c r="E509" i="3"/>
  <c r="E217" i="3"/>
  <c r="E538" i="3"/>
  <c r="E361" i="3"/>
  <c r="E122" i="3"/>
  <c r="E402" i="3"/>
  <c r="E285" i="3"/>
  <c r="E322" i="3"/>
  <c r="E130" i="3"/>
  <c r="E270" i="3"/>
  <c r="E140" i="3"/>
  <c r="W36" i="33"/>
  <c r="AC36" i="33"/>
  <c r="S36" i="33"/>
  <c r="U36" i="33"/>
  <c r="AB36" i="33"/>
  <c r="AA7" i="33"/>
  <c r="C9" i="68"/>
  <c r="W37" i="34"/>
  <c r="U37" i="34"/>
  <c r="AB37" i="34"/>
  <c r="S37" i="34"/>
  <c r="E434" i="3"/>
  <c r="AN6" i="3"/>
  <c r="E201" i="3"/>
  <c r="E574" i="3"/>
  <c r="AJ6" i="3"/>
  <c r="E526" i="3"/>
  <c r="E185" i="3"/>
  <c r="E294" i="3"/>
  <c r="E533" i="3"/>
  <c r="AA6" i="3"/>
  <c r="E528" i="3"/>
  <c r="E543" i="3"/>
  <c r="E327" i="3"/>
  <c r="E350" i="3"/>
  <c r="E16" i="3"/>
  <c r="E353" i="3"/>
  <c r="E431" i="3"/>
  <c r="E328" i="3"/>
  <c r="E268" i="3"/>
  <c r="E254" i="3"/>
  <c r="E231" i="3"/>
  <c r="E561" i="3"/>
  <c r="E399" i="3"/>
  <c r="E183" i="3"/>
  <c r="AH6" i="3"/>
  <c r="E63" i="39"/>
  <c r="F66" i="81"/>
  <c r="F64" i="81"/>
  <c r="F71" i="81"/>
  <c r="Q71" i="85"/>
  <c r="C27" i="85"/>
  <c r="F51" i="85"/>
  <c r="F50" i="85"/>
  <c r="M7" i="85"/>
  <c r="J6" i="85" s="1"/>
  <c r="J18" i="85" s="1"/>
  <c r="F71" i="85"/>
  <c r="F64" i="85"/>
  <c r="C6" i="85"/>
  <c r="N59" i="85"/>
  <c r="L58" i="85"/>
  <c r="M59" i="85"/>
  <c r="L59" i="85"/>
  <c r="F66" i="85"/>
  <c r="F65" i="85"/>
  <c r="J53" i="85"/>
  <c r="L57" i="85"/>
  <c r="L60" i="85"/>
  <c r="L56" i="85"/>
  <c r="J57" i="85"/>
  <c r="J55" i="85" s="1"/>
  <c r="J58" i="85" s="1"/>
  <c r="Q50" i="85" s="1"/>
  <c r="I54" i="85"/>
  <c r="F68" i="85"/>
  <c r="E64" i="39"/>
  <c r="M11" i="85"/>
  <c r="F11" i="85"/>
  <c r="E61" i="39"/>
  <c r="E56" i="40"/>
  <c r="AZ13" i="3"/>
  <c r="AZ5" i="3" s="1"/>
  <c r="E3" i="6" s="1"/>
  <c r="D3" i="21" s="1"/>
  <c r="BA5" i="3"/>
  <c r="E468" i="3"/>
  <c r="E496" i="3"/>
  <c r="E262" i="3"/>
  <c r="E223" i="3"/>
  <c r="E576" i="3"/>
  <c r="E448" i="3"/>
  <c r="E443" i="3"/>
  <c r="E207" i="3"/>
  <c r="E393" i="3"/>
  <c r="E427" i="3"/>
  <c r="E440" i="3"/>
  <c r="J6" i="3"/>
  <c r="E69" i="3"/>
  <c r="E278" i="3"/>
  <c r="E563" i="3"/>
  <c r="E172" i="3"/>
  <c r="E445" i="3"/>
  <c r="E535" i="3"/>
  <c r="E539" i="3"/>
  <c r="E567" i="3"/>
  <c r="E461" i="3"/>
  <c r="E227" i="3"/>
  <c r="E165" i="3"/>
  <c r="E311" i="3"/>
  <c r="E514" i="3"/>
  <c r="E570" i="3"/>
  <c r="M6" i="3"/>
  <c r="AB6" i="3"/>
  <c r="E387" i="3"/>
  <c r="E335" i="3"/>
  <c r="E215" i="3"/>
  <c r="E189" i="3"/>
  <c r="E134" i="3"/>
  <c r="E125" i="3"/>
  <c r="E366" i="3"/>
  <c r="E553" i="3"/>
  <c r="E282" i="3"/>
  <c r="N6" i="3"/>
  <c r="E239" i="3"/>
  <c r="E516" i="3"/>
  <c r="E569" i="3"/>
  <c r="E396" i="3"/>
  <c r="E229" i="3"/>
  <c r="E151" i="3"/>
  <c r="E385" i="3"/>
  <c r="E518" i="3"/>
  <c r="AI6" i="3"/>
  <c r="E578" i="3"/>
  <c r="E423" i="3"/>
  <c r="E382" i="3"/>
  <c r="E547" i="3"/>
  <c r="E221" i="3"/>
  <c r="E173" i="3"/>
  <c r="AG6" i="3"/>
  <c r="P6" i="3"/>
  <c r="E148" i="3"/>
  <c r="E145" i="3"/>
  <c r="E564" i="3"/>
  <c r="E507" i="3"/>
  <c r="E376" i="3"/>
  <c r="E114" i="3"/>
  <c r="E415" i="3"/>
  <c r="E395" i="3"/>
  <c r="E260" i="3"/>
  <c r="E550" i="3"/>
  <c r="E329" i="3"/>
  <c r="E545" i="3"/>
  <c r="E510" i="3"/>
  <c r="E352" i="3"/>
  <c r="E205" i="3"/>
  <c r="E128" i="3"/>
  <c r="E358" i="3"/>
  <c r="E559" i="3"/>
  <c r="E551" i="3"/>
  <c r="V6" i="3"/>
  <c r="E407" i="3"/>
  <c r="E320" i="3"/>
  <c r="E429" i="3"/>
  <c r="E236" i="3"/>
  <c r="E197" i="3"/>
  <c r="Z6" i="3"/>
  <c r="E485" i="3"/>
  <c r="E159" i="3"/>
  <c r="E271" i="3"/>
  <c r="E493" i="3"/>
  <c r="E486" i="3"/>
  <c r="E490" i="3"/>
  <c r="E237" i="3"/>
  <c r="E304" i="3"/>
  <c r="E565" i="3"/>
  <c r="E213" i="3"/>
  <c r="E17" i="3"/>
  <c r="E302" i="3"/>
  <c r="E583" i="3"/>
  <c r="X6" i="3"/>
  <c r="E336" i="3"/>
  <c r="E246" i="3"/>
  <c r="E293" i="3"/>
  <c r="E390" i="3"/>
  <c r="S6" i="3"/>
  <c r="E523" i="3"/>
  <c r="E506" i="3"/>
  <c r="E418" i="3"/>
  <c r="E338" i="3"/>
  <c r="E321" i="3"/>
  <c r="E298" i="3"/>
  <c r="E169" i="3"/>
  <c r="E61" i="3"/>
  <c r="E175" i="3"/>
  <c r="E530" i="3"/>
  <c r="E343" i="3"/>
  <c r="E305" i="3"/>
  <c r="E508" i="3"/>
  <c r="E388" i="3"/>
  <c r="E555" i="3"/>
  <c r="E410" i="3"/>
  <c r="E337" i="3"/>
  <c r="E143" i="3"/>
  <c r="E397" i="3"/>
  <c r="E568" i="3"/>
  <c r="I6" i="3"/>
  <c r="E536" i="3"/>
  <c r="E549" i="3"/>
  <c r="E453" i="3"/>
  <c r="E368" i="3"/>
  <c r="E306" i="3"/>
  <c r="AK6" i="3"/>
  <c r="E511" i="3"/>
  <c r="E97" i="3"/>
  <c r="E359" i="3"/>
  <c r="O6" i="3"/>
  <c r="E426" i="3"/>
  <c r="E501" i="3"/>
  <c r="E53" i="3"/>
  <c r="E216" i="3"/>
  <c r="E380" i="3"/>
  <c r="AR6" i="3"/>
  <c r="E280" i="3"/>
  <c r="E503" i="3"/>
  <c r="E261" i="3"/>
  <c r="E422" i="3"/>
  <c r="E400" i="3"/>
  <c r="E367" i="3"/>
  <c r="S2" i="84"/>
  <c r="AJ11" i="84"/>
  <c r="AJ13" i="84" s="1"/>
  <c r="G22" i="84"/>
  <c r="H101" i="84"/>
  <c r="M101" i="84"/>
  <c r="E101" i="84"/>
  <c r="AI11" i="84"/>
  <c r="AI13" i="84" s="1"/>
  <c r="AA11" i="84"/>
  <c r="AA13" i="84" s="1"/>
  <c r="S3" i="84"/>
  <c r="AB11" i="84"/>
  <c r="AB13" i="84" s="1"/>
  <c r="L101" i="84"/>
  <c r="I101" i="84"/>
  <c r="AE11" i="84"/>
  <c r="AE13" i="84" s="1"/>
  <c r="S6" i="84"/>
  <c r="J22" i="84"/>
  <c r="Z7" i="84"/>
  <c r="J101" i="84"/>
  <c r="G101" i="84"/>
  <c r="AC11" i="84"/>
  <c r="AC13" i="84" s="1"/>
  <c r="AH11" i="84"/>
  <c r="AH13" i="84" s="1"/>
  <c r="N101" i="84"/>
  <c r="F101" i="84"/>
  <c r="K101" i="84"/>
  <c r="C101" i="84"/>
  <c r="AG11" i="84"/>
  <c r="AG13" i="84" s="1"/>
  <c r="Y11" i="84"/>
  <c r="Y13" i="84" s="1"/>
  <c r="S4" i="84"/>
  <c r="Z11" i="84"/>
  <c r="Z13" i="84" s="1"/>
  <c r="E22" i="84"/>
  <c r="S7" i="84"/>
  <c r="D101" i="84"/>
  <c r="H22" i="84"/>
  <c r="AD11" i="84"/>
  <c r="AD13" i="84" s="1"/>
  <c r="C23" i="84"/>
  <c r="AF11" i="84"/>
  <c r="AF13" i="84" s="1"/>
  <c r="B113" i="84"/>
  <c r="F22" i="84"/>
  <c r="S5" i="84"/>
  <c r="K14" i="1"/>
  <c r="F27" i="69"/>
  <c r="C47" i="69" s="1"/>
  <c r="D45" i="69" s="1"/>
  <c r="O28" i="84"/>
  <c r="M28" i="84"/>
  <c r="P28" i="84"/>
  <c r="N28" i="84"/>
  <c r="S17" i="39"/>
  <c r="AA25" i="39"/>
  <c r="S25" i="39"/>
  <c r="AB25" i="39"/>
  <c r="U25" i="39"/>
  <c r="W25" i="39"/>
  <c r="AC25" i="39"/>
  <c r="AC17" i="39"/>
  <c r="W17" i="39"/>
  <c r="AB17" i="39"/>
  <c r="U17" i="39"/>
  <c r="W21" i="39"/>
  <c r="AC21" i="39"/>
  <c r="C5" i="43"/>
  <c r="K59" i="43"/>
  <c r="J59" i="43" s="1"/>
  <c r="M59" i="43"/>
  <c r="N59" i="43" s="1"/>
  <c r="K66" i="43"/>
  <c r="J66" i="43" s="1"/>
  <c r="D66" i="43" s="1"/>
  <c r="M66" i="43"/>
  <c r="N66" i="43" s="1"/>
  <c r="K67" i="43"/>
  <c r="J67" i="43" s="1"/>
  <c r="M67" i="43"/>
  <c r="N67" i="43" s="1"/>
  <c r="K65" i="43"/>
  <c r="J65" i="43" s="1"/>
  <c r="M65" i="43"/>
  <c r="N65" i="43" s="1"/>
  <c r="K61" i="43"/>
  <c r="M61" i="43"/>
  <c r="N61" i="43" s="1"/>
  <c r="K64" i="43"/>
  <c r="M64" i="43"/>
  <c r="N64" i="43" s="1"/>
  <c r="K60" i="43"/>
  <c r="J60" i="43" s="1"/>
  <c r="M60" i="43"/>
  <c r="N60" i="43" s="1"/>
  <c r="K63" i="43"/>
  <c r="J63" i="43" s="1"/>
  <c r="M63" i="43"/>
  <c r="N63" i="43" s="1"/>
  <c r="K62" i="43"/>
  <c r="M62" i="43"/>
  <c r="N62" i="43" s="1"/>
  <c r="H52" i="43"/>
  <c r="H53" i="43"/>
  <c r="H55" i="43"/>
  <c r="H51" i="43"/>
  <c r="H56" i="43"/>
  <c r="H54" i="43"/>
  <c r="H48" i="43"/>
  <c r="H49" i="43"/>
  <c r="J7" i="34"/>
  <c r="F7" i="34"/>
  <c r="S7" i="34" s="1"/>
  <c r="E63" i="40"/>
  <c r="D65" i="40"/>
  <c r="F68" i="39"/>
  <c r="E70" i="39"/>
  <c r="F11" i="82"/>
  <c r="M11" i="82"/>
  <c r="F11" i="81"/>
  <c r="M11" i="81"/>
  <c r="F11" i="80"/>
  <c r="M11" i="80"/>
  <c r="F11" i="78"/>
  <c r="M11" i="78"/>
  <c r="C29" i="12"/>
  <c r="D28" i="12" s="1"/>
  <c r="C30" i="68"/>
  <c r="C48" i="68"/>
  <c r="C48" i="11"/>
  <c r="C30" i="11"/>
  <c r="E497" i="3"/>
  <c r="E556" i="3"/>
  <c r="E360" i="3"/>
  <c r="E451" i="3"/>
  <c r="E408" i="3"/>
  <c r="E512" i="3"/>
  <c r="E469" i="3"/>
  <c r="E456" i="3"/>
  <c r="E405" i="3"/>
  <c r="T6" i="3"/>
  <c r="E534" i="3"/>
  <c r="E525" i="3"/>
  <c r="E369" i="3"/>
  <c r="E164" i="3"/>
  <c r="E204" i="3"/>
  <c r="E252" i="3"/>
  <c r="E89" i="3"/>
  <c r="E269" i="3"/>
  <c r="E99" i="3"/>
  <c r="E301" i="3"/>
  <c r="E432" i="3"/>
  <c r="E414" i="3"/>
  <c r="E548" i="3"/>
  <c r="E478" i="3"/>
  <c r="E411" i="3"/>
  <c r="E515" i="3"/>
  <c r="U6" i="3"/>
  <c r="E585" i="3"/>
  <c r="E379" i="3"/>
  <c r="E105" i="3"/>
  <c r="E116" i="3"/>
  <c r="E238" i="3"/>
  <c r="E85" i="3"/>
  <c r="E180" i="3"/>
  <c r="E91" i="3"/>
  <c r="E136" i="3"/>
  <c r="E296" i="3"/>
  <c r="E505" i="3"/>
  <c r="E577" i="3"/>
  <c r="E470" i="3"/>
  <c r="E471" i="3"/>
  <c r="E450" i="3"/>
  <c r="E537" i="3"/>
  <c r="E571" i="3"/>
  <c r="E557" i="3"/>
  <c r="E558" i="3"/>
  <c r="E345" i="3"/>
  <c r="E244" i="3"/>
  <c r="E196" i="3"/>
  <c r="E156"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263" i="3"/>
  <c r="E245" i="3"/>
  <c r="E191" i="3"/>
  <c r="E188" i="3"/>
  <c r="E228" i="3"/>
  <c r="E181" i="3"/>
  <c r="E15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D3" i="33"/>
  <c r="D3" i="34"/>
  <c r="F27" i="11"/>
  <c r="C47" i="11" s="1"/>
  <c r="D45" i="11" s="1"/>
  <c r="F27" i="6"/>
  <c r="E13" i="3"/>
  <c r="E498" i="3"/>
  <c r="E494" i="3"/>
  <c r="E419" i="3"/>
  <c r="E452" i="3"/>
  <c r="E483" i="3"/>
  <c r="E477" i="3"/>
  <c r="E255" i="3"/>
  <c r="I3" i="6"/>
  <c r="AP6" i="3"/>
  <c r="E554" i="3"/>
  <c r="E582" i="3"/>
  <c r="E517" i="3"/>
  <c r="E413" i="3"/>
  <c r="E435" i="3"/>
  <c r="E460" i="3"/>
  <c r="E491" i="3"/>
  <c r="E52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459" i="3"/>
  <c r="E566" i="3"/>
  <c r="E581" i="3"/>
  <c r="E531" i="3"/>
  <c r="E444" i="3"/>
  <c r="E489"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74" i="3"/>
  <c r="E500"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47" i="3"/>
  <c r="E289" i="3"/>
  <c r="E340" i="3"/>
  <c r="E364" i="3"/>
  <c r="E50" i="3"/>
  <c r="E20" i="3"/>
  <c r="E62" i="3"/>
  <c r="E176" i="3"/>
  <c r="E218" i="3"/>
  <c r="E265" i="3"/>
  <c r="E365" i="3"/>
  <c r="E524" i="3"/>
  <c r="E101" i="3"/>
  <c r="E206" i="3"/>
  <c r="E232" i="3"/>
  <c r="E251" i="3"/>
  <c r="E370" i="3"/>
  <c r="AF6" i="3"/>
  <c r="E102" i="3"/>
  <c r="E80" i="3"/>
  <c r="E113" i="3"/>
  <c r="E158" i="3"/>
  <c r="E287" i="3"/>
  <c r="E308" i="3"/>
  <c r="E326" i="3"/>
  <c r="E22" i="3"/>
  <c r="E83" i="3"/>
  <c r="E57" i="40"/>
  <c r="E62" i="39"/>
  <c r="E65" i="39"/>
  <c r="E56" i="39"/>
  <c r="E16" i="6"/>
  <c r="P8" i="1"/>
  <c r="D22" i="43"/>
  <c r="L109" i="43"/>
  <c r="L102" i="43"/>
  <c r="L105" i="43"/>
  <c r="L104" i="43"/>
  <c r="L106" i="43"/>
  <c r="L107" i="43"/>
  <c r="L103" i="43"/>
  <c r="N102" i="43"/>
  <c r="N105"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F104" i="43"/>
  <c r="F107" i="43"/>
  <c r="F106" i="43"/>
  <c r="F103" i="43"/>
  <c r="F102" i="43"/>
  <c r="F105" i="43"/>
  <c r="F109" i="43"/>
  <c r="I109" i="43"/>
  <c r="I102" i="43"/>
  <c r="I106" i="43"/>
  <c r="I103" i="43"/>
  <c r="I104" i="43"/>
  <c r="I107" i="43"/>
  <c r="I105" i="43"/>
  <c r="D109" i="43"/>
  <c r="D103" i="43"/>
  <c r="D104" i="43"/>
  <c r="D107" i="43"/>
  <c r="D105" i="43"/>
  <c r="D106" i="43"/>
  <c r="D102" i="43"/>
  <c r="C105" i="43"/>
  <c r="C107" i="43"/>
  <c r="D118" i="43"/>
  <c r="E118" i="43" s="1"/>
  <c r="F118" i="43" s="1"/>
  <c r="I115" i="43"/>
  <c r="J115" i="43" s="1"/>
  <c r="K115" i="43" s="1"/>
  <c r="L115" i="43" s="1"/>
  <c r="M115" i="43" s="1"/>
  <c r="B118" i="43"/>
  <c r="C118" i="43" s="1"/>
  <c r="B38" i="72"/>
  <c r="D20" i="53"/>
  <c r="B40" i="72" s="1"/>
  <c r="E46" i="36"/>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AC7" i="34"/>
  <c r="V49" i="34" s="1"/>
  <c r="I49" i="34" s="1"/>
  <c r="W7" i="34"/>
  <c r="AA7" i="34"/>
  <c r="C49" i="67"/>
  <c r="P25" i="43"/>
  <c r="P23" i="43"/>
  <c r="B71" i="39" s="1"/>
  <c r="C32" i="67"/>
  <c r="Q60" i="67"/>
  <c r="Q73" i="67"/>
  <c r="M28" i="43"/>
  <c r="N28" i="43"/>
  <c r="G20" i="43" s="1"/>
  <c r="H6" i="1" s="1"/>
  <c r="H9" i="1" s="1"/>
  <c r="G9" i="1" s="1"/>
  <c r="O28" i="43"/>
  <c r="P28" i="43"/>
  <c r="M11" i="67"/>
  <c r="J10" i="67" s="1"/>
  <c r="J5" i="67" s="1"/>
  <c r="F11" i="67"/>
  <c r="J18" i="67"/>
  <c r="F1" i="67"/>
  <c r="Q52" i="67"/>
  <c r="Q61" i="67"/>
  <c r="Q74" i="67"/>
  <c r="M29" i="80"/>
  <c r="F7" i="78"/>
  <c r="J15" i="80"/>
  <c r="M23" i="78"/>
  <c r="F43" i="80"/>
  <c r="M22" i="78"/>
  <c r="F8" i="82"/>
  <c r="M6" i="82"/>
  <c r="M27" i="80"/>
  <c r="M27" i="82"/>
  <c r="F27" i="68"/>
  <c r="M6" i="80"/>
  <c r="F40" i="78"/>
  <c r="F16" i="82"/>
  <c r="F8" i="81"/>
  <c r="F43" i="82"/>
  <c r="L48" i="80"/>
  <c r="M29" i="78"/>
  <c r="M23" i="80"/>
  <c r="F16" i="78"/>
  <c r="M8" i="80"/>
  <c r="L48" i="81"/>
  <c r="C76" i="80"/>
  <c r="F8" i="78"/>
  <c r="F13" i="82"/>
  <c r="M6" i="78"/>
  <c r="J15" i="78"/>
  <c r="F36" i="78"/>
  <c r="F42" i="80"/>
  <c r="L47" i="81"/>
  <c r="M26" i="78"/>
  <c r="F42" i="78"/>
  <c r="M27" i="78"/>
  <c r="F9" i="78"/>
  <c r="G1" i="73"/>
  <c r="F42" i="82"/>
  <c r="M8" i="81"/>
  <c r="F13" i="80"/>
  <c r="F6" i="78"/>
  <c r="F36" i="82"/>
  <c r="J15" i="81"/>
  <c r="F16" i="81"/>
  <c r="L47" i="78"/>
  <c r="M23" i="82"/>
  <c r="F37" i="82"/>
  <c r="F13" i="78"/>
  <c r="M24" i="82"/>
  <c r="F43" i="78"/>
  <c r="M29" i="82"/>
  <c r="M22" i="80"/>
  <c r="F38" i="80"/>
  <c r="M8" i="78"/>
  <c r="F26" i="82"/>
  <c r="F40" i="82"/>
  <c r="F26" i="81"/>
  <c r="M24" i="80"/>
  <c r="M9" i="78"/>
  <c r="F38" i="82"/>
  <c r="M29" i="81"/>
  <c r="F36" i="80"/>
  <c r="F37" i="80"/>
  <c r="F26" i="80"/>
  <c r="L47" i="80"/>
  <c r="F9" i="81"/>
  <c r="F38" i="78"/>
  <c r="F37" i="81"/>
  <c r="M27" i="81"/>
  <c r="C16" i="85"/>
  <c r="L47" i="82"/>
  <c r="F16" i="80"/>
  <c r="F40" i="81"/>
  <c r="M6" i="81"/>
  <c r="F26" i="78"/>
  <c r="M28" i="82"/>
  <c r="M26" i="81"/>
  <c r="M9" i="81"/>
  <c r="C76" i="82"/>
  <c r="M24" i="81"/>
  <c r="M26" i="82"/>
  <c r="F6" i="81"/>
  <c r="C76" i="78"/>
  <c r="F37" i="78"/>
  <c r="F9" i="82"/>
  <c r="M28" i="80"/>
  <c r="C76" i="81"/>
  <c r="F6" i="80"/>
  <c r="F6" i="82"/>
  <c r="F13" i="81"/>
  <c r="C16" i="67"/>
  <c r="L48" i="82"/>
  <c r="M28" i="78"/>
  <c r="M8" i="82"/>
  <c r="C14" i="67"/>
  <c r="M23" i="81"/>
  <c r="M9" i="82"/>
  <c r="F9" i="80"/>
  <c r="C17" i="67"/>
  <c r="F7" i="81"/>
  <c r="F42" i="81"/>
  <c r="M22" i="82"/>
  <c r="L48" i="78"/>
  <c r="F7" i="80"/>
  <c r="F7" i="82"/>
  <c r="F8" i="80"/>
  <c r="M26" i="80"/>
  <c r="J15" i="82"/>
  <c r="F40" i="80"/>
  <c r="M9" i="80"/>
  <c r="M24" i="78"/>
  <c r="B40" i="1" l="1"/>
  <c r="F71" i="82"/>
  <c r="C27" i="82"/>
  <c r="Q71" i="82"/>
  <c r="M7" i="80"/>
  <c r="J6" i="80" s="1"/>
  <c r="J18" i="80" s="1"/>
  <c r="F50" i="80"/>
  <c r="C6" i="80"/>
  <c r="C32" i="80" s="1"/>
  <c r="C27" i="80"/>
  <c r="F64" i="80"/>
  <c r="L58" i="80"/>
  <c r="M59" i="80"/>
  <c r="L59" i="80"/>
  <c r="Q74" i="80" s="1"/>
  <c r="N59" i="80"/>
  <c r="F51" i="81"/>
  <c r="F51" i="78"/>
  <c r="F66" i="78"/>
  <c r="Q71" i="81"/>
  <c r="F65" i="81"/>
  <c r="F64" i="82"/>
  <c r="F66" i="82"/>
  <c r="F71" i="80"/>
  <c r="Q71" i="80"/>
  <c r="C18" i="67"/>
  <c r="C15" i="67"/>
  <c r="F71" i="78"/>
  <c r="L58" i="78"/>
  <c r="L59" i="78"/>
  <c r="Q61" i="78" s="1"/>
  <c r="M59" i="78"/>
  <c r="N59" i="78"/>
  <c r="C6" i="78"/>
  <c r="C32" i="78" s="1"/>
  <c r="F68" i="78"/>
  <c r="I54" i="81"/>
  <c r="J53" i="81"/>
  <c r="J57" i="81"/>
  <c r="J55" i="81" s="1"/>
  <c r="J58" i="81" s="1"/>
  <c r="Q50" i="81" s="1"/>
  <c r="F50" i="82"/>
  <c r="M7" i="82"/>
  <c r="J6" i="82" s="1"/>
  <c r="J18" i="82" s="1"/>
  <c r="L58" i="82"/>
  <c r="M59" i="82"/>
  <c r="L59" i="82"/>
  <c r="Q61" i="82" s="1"/>
  <c r="N59" i="82"/>
  <c r="L56" i="80"/>
  <c r="I54" i="80"/>
  <c r="J57" i="80"/>
  <c r="J55" i="80" s="1"/>
  <c r="J58" i="80" s="1"/>
  <c r="Q50" i="80" s="1"/>
  <c r="J53" i="80"/>
  <c r="Q52" i="80" s="1"/>
  <c r="F65" i="80"/>
  <c r="L59" i="81"/>
  <c r="N59" i="81"/>
  <c r="M59" i="81"/>
  <c r="L58" i="81"/>
  <c r="Q60" i="81" s="1"/>
  <c r="I54" i="78"/>
  <c r="J53" i="78"/>
  <c r="F1" i="78" s="1"/>
  <c r="L56" i="78"/>
  <c r="J57" i="78"/>
  <c r="J55" i="78" s="1"/>
  <c r="J58" i="78" s="1"/>
  <c r="Q50" i="78" s="1"/>
  <c r="F65" i="78"/>
  <c r="C27" i="78"/>
  <c r="C27" i="81"/>
  <c r="F50" i="78"/>
  <c r="M7" i="78"/>
  <c r="J6" i="78" s="1"/>
  <c r="J18" i="78" s="1"/>
  <c r="F64" i="78"/>
  <c r="Q71" i="78"/>
  <c r="J53" i="82"/>
  <c r="Q52" i="82" s="1"/>
  <c r="J57" i="82"/>
  <c r="J55" i="82" s="1"/>
  <c r="J58" i="82" s="1"/>
  <c r="Q50" i="82" s="1"/>
  <c r="L60" i="82"/>
  <c r="Q66" i="82" s="1"/>
  <c r="I54" i="82"/>
  <c r="L57" i="82"/>
  <c r="L56" i="82"/>
  <c r="F65" i="82"/>
  <c r="C6" i="82"/>
  <c r="C10" i="82" s="1"/>
  <c r="C5" i="82" s="1"/>
  <c r="F68" i="82"/>
  <c r="F51" i="82"/>
  <c r="F51" i="80"/>
  <c r="F66" i="80"/>
  <c r="F68" i="80"/>
  <c r="C6" i="81"/>
  <c r="C32" i="81" s="1"/>
  <c r="F50" i="81"/>
  <c r="M7" i="81"/>
  <c r="J6" i="81" s="1"/>
  <c r="J18" i="81" s="1"/>
  <c r="F68" i="81"/>
  <c r="AB7" i="34"/>
  <c r="T49" i="34" s="1"/>
  <c r="G49" i="34" s="1"/>
  <c r="G54" i="34" s="1"/>
  <c r="H54" i="34" s="1"/>
  <c r="C104" i="43"/>
  <c r="C106" i="43"/>
  <c r="N107" i="43"/>
  <c r="AC7" i="33"/>
  <c r="V48" i="33" s="1"/>
  <c r="I48" i="33" s="1"/>
  <c r="I52" i="33" s="1"/>
  <c r="J52" i="33" s="1"/>
  <c r="W7" i="33"/>
  <c r="T54" i="71"/>
  <c r="D54" i="71"/>
  <c r="C109" i="43"/>
  <c r="N109" i="43"/>
  <c r="N106" i="43"/>
  <c r="AA15" i="33"/>
  <c r="S15" i="33"/>
  <c r="T34" i="71"/>
  <c r="D34" i="71"/>
  <c r="S19" i="34"/>
  <c r="AA19" i="34"/>
  <c r="R49" i="34" s="1"/>
  <c r="E5" i="71"/>
  <c r="V6" i="71"/>
  <c r="C103" i="43"/>
  <c r="N104" i="43"/>
  <c r="R48" i="33"/>
  <c r="AB15" i="33"/>
  <c r="T48" i="33" s="1"/>
  <c r="G48" i="33" s="1"/>
  <c r="U15" i="33"/>
  <c r="F30" i="6"/>
  <c r="F31" i="6" s="1"/>
  <c r="E29" i="6"/>
  <c r="D25" i="71"/>
  <c r="C26" i="71"/>
  <c r="D14" i="12"/>
  <c r="D17" i="12" s="1"/>
  <c r="C17" i="12" s="1"/>
  <c r="D19" i="11"/>
  <c r="C19" i="11" s="1"/>
  <c r="C20" i="11" s="1"/>
  <c r="I116" i="43"/>
  <c r="J116" i="43" s="1"/>
  <c r="K116" i="43" s="1"/>
  <c r="L116" i="43" s="1"/>
  <c r="M116" i="43" s="1"/>
  <c r="D117" i="43"/>
  <c r="E117" i="43" s="1"/>
  <c r="F117" i="43" s="1"/>
  <c r="G117" i="43" s="1"/>
  <c r="H117" i="43" s="1"/>
  <c r="I118" i="43"/>
  <c r="J118" i="43" s="1"/>
  <c r="K118" i="43" s="1"/>
  <c r="L118" i="43" s="1"/>
  <c r="M118" i="43" s="1"/>
  <c r="G118" i="43"/>
  <c r="H118" i="43" s="1"/>
  <c r="M18" i="9"/>
  <c r="B118" i="9" s="1"/>
  <c r="B14" i="74" s="1"/>
  <c r="B116" i="43"/>
  <c r="C116" i="43" s="1"/>
  <c r="B117" i="43"/>
  <c r="C117" i="43" s="1"/>
  <c r="B115" i="43"/>
  <c r="I117" i="43"/>
  <c r="J117" i="43" s="1"/>
  <c r="K117" i="43" s="1"/>
  <c r="L117" i="43" s="1"/>
  <c r="M117" i="43" s="1"/>
  <c r="D116" i="43"/>
  <c r="E116" i="43" s="1"/>
  <c r="F116" i="43" s="1"/>
  <c r="G116" i="43" s="1"/>
  <c r="H116" i="43" s="1"/>
  <c r="H107" i="43"/>
  <c r="H102" i="43"/>
  <c r="H106" i="43"/>
  <c r="H104" i="43"/>
  <c r="AC6" i="3"/>
  <c r="H109" i="43"/>
  <c r="H103" i="43"/>
  <c r="M18" i="86"/>
  <c r="D37" i="11"/>
  <c r="C37" i="11" s="1"/>
  <c r="AY6" i="3"/>
  <c r="AY550" i="3" s="1"/>
  <c r="F24" i="85"/>
  <c r="C24" i="85" s="1"/>
  <c r="C29" i="68"/>
  <c r="D27" i="68" s="1"/>
  <c r="AY498" i="3"/>
  <c r="AY70" i="3"/>
  <c r="AY241" i="3"/>
  <c r="AY378" i="3"/>
  <c r="AY169" i="3"/>
  <c r="AY16" i="3"/>
  <c r="AY485" i="3"/>
  <c r="AY47" i="3"/>
  <c r="AY357" i="3"/>
  <c r="AY581" i="3"/>
  <c r="AY483" i="3"/>
  <c r="AY368" i="3"/>
  <c r="AY237" i="3"/>
  <c r="H6" i="3"/>
  <c r="AY489" i="3"/>
  <c r="AY379" i="3"/>
  <c r="AY117" i="3"/>
  <c r="AY365" i="3"/>
  <c r="AY144" i="3"/>
  <c r="AY366" i="3"/>
  <c r="AY73" i="3"/>
  <c r="AY446" i="3"/>
  <c r="AY114" i="3"/>
  <c r="AY518" i="3"/>
  <c r="AY434" i="3"/>
  <c r="AY575" i="3"/>
  <c r="AY528" i="3"/>
  <c r="AY288" i="3"/>
  <c r="AY210" i="3"/>
  <c r="BG6" i="3"/>
  <c r="AY412" i="3"/>
  <c r="AY390" i="3"/>
  <c r="AY25" i="3"/>
  <c r="AY126" i="3"/>
  <c r="AY150" i="3"/>
  <c r="AY370" i="3"/>
  <c r="AY441" i="3"/>
  <c r="AY401" i="3"/>
  <c r="AY145" i="3"/>
  <c r="AY472" i="3"/>
  <c r="AY60" i="3"/>
  <c r="AY197" i="3"/>
  <c r="AY21" i="3"/>
  <c r="AY218" i="3"/>
  <c r="AY530" i="3"/>
  <c r="AY30" i="3"/>
  <c r="AY102" i="3"/>
  <c r="AY293" i="3"/>
  <c r="AY201" i="3"/>
  <c r="AY290" i="3"/>
  <c r="AY213" i="3"/>
  <c r="AY517" i="3"/>
  <c r="AY15" i="3"/>
  <c r="AY224" i="3"/>
  <c r="AY14" i="3"/>
  <c r="AY487" i="3"/>
  <c r="AY584" i="3"/>
  <c r="AY24" i="3"/>
  <c r="AY482" i="3"/>
  <c r="AY62" i="3"/>
  <c r="AY543" i="3"/>
  <c r="AY41" i="3"/>
  <c r="AY262" i="3"/>
  <c r="AY463" i="3"/>
  <c r="BS6" i="3"/>
  <c r="AY141" i="3"/>
  <c r="AY252" i="3"/>
  <c r="AY18" i="3"/>
  <c r="J10" i="85"/>
  <c r="J5" i="85" s="1"/>
  <c r="J26" i="85" s="1"/>
  <c r="C49" i="85"/>
  <c r="Q73" i="81"/>
  <c r="Q61" i="85"/>
  <c r="Q74" i="85"/>
  <c r="C33" i="85"/>
  <c r="C32" i="85"/>
  <c r="C49" i="81"/>
  <c r="Q52" i="85"/>
  <c r="F1" i="85"/>
  <c r="Q73" i="85"/>
  <c r="Q60" i="85"/>
  <c r="Q57" i="85"/>
  <c r="Q66" i="85"/>
  <c r="C53" i="85"/>
  <c r="C10" i="85"/>
  <c r="C5" i="85" s="1"/>
  <c r="C29" i="69"/>
  <c r="D27" i="69" s="1"/>
  <c r="C47" i="68"/>
  <c r="D45" i="68" s="1"/>
  <c r="M14" i="1"/>
  <c r="C34" i="69"/>
  <c r="I118" i="84"/>
  <c r="J118" i="84" s="1"/>
  <c r="K118" i="84" s="1"/>
  <c r="L118" i="84" s="1"/>
  <c r="M118" i="84" s="1"/>
  <c r="I115" i="84"/>
  <c r="J115" i="84" s="1"/>
  <c r="K115" i="84" s="1"/>
  <c r="L115" i="84" s="1"/>
  <c r="M115" i="84" s="1"/>
  <c r="B117" i="84"/>
  <c r="C117" i="84" s="1"/>
  <c r="B115" i="84"/>
  <c r="I117" i="84"/>
  <c r="J117" i="84" s="1"/>
  <c r="K117" i="84" s="1"/>
  <c r="L117" i="84" s="1"/>
  <c r="M117" i="84" s="1"/>
  <c r="B118" i="84"/>
  <c r="C118" i="84" s="1"/>
  <c r="B116" i="84"/>
  <c r="C116" i="84" s="1"/>
  <c r="I116" i="84"/>
  <c r="J116" i="84" s="1"/>
  <c r="K116" i="84" s="1"/>
  <c r="L116" i="84" s="1"/>
  <c r="M116" i="84" s="1"/>
  <c r="D117" i="84"/>
  <c r="E117" i="84" s="1"/>
  <c r="F117" i="84" s="1"/>
  <c r="G117" i="84" s="1"/>
  <c r="H117" i="84" s="1"/>
  <c r="G118" i="84"/>
  <c r="H118" i="84" s="1"/>
  <c r="D118" i="84"/>
  <c r="E118" i="84" s="1"/>
  <c r="F118" i="84" s="1"/>
  <c r="D116" i="84"/>
  <c r="E116" i="84" s="1"/>
  <c r="F116" i="84" s="1"/>
  <c r="G116" i="84" s="1"/>
  <c r="H116" i="84" s="1"/>
  <c r="D115" i="84"/>
  <c r="E115" i="84" s="1"/>
  <c r="F115" i="84" s="1"/>
  <c r="G115" i="84" s="1"/>
  <c r="H115" i="84" s="1"/>
  <c r="C105" i="84"/>
  <c r="C107" i="84"/>
  <c r="C106" i="84"/>
  <c r="C102" i="84"/>
  <c r="C109" i="84"/>
  <c r="C104" i="84"/>
  <c r="C103" i="84"/>
  <c r="I105" i="84"/>
  <c r="I106" i="84"/>
  <c r="I102" i="84"/>
  <c r="I104" i="84"/>
  <c r="I109" i="84"/>
  <c r="I107" i="84"/>
  <c r="I103" i="84"/>
  <c r="H107" i="84"/>
  <c r="H103" i="84"/>
  <c r="H104" i="84"/>
  <c r="H106" i="84"/>
  <c r="H102" i="84"/>
  <c r="H109" i="84"/>
  <c r="H105" i="84"/>
  <c r="D3" i="37"/>
  <c r="E6" i="6"/>
  <c r="C17" i="4"/>
  <c r="B4" i="52" s="1"/>
  <c r="B43" i="72" s="1"/>
  <c r="D109" i="84"/>
  <c r="D105" i="84"/>
  <c r="D106" i="84"/>
  <c r="D102" i="84"/>
  <c r="D104" i="84"/>
  <c r="D107" i="84"/>
  <c r="D103" i="84"/>
  <c r="K105" i="84"/>
  <c r="K107" i="84"/>
  <c r="K109" i="84"/>
  <c r="K102" i="84"/>
  <c r="K104" i="84"/>
  <c r="K103" i="84"/>
  <c r="K106" i="84"/>
  <c r="L105" i="84"/>
  <c r="L106" i="84"/>
  <c r="L102" i="84"/>
  <c r="L104" i="84"/>
  <c r="L107" i="84"/>
  <c r="L103" i="84"/>
  <c r="L109" i="84"/>
  <c r="D22" i="84"/>
  <c r="C21" i="84" s="1"/>
  <c r="N109" i="84"/>
  <c r="N104" i="84"/>
  <c r="N106" i="84"/>
  <c r="N105" i="84"/>
  <c r="N107" i="84"/>
  <c r="N103" i="84"/>
  <c r="N102" i="84"/>
  <c r="J106" i="84"/>
  <c r="J102" i="84"/>
  <c r="J104" i="84"/>
  <c r="J107" i="84"/>
  <c r="J109" i="84"/>
  <c r="J105" i="84"/>
  <c r="J103" i="84"/>
  <c r="M109" i="84"/>
  <c r="M107" i="84"/>
  <c r="M103" i="84"/>
  <c r="M104" i="84"/>
  <c r="M106" i="84"/>
  <c r="M102" i="84"/>
  <c r="M105" i="84"/>
  <c r="BC6" i="3"/>
  <c r="AY416" i="3"/>
  <c r="AY179" i="3"/>
  <c r="AY587" i="3"/>
  <c r="AY127" i="3"/>
  <c r="AY94" i="3"/>
  <c r="AY586" i="3"/>
  <c r="AY583" i="3"/>
  <c r="AY391" i="3"/>
  <c r="AY128" i="3"/>
  <c r="AY346" i="3"/>
  <c r="AY249" i="3"/>
  <c r="AY524" i="3"/>
  <c r="AY439" i="3"/>
  <c r="AY329" i="3"/>
  <c r="AY380" i="3"/>
  <c r="AY194" i="3"/>
  <c r="AY65" i="3"/>
  <c r="AY495" i="3"/>
  <c r="AY534" i="3"/>
  <c r="AY177" i="3"/>
  <c r="AY381" i="3"/>
  <c r="AY433" i="3"/>
  <c r="AY180" i="3"/>
  <c r="AY307" i="3"/>
  <c r="AY386" i="3"/>
  <c r="AY200" i="3"/>
  <c r="AY71" i="3"/>
  <c r="AY451" i="3"/>
  <c r="AY315" i="3"/>
  <c r="AY151" i="3"/>
  <c r="AY19" i="3"/>
  <c r="AY551" i="3"/>
  <c r="AY522" i="3"/>
  <c r="AY445" i="3"/>
  <c r="AY479" i="3"/>
  <c r="AY250" i="3"/>
  <c r="AY113" i="3"/>
  <c r="AY523" i="3"/>
  <c r="AY532" i="3"/>
  <c r="AY503" i="3"/>
  <c r="AY457" i="3"/>
  <c r="AY263" i="3"/>
  <c r="AY206" i="3"/>
  <c r="AY318" i="3"/>
  <c r="AY131" i="3"/>
  <c r="AY398" i="3"/>
  <c r="AY462" i="3"/>
  <c r="AY166" i="3"/>
  <c r="AY109" i="3"/>
  <c r="AY133" i="3"/>
  <c r="AY190" i="3"/>
  <c r="AY420" i="3"/>
  <c r="AY372" i="3"/>
  <c r="AY236" i="3"/>
  <c r="AY281" i="3"/>
  <c r="AY480" i="3"/>
  <c r="AY324" i="3"/>
  <c r="AY275" i="3"/>
  <c r="AY161" i="3"/>
  <c r="AY507" i="3"/>
  <c r="AY373" i="3"/>
  <c r="AY286" i="3"/>
  <c r="AY134" i="3"/>
  <c r="AY20" i="3"/>
  <c r="AY84" i="3"/>
  <c r="AY573" i="3"/>
  <c r="AY417" i="3"/>
  <c r="AY212" i="3"/>
  <c r="AY116" i="3"/>
  <c r="AY319" i="3"/>
  <c r="AY209" i="3"/>
  <c r="AY183" i="3"/>
  <c r="AY289" i="3"/>
  <c r="E66" i="39"/>
  <c r="F104" i="84"/>
  <c r="F102" i="84"/>
  <c r="F107" i="84"/>
  <c r="F103" i="84"/>
  <c r="F105" i="84"/>
  <c r="F109" i="84"/>
  <c r="F106" i="84"/>
  <c r="G109" i="84"/>
  <c r="G107" i="84"/>
  <c r="G103" i="84"/>
  <c r="G105" i="84"/>
  <c r="G104" i="84"/>
  <c r="G106" i="84"/>
  <c r="G102" i="84"/>
  <c r="E107" i="84"/>
  <c r="E103" i="84"/>
  <c r="E104" i="84"/>
  <c r="E109" i="84"/>
  <c r="E106" i="84"/>
  <c r="E102" i="84"/>
  <c r="E105" i="84"/>
  <c r="G20" i="84"/>
  <c r="H7" i="1" s="1"/>
  <c r="G7" i="1" s="1"/>
  <c r="H8" i="1"/>
  <c r="G8" i="1" s="1"/>
  <c r="G6" i="1"/>
  <c r="D62" i="43"/>
  <c r="J62" i="43"/>
  <c r="D64" i="43"/>
  <c r="J64" i="43"/>
  <c r="J61" i="43"/>
  <c r="D61" i="43"/>
  <c r="Q74" i="78"/>
  <c r="Q57" i="82"/>
  <c r="G68" i="39"/>
  <c r="F70" i="39"/>
  <c r="E65" i="40"/>
  <c r="F63" i="40"/>
  <c r="Q74" i="82"/>
  <c r="F1" i="82"/>
  <c r="L56" i="81"/>
  <c r="F1" i="81"/>
  <c r="Q52" i="81"/>
  <c r="Q74" i="81"/>
  <c r="Q61" i="81"/>
  <c r="E41" i="43"/>
  <c r="C41" i="43" s="1"/>
  <c r="C20" i="43"/>
  <c r="F24" i="81"/>
  <c r="C24" i="81" s="1"/>
  <c r="F24" i="82"/>
  <c r="C53" i="82"/>
  <c r="C53" i="81"/>
  <c r="C10" i="81"/>
  <c r="F24" i="78"/>
  <c r="C24" i="78" s="1"/>
  <c r="F24" i="80"/>
  <c r="C53" i="80"/>
  <c r="C10" i="80"/>
  <c r="C5" i="80" s="1"/>
  <c r="C53" i="78"/>
  <c r="C10" i="78"/>
  <c r="C5" i="78" s="1"/>
  <c r="C29" i="11"/>
  <c r="D27" i="11" s="1"/>
  <c r="E27" i="6"/>
  <c r="K22" i="6" s="1"/>
  <c r="C28" i="11"/>
  <c r="C27" i="11" s="1"/>
  <c r="K23" i="6"/>
  <c r="M23" i="6" s="1"/>
  <c r="I23" i="6" s="1"/>
  <c r="S23" i="6" s="1"/>
  <c r="C115" i="43"/>
  <c r="S4" i="43"/>
  <c r="S2" i="43"/>
  <c r="S6" i="43"/>
  <c r="C23" i="43"/>
  <c r="C21" i="43" s="1"/>
  <c r="S7" i="43"/>
  <c r="S5" i="43"/>
  <c r="S3" i="43"/>
  <c r="I53" i="34"/>
  <c r="J53" i="34" s="1"/>
  <c r="F58" i="21"/>
  <c r="F7" i="35"/>
  <c r="H7" i="37"/>
  <c r="F7" i="37"/>
  <c r="F46" i="36"/>
  <c r="J7" i="35"/>
  <c r="G53" i="34"/>
  <c r="H53" i="34" s="1"/>
  <c r="J7" i="37"/>
  <c r="H7" i="35"/>
  <c r="J26" i="67"/>
  <c r="J29" i="67" s="1"/>
  <c r="J24" i="67"/>
  <c r="C53" i="67"/>
  <c r="C48" i="67" s="1"/>
  <c r="C10" i="67"/>
  <c r="C5" i="67" s="1"/>
  <c r="F25" i="12"/>
  <c r="F22" i="69"/>
  <c r="F24" i="67"/>
  <c r="C24" i="67" s="1"/>
  <c r="F22" i="11"/>
  <c r="F22" i="68"/>
  <c r="C16" i="78"/>
  <c r="AE6" i="1"/>
  <c r="AE10" i="1"/>
  <c r="C16" i="82"/>
  <c r="AE9" i="1"/>
  <c r="C16" i="81"/>
  <c r="AE7" i="1"/>
  <c r="C16" i="80"/>
  <c r="J10" i="78" l="1"/>
  <c r="J5" i="78" s="1"/>
  <c r="J26" i="78" s="1"/>
  <c r="R50" i="34"/>
  <c r="Q52" i="78"/>
  <c r="E49" i="34"/>
  <c r="I54" i="34" s="1"/>
  <c r="J54" i="34" s="1"/>
  <c r="C49" i="78"/>
  <c r="C48" i="78" s="1"/>
  <c r="F1" i="80"/>
  <c r="Q61" i="80"/>
  <c r="C5" i="81"/>
  <c r="C38" i="81" s="1"/>
  <c r="C19" i="67"/>
  <c r="C20" i="67" s="1"/>
  <c r="C26" i="67" s="1"/>
  <c r="C14" i="12"/>
  <c r="J10" i="81"/>
  <c r="J5" i="81" s="1"/>
  <c r="J26" i="81" s="1"/>
  <c r="C49" i="82"/>
  <c r="C48" i="82" s="1"/>
  <c r="J24" i="78"/>
  <c r="AY50" i="3"/>
  <c r="AY261" i="3"/>
  <c r="AY455" i="3"/>
  <c r="AY343" i="3"/>
  <c r="AY539" i="3"/>
  <c r="AY193" i="3"/>
  <c r="AY270" i="3"/>
  <c r="AY88" i="3"/>
  <c r="AY215" i="3"/>
  <c r="AY51" i="3"/>
  <c r="AY473" i="3"/>
  <c r="AY533" i="3"/>
  <c r="AY247" i="3"/>
  <c r="AY242" i="3"/>
  <c r="BQ6" i="3"/>
  <c r="AY395" i="3"/>
  <c r="BJ6" i="3"/>
  <c r="AY536" i="3"/>
  <c r="AY64" i="3"/>
  <c r="AY361" i="3"/>
  <c r="AY402" i="3"/>
  <c r="BP6" i="3"/>
  <c r="AY265" i="3"/>
  <c r="AY500" i="3"/>
  <c r="AY143" i="3"/>
  <c r="AY115" i="3"/>
  <c r="AY45" i="3"/>
  <c r="AY332" i="3"/>
  <c r="AY501" i="3"/>
  <c r="AY137" i="3"/>
  <c r="AY312" i="3"/>
  <c r="AY578" i="3"/>
  <c r="AY558" i="3"/>
  <c r="AY474" i="3"/>
  <c r="AY579" i="3"/>
  <c r="AY376" i="3"/>
  <c r="AY256" i="3"/>
  <c r="AY244" i="3"/>
  <c r="AY393" i="3"/>
  <c r="AY475" i="3"/>
  <c r="AY235" i="3"/>
  <c r="AY136" i="3"/>
  <c r="AY37" i="3"/>
  <c r="AY135" i="3"/>
  <c r="AY499" i="3"/>
  <c r="BD6" i="3"/>
  <c r="AY409" i="3"/>
  <c r="AY440" i="3"/>
  <c r="AY415" i="3"/>
  <c r="AY508" i="3"/>
  <c r="AY428" i="3"/>
  <c r="AY230" i="3"/>
  <c r="AY152" i="3"/>
  <c r="BI6" i="3"/>
  <c r="AY105" i="3"/>
  <c r="AY204" i="3"/>
  <c r="AY541" i="3"/>
  <c r="AY330" i="3"/>
  <c r="AY396" i="3"/>
  <c r="AY513" i="3"/>
  <c r="AY283" i="3"/>
  <c r="AY356" i="3"/>
  <c r="AY68" i="3"/>
  <c r="AY147" i="3"/>
  <c r="AY447" i="3"/>
  <c r="AY310" i="3"/>
  <c r="AY559" i="3"/>
  <c r="AY351" i="3"/>
  <c r="AY328" i="3"/>
  <c r="AY521" i="3"/>
  <c r="B118" i="86"/>
  <c r="B15" i="74"/>
  <c r="T26" i="71"/>
  <c r="D26" i="71"/>
  <c r="M20" i="43" s="1"/>
  <c r="C19" i="43" s="1"/>
  <c r="J10" i="82"/>
  <c r="J5" i="82" s="1"/>
  <c r="C33" i="82"/>
  <c r="C32" i="82"/>
  <c r="Q73" i="78"/>
  <c r="Q60" i="78"/>
  <c r="AY160" i="3"/>
  <c r="AY284" i="3"/>
  <c r="AY497" i="3"/>
  <c r="AY478" i="3"/>
  <c r="AY100" i="3"/>
  <c r="AY173" i="3"/>
  <c r="AY227" i="3"/>
  <c r="AY29" i="3"/>
  <c r="AY341" i="3"/>
  <c r="AY124" i="3"/>
  <c r="AY26" i="3"/>
  <c r="AY61" i="3"/>
  <c r="AY397" i="3"/>
  <c r="AY348" i="3"/>
  <c r="AY83" i="3"/>
  <c r="AY569" i="3"/>
  <c r="AY274" i="3"/>
  <c r="AY552" i="3"/>
  <c r="AY174" i="3"/>
  <c r="AY305" i="3"/>
  <c r="AY505" i="3"/>
  <c r="AY79" i="3"/>
  <c r="AY394" i="3"/>
  <c r="AY568" i="3"/>
  <c r="AY257" i="3"/>
  <c r="AY225" i="3"/>
  <c r="AY118" i="3"/>
  <c r="AY435" i="3"/>
  <c r="AY582" i="3"/>
  <c r="AY251" i="3"/>
  <c r="AY468" i="3"/>
  <c r="AY192" i="3"/>
  <c r="AY55" i="3"/>
  <c r="AY413" i="3"/>
  <c r="AY509" i="3"/>
  <c r="AY424" i="3"/>
  <c r="AY306" i="3"/>
  <c r="AY555" i="3"/>
  <c r="AY42" i="3"/>
  <c r="AY371" i="3"/>
  <c r="AY431" i="3"/>
  <c r="AY470" i="3"/>
  <c r="AY234" i="3"/>
  <c r="AY560" i="3"/>
  <c r="AY167" i="3"/>
  <c r="AY516" i="3"/>
  <c r="AY322" i="3"/>
  <c r="AY248" i="3"/>
  <c r="AY304" i="3"/>
  <c r="AY580" i="3"/>
  <c r="AY585" i="3"/>
  <c r="AY33" i="3"/>
  <c r="AY464" i="3"/>
  <c r="AY238" i="3"/>
  <c r="AY404" i="3"/>
  <c r="AY196" i="3"/>
  <c r="AY297" i="3"/>
  <c r="AY203" i="3"/>
  <c r="AY81" i="3"/>
  <c r="AY58" i="3"/>
  <c r="AY549" i="3"/>
  <c r="AY40" i="3"/>
  <c r="AY540" i="3"/>
  <c r="AY191" i="3"/>
  <c r="AY157" i="3"/>
  <c r="AY278" i="3"/>
  <c r="AY336" i="3"/>
  <c r="AY104" i="3"/>
  <c r="AY506" i="3"/>
  <c r="BR6" i="3"/>
  <c r="G52" i="33"/>
  <c r="H52" i="33" s="1"/>
  <c r="G53" i="33"/>
  <c r="H53" i="33" s="1"/>
  <c r="J10" i="80"/>
  <c r="J5" i="80" s="1"/>
  <c r="Q60" i="82"/>
  <c r="Q73" i="82"/>
  <c r="K15" i="1"/>
  <c r="K16" i="1" s="1"/>
  <c r="E30" i="6"/>
  <c r="E48" i="33"/>
  <c r="R49" i="33"/>
  <c r="Q60" i="80"/>
  <c r="Q73" i="80"/>
  <c r="C49" i="80"/>
  <c r="C48" i="80" s="1"/>
  <c r="AY31" i="3"/>
  <c r="AY436" i="3"/>
  <c r="AY254" i="3"/>
  <c r="AY467" i="3"/>
  <c r="AY44" i="3"/>
  <c r="BM6" i="3"/>
  <c r="AY419" i="3"/>
  <c r="AY320" i="3"/>
  <c r="AY233" i="3"/>
  <c r="AY339" i="3"/>
  <c r="AY525" i="3"/>
  <c r="AY129" i="3"/>
  <c r="AY458" i="3"/>
  <c r="AY362" i="3"/>
  <c r="AY443" i="3"/>
  <c r="AY531" i="3"/>
  <c r="AY27" i="3"/>
  <c r="AY510" i="3"/>
  <c r="AY214" i="3"/>
  <c r="AY276" i="3"/>
  <c r="AY195" i="3"/>
  <c r="AY347" i="3"/>
  <c r="AY493" i="3"/>
  <c r="AY450" i="3"/>
  <c r="AY122" i="3"/>
  <c r="AY520" i="3"/>
  <c r="AY246" i="3"/>
  <c r="AY59" i="3"/>
  <c r="AY353" i="3"/>
  <c r="AY125" i="3"/>
  <c r="AY217" i="3"/>
  <c r="AY207" i="3"/>
  <c r="AY243" i="3"/>
  <c r="AY389" i="3"/>
  <c r="AY162" i="3"/>
  <c r="AY574" i="3"/>
  <c r="AY199" i="3"/>
  <c r="AY163" i="3"/>
  <c r="AY422" i="3"/>
  <c r="AY228" i="3"/>
  <c r="AY164" i="3"/>
  <c r="AY301" i="3"/>
  <c r="AY399" i="3"/>
  <c r="AY298" i="3"/>
  <c r="AY438" i="3"/>
  <c r="AY106" i="3"/>
  <c r="AY333" i="3"/>
  <c r="AY92" i="3"/>
  <c r="AY111" i="3"/>
  <c r="AY258" i="3"/>
  <c r="AY255" i="3"/>
  <c r="AY89" i="3"/>
  <c r="AY269" i="3"/>
  <c r="AY90" i="3"/>
  <c r="AY74" i="3"/>
  <c r="BO6" i="3"/>
  <c r="AY226" i="3"/>
  <c r="AY76" i="3"/>
  <c r="AY268" i="3"/>
  <c r="AY267" i="3"/>
  <c r="AY296" i="3"/>
  <c r="AY335" i="3"/>
  <c r="AY48" i="3"/>
  <c r="AY453" i="3"/>
  <c r="AY437" i="3"/>
  <c r="AY423" i="3"/>
  <c r="AY273" i="3"/>
  <c r="AY444" i="3"/>
  <c r="AY36" i="3"/>
  <c r="AY181" i="3"/>
  <c r="AY460" i="3"/>
  <c r="AY202" i="3"/>
  <c r="AY77" i="3"/>
  <c r="AY32" i="3"/>
  <c r="AY537" i="3"/>
  <c r="AY107" i="3"/>
  <c r="AY28" i="3"/>
  <c r="AY101" i="3"/>
  <c r="AY345" i="3"/>
  <c r="AY99" i="3"/>
  <c r="AY184" i="3"/>
  <c r="AY78" i="3"/>
  <c r="AY331" i="3"/>
  <c r="AY459" i="3"/>
  <c r="AY454" i="3"/>
  <c r="BK6" i="3"/>
  <c r="AY208" i="3"/>
  <c r="AY547" i="3"/>
  <c r="AY120" i="3"/>
  <c r="AY564" i="3"/>
  <c r="AY337" i="3"/>
  <c r="AY112" i="3"/>
  <c r="AY491" i="3"/>
  <c r="AY452" i="3"/>
  <c r="AY427" i="3"/>
  <c r="BH6" i="3"/>
  <c r="AY97" i="3"/>
  <c r="AY382" i="3"/>
  <c r="AY340" i="3"/>
  <c r="AY72" i="3"/>
  <c r="AY271" i="3"/>
  <c r="AY53" i="3"/>
  <c r="AY326" i="3"/>
  <c r="AY220" i="3"/>
  <c r="AY98" i="3"/>
  <c r="AY554" i="3"/>
  <c r="AY375" i="3"/>
  <c r="AY408" i="3"/>
  <c r="AY110" i="3"/>
  <c r="AY321" i="3"/>
  <c r="AY556" i="3"/>
  <c r="AY392" i="3"/>
  <c r="AY411" i="3"/>
  <c r="AY219" i="3"/>
  <c r="AY327" i="3"/>
  <c r="AY308" i="3"/>
  <c r="BB6" i="3"/>
  <c r="AY146" i="3"/>
  <c r="AY481" i="3"/>
  <c r="AY387" i="3"/>
  <c r="AY67" i="3"/>
  <c r="AY229" i="3"/>
  <c r="AY239" i="3"/>
  <c r="AY95" i="3"/>
  <c r="AY316" i="3"/>
  <c r="AY406" i="3"/>
  <c r="AY418" i="3"/>
  <c r="AY175" i="3"/>
  <c r="AY403" i="3"/>
  <c r="AY266" i="3"/>
  <c r="AY156" i="3"/>
  <c r="AY477" i="3"/>
  <c r="AY405" i="3"/>
  <c r="AY187" i="3"/>
  <c r="E6" i="3"/>
  <c r="D113" i="43"/>
  <c r="AY82" i="3"/>
  <c r="AY292" i="3"/>
  <c r="AY526" i="3"/>
  <c r="AY557" i="3"/>
  <c r="AY182" i="3"/>
  <c r="AY211" i="3"/>
  <c r="AY121" i="3"/>
  <c r="AY87" i="3"/>
  <c r="AY300" i="3"/>
  <c r="AY154" i="3"/>
  <c r="AY259" i="3"/>
  <c r="AY23" i="3"/>
  <c r="AY149" i="3"/>
  <c r="BN6" i="3"/>
  <c r="AY142" i="3"/>
  <c r="AY476" i="3"/>
  <c r="AY548" i="3"/>
  <c r="AY383" i="3"/>
  <c r="AY54" i="3"/>
  <c r="AY176" i="3"/>
  <c r="AY294" i="3"/>
  <c r="AY571" i="3"/>
  <c r="AY96" i="3"/>
  <c r="AY287" i="3"/>
  <c r="AY313" i="3"/>
  <c r="AY426" i="3"/>
  <c r="AY63" i="3"/>
  <c r="AY469" i="3"/>
  <c r="AY148" i="3"/>
  <c r="AY432" i="3"/>
  <c r="AY442" i="3"/>
  <c r="BA6" i="3"/>
  <c r="AY314" i="3"/>
  <c r="AY159" i="3"/>
  <c r="AY448" i="3"/>
  <c r="AY75" i="3"/>
  <c r="AY43" i="3"/>
  <c r="AY562" i="3"/>
  <c r="AY178" i="3"/>
  <c r="AY384" i="3"/>
  <c r="AY279" i="3"/>
  <c r="AY34" i="3"/>
  <c r="AY260" i="3"/>
  <c r="AY165" i="3"/>
  <c r="AY388" i="3"/>
  <c r="AY155" i="3"/>
  <c r="AY299" i="3"/>
  <c r="AY527" i="3"/>
  <c r="AY153" i="3"/>
  <c r="AY461" i="3"/>
  <c r="AY563" i="3"/>
  <c r="AY359" i="3"/>
  <c r="AY22" i="3"/>
  <c r="AY188" i="3"/>
  <c r="AY231" i="3"/>
  <c r="AY546" i="3"/>
  <c r="AY80" i="3"/>
  <c r="AY282" i="3"/>
  <c r="AY344" i="3"/>
  <c r="AY407" i="3"/>
  <c r="AY46" i="3"/>
  <c r="AY456" i="3"/>
  <c r="AY277" i="3"/>
  <c r="AY400" i="3"/>
  <c r="AY410" i="3"/>
  <c r="AY35" i="3"/>
  <c r="AY466" i="3"/>
  <c r="AY119" i="3"/>
  <c r="AY429" i="3"/>
  <c r="AY171" i="3"/>
  <c r="AY363" i="3"/>
  <c r="AY355" i="3"/>
  <c r="AY85" i="3"/>
  <c r="AY291" i="3"/>
  <c r="AY93" i="3"/>
  <c r="AY325" i="3"/>
  <c r="AY168" i="3"/>
  <c r="AY544" i="3"/>
  <c r="AY374" i="3"/>
  <c r="AY139" i="3"/>
  <c r="AY302" i="3"/>
  <c r="BE6" i="3"/>
  <c r="AY245" i="3"/>
  <c r="AY496" i="3"/>
  <c r="AY17" i="3"/>
  <c r="AY421" i="3"/>
  <c r="AY358" i="3"/>
  <c r="AY494" i="3"/>
  <c r="AY223" i="3"/>
  <c r="AY565" i="3"/>
  <c r="BL6" i="3"/>
  <c r="AY566" i="3"/>
  <c r="AY280" i="3"/>
  <c r="AY367" i="3"/>
  <c r="AY350" i="3"/>
  <c r="AY57" i="3"/>
  <c r="AY360" i="3"/>
  <c r="AY342" i="3"/>
  <c r="AY577" i="3"/>
  <c r="AY538" i="3"/>
  <c r="AY13" i="3"/>
  <c r="AY465" i="3"/>
  <c r="AY514" i="3"/>
  <c r="AY369" i="3"/>
  <c r="AY542" i="3"/>
  <c r="AY91" i="3"/>
  <c r="BT6" i="3"/>
  <c r="AY264" i="3"/>
  <c r="AY323" i="3"/>
  <c r="AY172" i="3"/>
  <c r="D3" i="6"/>
  <c r="AY69" i="3"/>
  <c r="AY414" i="3"/>
  <c r="AY317" i="3"/>
  <c r="AY140" i="3"/>
  <c r="AY240" i="3"/>
  <c r="AY158" i="3"/>
  <c r="AY484" i="3"/>
  <c r="AY338" i="3"/>
  <c r="AY502" i="3"/>
  <c r="AY504" i="3"/>
  <c r="AY311" i="3"/>
  <c r="AY309" i="3"/>
  <c r="AY430" i="3"/>
  <c r="AY377" i="3"/>
  <c r="AY385" i="3"/>
  <c r="AY272" i="3"/>
  <c r="AY349" i="3"/>
  <c r="AY189" i="3"/>
  <c r="AY471" i="3"/>
  <c r="AY285" i="3"/>
  <c r="AY354" i="3"/>
  <c r="AY512" i="3"/>
  <c r="AY511" i="3"/>
  <c r="AY253" i="3"/>
  <c r="AY352" i="3"/>
  <c r="AY488" i="3"/>
  <c r="AY232" i="3"/>
  <c r="AY86" i="3"/>
  <c r="AY334" i="3"/>
  <c r="AY132" i="3"/>
  <c r="BF6" i="3"/>
  <c r="AY138" i="3"/>
  <c r="AY66" i="3"/>
  <c r="AY39" i="3"/>
  <c r="AY216" i="3"/>
  <c r="AY545" i="3"/>
  <c r="AY492" i="3"/>
  <c r="AY205" i="3"/>
  <c r="AY572" i="3"/>
  <c r="AY170" i="3"/>
  <c r="AY561" i="3"/>
  <c r="AY295" i="3"/>
  <c r="AY185" i="3"/>
  <c r="AY529" i="3"/>
  <c r="AY449" i="3"/>
  <c r="AY130" i="3"/>
  <c r="AY222" i="3"/>
  <c r="AY198" i="3"/>
  <c r="AY535" i="3"/>
  <c r="AY425" i="3"/>
  <c r="AY123" i="3"/>
  <c r="AY103" i="3"/>
  <c r="AY486" i="3"/>
  <c r="AY52" i="3"/>
  <c r="AY186" i="3"/>
  <c r="AY303" i="3"/>
  <c r="AY56" i="3"/>
  <c r="AY553" i="3"/>
  <c r="AY49" i="3"/>
  <c r="AY515" i="3"/>
  <c r="AY576" i="3"/>
  <c r="AY108" i="3"/>
  <c r="AY519" i="3"/>
  <c r="AY364" i="3"/>
  <c r="AY570" i="3"/>
  <c r="AY38" i="3"/>
  <c r="AY567" i="3"/>
  <c r="AY221" i="3"/>
  <c r="AY490" i="3"/>
  <c r="J24" i="81"/>
  <c r="J24" i="85"/>
  <c r="C48" i="81"/>
  <c r="C66" i="81" s="1"/>
  <c r="C48" i="85"/>
  <c r="C66" i="85" s="1"/>
  <c r="C38" i="85"/>
  <c r="S10" i="1"/>
  <c r="E10" i="70" s="1"/>
  <c r="K26" i="6"/>
  <c r="M26" i="6" s="1"/>
  <c r="I26" i="6" s="1"/>
  <c r="S26" i="6" s="1"/>
  <c r="K21" i="6"/>
  <c r="D10" i="69"/>
  <c r="D10" i="11"/>
  <c r="C10" i="11" s="1"/>
  <c r="D20" i="12"/>
  <c r="C20" i="12" s="1"/>
  <c r="C18" i="12" s="1"/>
  <c r="C115" i="84"/>
  <c r="D113" i="84" s="1"/>
  <c r="C35" i="69"/>
  <c r="C38" i="69"/>
  <c r="D6" i="6"/>
  <c r="O14" i="1"/>
  <c r="M16" i="1"/>
  <c r="E41" i="84"/>
  <c r="C41" i="84" s="1"/>
  <c r="C20" i="84"/>
  <c r="H16" i="1"/>
  <c r="G16" i="1"/>
  <c r="J10" i="39" s="1"/>
  <c r="E59" i="43"/>
  <c r="B57" i="43" s="1"/>
  <c r="C24" i="43" s="1"/>
  <c r="G70" i="39"/>
  <c r="H68" i="39"/>
  <c r="F65" i="40"/>
  <c r="G63" i="40"/>
  <c r="C38" i="82"/>
  <c r="C24" i="82"/>
  <c r="C38" i="80"/>
  <c r="C24" i="80"/>
  <c r="C38" i="78"/>
  <c r="K24" i="6"/>
  <c r="M24" i="6" s="1"/>
  <c r="I24" i="6" s="1"/>
  <c r="S24" i="6" s="1"/>
  <c r="K25" i="6"/>
  <c r="M25" i="6" s="1"/>
  <c r="I25" i="6" s="1"/>
  <c r="S25" i="6" s="1"/>
  <c r="E31" i="6"/>
  <c r="K19" i="6"/>
  <c r="S6" i="1" s="1"/>
  <c r="K20" i="6"/>
  <c r="M20" i="6" s="1"/>
  <c r="I20" i="6" s="1"/>
  <c r="L18" i="86" s="1"/>
  <c r="B1" i="74" s="1"/>
  <c r="M21" i="6"/>
  <c r="I21" i="6" s="1"/>
  <c r="S21" i="6" s="1"/>
  <c r="S8" i="1"/>
  <c r="M22" i="6"/>
  <c r="I22" i="6" s="1"/>
  <c r="S22" i="6" s="1"/>
  <c r="S9" i="1"/>
  <c r="H23" i="6"/>
  <c r="AB7" i="35"/>
  <c r="T38" i="35" s="1"/>
  <c r="G38" i="35" s="1"/>
  <c r="U7" i="35"/>
  <c r="W7" i="35"/>
  <c r="AC7" i="35"/>
  <c r="V38" i="35" s="1"/>
  <c r="I38" i="35" s="1"/>
  <c r="G46" i="36"/>
  <c r="AB7" i="37"/>
  <c r="T42" i="37" s="1"/>
  <c r="G42" i="37" s="1"/>
  <c r="U7" i="37"/>
  <c r="E53" i="34"/>
  <c r="F53" i="34" s="1"/>
  <c r="W7" i="37"/>
  <c r="AC7" i="37"/>
  <c r="V42" i="37" s="1"/>
  <c r="I42" i="37" s="1"/>
  <c r="AA7" i="37"/>
  <c r="R42" i="37" s="1"/>
  <c r="S7" i="37"/>
  <c r="AA7" i="35"/>
  <c r="R38" i="35" s="1"/>
  <c r="S7" i="35"/>
  <c r="G58" i="21"/>
  <c r="C50" i="34"/>
  <c r="B2" i="34" s="1"/>
  <c r="B3" i="34" s="1"/>
  <c r="C49" i="34"/>
  <c r="C26" i="69"/>
  <c r="D22" i="69" s="1"/>
  <c r="C44" i="69"/>
  <c r="D41" i="69" s="1"/>
  <c r="C44" i="68"/>
  <c r="D41" i="68" s="1"/>
  <c r="C26" i="68"/>
  <c r="D22" i="68" s="1"/>
  <c r="C26" i="12"/>
  <c r="D25" i="12" s="1"/>
  <c r="C44" i="11"/>
  <c r="D41" i="11" s="1"/>
  <c r="C23" i="11"/>
  <c r="C24" i="11"/>
  <c r="C25" i="11"/>
  <c r="C26" i="11"/>
  <c r="D22" i="11" s="1"/>
  <c r="C38" i="67"/>
  <c r="C66" i="67"/>
  <c r="C60" i="67"/>
  <c r="F41" i="85"/>
  <c r="F41" i="81"/>
  <c r="C17" i="80"/>
  <c r="F41" i="82"/>
  <c r="D10" i="68"/>
  <c r="C17" i="81"/>
  <c r="C17" i="85"/>
  <c r="F41" i="78"/>
  <c r="AE8" i="1"/>
  <c r="F41" i="80" s="1"/>
  <c r="C17" i="82"/>
  <c r="E54" i="34" l="1"/>
  <c r="F54" i="34" s="1"/>
  <c r="C66" i="78"/>
  <c r="C60" i="78"/>
  <c r="C23" i="67"/>
  <c r="C29" i="67" s="1"/>
  <c r="C33" i="67" s="1"/>
  <c r="C31" i="67" s="1"/>
  <c r="C66" i="82"/>
  <c r="C60" i="82"/>
  <c r="T2" i="43"/>
  <c r="V2" i="43" s="1"/>
  <c r="C39" i="43"/>
  <c r="E39" i="43" s="1"/>
  <c r="C37" i="43"/>
  <c r="G37" i="43" s="1"/>
  <c r="I37" i="43" s="1"/>
  <c r="T14" i="43"/>
  <c r="V14" i="43" s="1"/>
  <c r="T10" i="43"/>
  <c r="V10" i="43" s="1"/>
  <c r="C60" i="80"/>
  <c r="C66" i="80"/>
  <c r="J24" i="82"/>
  <c r="J26" i="82"/>
  <c r="J29" i="82" s="1"/>
  <c r="J24" i="80"/>
  <c r="J26" i="80"/>
  <c r="T2" i="84"/>
  <c r="V2" i="84" s="1"/>
  <c r="C48" i="33"/>
  <c r="R24" i="31" s="1"/>
  <c r="C49" i="33"/>
  <c r="B2" i="33" s="1"/>
  <c r="B3" i="33" s="1"/>
  <c r="M20" i="84"/>
  <c r="C19" i="84" s="1"/>
  <c r="C34" i="84" s="1"/>
  <c r="E34" i="84" s="1"/>
  <c r="T6" i="43"/>
  <c r="V6" i="43" s="1"/>
  <c r="C38" i="84"/>
  <c r="E38" i="84" s="1"/>
  <c r="I53" i="33"/>
  <c r="J53" i="33" s="1"/>
  <c r="E53" i="33"/>
  <c r="F53" i="33" s="1"/>
  <c r="E52" i="33"/>
  <c r="F52" i="33" s="1"/>
  <c r="C8" i="74"/>
  <c r="C7" i="74"/>
  <c r="H22" i="6"/>
  <c r="S7" i="1"/>
  <c r="AQ7" i="1" s="1"/>
  <c r="D15" i="6"/>
  <c r="D9" i="6"/>
  <c r="D19" i="6"/>
  <c r="D23" i="6"/>
  <c r="R23" i="6" s="1"/>
  <c r="R10" i="1" s="1"/>
  <c r="D13" i="6"/>
  <c r="D14" i="6"/>
  <c r="D22" i="6"/>
  <c r="R22" i="6" s="1"/>
  <c r="R9" i="1" s="1"/>
  <c r="D10" i="6"/>
  <c r="D26" i="6"/>
  <c r="D20" i="6"/>
  <c r="M19" i="86" s="1"/>
  <c r="C118" i="86" s="1"/>
  <c r="C15" i="74" s="1"/>
  <c r="D28" i="6"/>
  <c r="D30" i="6" s="1"/>
  <c r="D24" i="6"/>
  <c r="D29" i="6"/>
  <c r="D8" i="6"/>
  <c r="M19" i="9"/>
  <c r="C118" i="9" s="1"/>
  <c r="C14" i="74" s="1"/>
  <c r="D21" i="6"/>
  <c r="C18" i="4"/>
  <c r="D12" i="6"/>
  <c r="E61" i="40"/>
  <c r="D25" i="6"/>
  <c r="D11" i="6"/>
  <c r="D5" i="6"/>
  <c r="H26" i="6"/>
  <c r="R26" i="6" s="1"/>
  <c r="H25" i="6"/>
  <c r="F69" i="85"/>
  <c r="J29" i="85"/>
  <c r="C60" i="85"/>
  <c r="C60" i="81"/>
  <c r="H24" i="6"/>
  <c r="T10" i="1"/>
  <c r="AQ10" i="1"/>
  <c r="AR10" i="1"/>
  <c r="C35" i="84"/>
  <c r="G35" i="84" s="1"/>
  <c r="I35" i="84" s="1"/>
  <c r="T15" i="84"/>
  <c r="V15" i="84" s="1"/>
  <c r="C36" i="84"/>
  <c r="G36" i="84" s="1"/>
  <c r="I36" i="84" s="1"/>
  <c r="T6" i="84"/>
  <c r="V6" i="84" s="1"/>
  <c r="T13" i="84"/>
  <c r="V13" i="84" s="1"/>
  <c r="T11" i="84"/>
  <c r="V11" i="84" s="1"/>
  <c r="T12" i="84"/>
  <c r="V12" i="84" s="1"/>
  <c r="T10" i="84"/>
  <c r="V10" i="84" s="1"/>
  <c r="C29" i="84"/>
  <c r="C30" i="84" s="1"/>
  <c r="E30" i="84" s="1"/>
  <c r="T3" i="84"/>
  <c r="V3" i="84" s="1"/>
  <c r="C33" i="84"/>
  <c r="E33" i="84" s="1"/>
  <c r="C39" i="84"/>
  <c r="E39" i="84" s="1"/>
  <c r="T7" i="84"/>
  <c r="V7" i="84" s="1"/>
  <c r="E6" i="70"/>
  <c r="L16" i="1"/>
  <c r="C34" i="11"/>
  <c r="N16" i="1"/>
  <c r="C10" i="68"/>
  <c r="D19" i="68"/>
  <c r="M19" i="6"/>
  <c r="I19" i="6" s="1"/>
  <c r="L18" i="9" s="1"/>
  <c r="P14" i="1"/>
  <c r="P16" i="1" s="1"/>
  <c r="C11" i="12" s="1"/>
  <c r="O16" i="1"/>
  <c r="K27" i="6"/>
  <c r="E9" i="70"/>
  <c r="AR6" i="1"/>
  <c r="S16" i="1"/>
  <c r="E7" i="70"/>
  <c r="AQ6" i="1"/>
  <c r="E8" i="70"/>
  <c r="T6" i="1"/>
  <c r="T9" i="84"/>
  <c r="V9" i="84" s="1"/>
  <c r="T16" i="84"/>
  <c r="V16" i="84" s="1"/>
  <c r="T8" i="84"/>
  <c r="V8" i="84" s="1"/>
  <c r="C10" i="69"/>
  <c r="C8" i="69" s="1"/>
  <c r="C5" i="69" s="1"/>
  <c r="C23" i="69" s="1"/>
  <c r="D19" i="69"/>
  <c r="F10" i="40"/>
  <c r="S10" i="40" s="1"/>
  <c r="G38" i="84"/>
  <c r="I38" i="84" s="1"/>
  <c r="H10" i="39"/>
  <c r="U10" i="39" s="1"/>
  <c r="J10" i="40"/>
  <c r="W10" i="40" s="1"/>
  <c r="H10" i="40"/>
  <c r="AB10" i="40" s="1"/>
  <c r="F10" i="39"/>
  <c r="AA10" i="39" s="1"/>
  <c r="W10" i="39"/>
  <c r="AC10" i="39"/>
  <c r="C35" i="43"/>
  <c r="E35" i="43" s="1"/>
  <c r="C36" i="43"/>
  <c r="E36" i="43" s="1"/>
  <c r="T9" i="43"/>
  <c r="V9" i="43" s="1"/>
  <c r="T16" i="43"/>
  <c r="V16" i="43" s="1"/>
  <c r="T4" i="43"/>
  <c r="V4" i="43" s="1"/>
  <c r="J29" i="78"/>
  <c r="F69" i="78"/>
  <c r="F69" i="82"/>
  <c r="F69" i="81"/>
  <c r="J29" i="81"/>
  <c r="F69" i="80"/>
  <c r="J29" i="80"/>
  <c r="C38" i="43"/>
  <c r="E38" i="43" s="1"/>
  <c r="C33" i="43"/>
  <c r="E33" i="43" s="1"/>
  <c r="C34" i="43"/>
  <c r="G34" i="43" s="1"/>
  <c r="I34" i="43" s="1"/>
  <c r="T13" i="43"/>
  <c r="V13" i="43" s="1"/>
  <c r="T15" i="43"/>
  <c r="V15" i="43" s="1"/>
  <c r="T11" i="43"/>
  <c r="V11" i="43" s="1"/>
  <c r="T8" i="43"/>
  <c r="V8" i="43" s="1"/>
  <c r="T12" i="43"/>
  <c r="V12" i="43" s="1"/>
  <c r="C29" i="43"/>
  <c r="T7" i="43"/>
  <c r="V7" i="43" s="1"/>
  <c r="T5" i="43"/>
  <c r="V5" i="43" s="1"/>
  <c r="T3" i="43"/>
  <c r="V3" i="43" s="1"/>
  <c r="G65" i="40"/>
  <c r="H63" i="40"/>
  <c r="H70" i="39"/>
  <c r="I68" i="39"/>
  <c r="C33" i="81"/>
  <c r="C33" i="78"/>
  <c r="H21" i="6"/>
  <c r="AR9" i="1"/>
  <c r="AQ9" i="1"/>
  <c r="T9" i="1"/>
  <c r="AR7" i="1"/>
  <c r="T7" i="1"/>
  <c r="AR8" i="1"/>
  <c r="AQ8" i="1"/>
  <c r="T8" i="1"/>
  <c r="S20" i="6"/>
  <c r="H20" i="6"/>
  <c r="I46" i="37"/>
  <c r="J46" i="37" s="1"/>
  <c r="I42" i="35"/>
  <c r="J42" i="35" s="1"/>
  <c r="I43" i="35"/>
  <c r="J43" i="35" s="1"/>
  <c r="H58" i="21"/>
  <c r="R39" i="35"/>
  <c r="E38" i="35"/>
  <c r="E42" i="37"/>
  <c r="R43" i="37"/>
  <c r="G46" i="37"/>
  <c r="H46" i="37" s="1"/>
  <c r="G47" i="37"/>
  <c r="H47" i="37" s="1"/>
  <c r="H46" i="36"/>
  <c r="I46" i="36" s="1"/>
  <c r="J46" i="36" s="1"/>
  <c r="K46" i="36" s="1"/>
  <c r="L46" i="36" s="1"/>
  <c r="M46" i="36" s="1"/>
  <c r="N46" i="36" s="1"/>
  <c r="O46" i="36" s="1"/>
  <c r="G42" i="35"/>
  <c r="H42" i="35" s="1"/>
  <c r="G43" i="35"/>
  <c r="H43" i="35" s="1"/>
  <c r="C22" i="11"/>
  <c r="C31" i="11" s="1"/>
  <c r="C36" i="67"/>
  <c r="C14" i="85"/>
  <c r="F35" i="81"/>
  <c r="C14" i="81"/>
  <c r="C14" i="82"/>
  <c r="C34" i="68"/>
  <c r="M21" i="81"/>
  <c r="F35" i="85"/>
  <c r="C17" i="78"/>
  <c r="C14" i="78"/>
  <c r="M21" i="85"/>
  <c r="C14" i="80"/>
  <c r="J59" i="67" l="1"/>
  <c r="J60" i="67" s="1"/>
  <c r="Q48" i="67" s="1"/>
  <c r="J14" i="67"/>
  <c r="Q49" i="67"/>
  <c r="J19" i="67"/>
  <c r="J17" i="67" s="1"/>
  <c r="C13" i="67"/>
  <c r="Q70" i="67" s="1"/>
  <c r="C57" i="67"/>
  <c r="C64" i="67" s="1"/>
  <c r="E37" i="43"/>
  <c r="G39" i="43"/>
  <c r="I39" i="43" s="1"/>
  <c r="G36" i="43"/>
  <c r="I36" i="43" s="1"/>
  <c r="C16" i="74"/>
  <c r="C37" i="84"/>
  <c r="E37" i="84" s="1"/>
  <c r="T5" i="84"/>
  <c r="V5" i="84" s="1"/>
  <c r="T14" i="84"/>
  <c r="V14" i="84" s="1"/>
  <c r="T4" i="84"/>
  <c r="V4" i="84" s="1"/>
  <c r="R25" i="6"/>
  <c r="S24" i="31"/>
  <c r="R25" i="31"/>
  <c r="S25" i="31" s="1"/>
  <c r="L19" i="86"/>
  <c r="B2" i="74" s="1"/>
  <c r="R24" i="6"/>
  <c r="R21" i="6"/>
  <c r="R8" i="1" s="1"/>
  <c r="C4" i="52"/>
  <c r="B45" i="72" s="1"/>
  <c r="A10" i="51"/>
  <c r="B9" i="72" s="1"/>
  <c r="A7" i="51"/>
  <c r="B7" i="72" s="1"/>
  <c r="D16" i="6"/>
  <c r="R20" i="6"/>
  <c r="R7" i="1" s="1"/>
  <c r="D27" i="6"/>
  <c r="D31" i="6" s="1"/>
  <c r="I6" i="6" s="1"/>
  <c r="C11" i="39" s="1"/>
  <c r="F11" i="39" s="1"/>
  <c r="C6" i="68"/>
  <c r="D37" i="68"/>
  <c r="C37" i="68" s="1"/>
  <c r="C19" i="68"/>
  <c r="C24" i="68" s="1"/>
  <c r="C15" i="85"/>
  <c r="C18" i="85"/>
  <c r="M27" i="6"/>
  <c r="J20" i="85"/>
  <c r="F63" i="85"/>
  <c r="C62" i="85" s="1"/>
  <c r="C34" i="85"/>
  <c r="C31" i="85" s="1"/>
  <c r="J20" i="81"/>
  <c r="C34" i="81"/>
  <c r="C31" i="81" s="1"/>
  <c r="F63" i="81"/>
  <c r="C62" i="81" s="1"/>
  <c r="G33" i="84"/>
  <c r="I33" i="84" s="1"/>
  <c r="E35" i="84"/>
  <c r="G34" i="84"/>
  <c r="I34" i="84" s="1"/>
  <c r="E29" i="84"/>
  <c r="E36" i="84"/>
  <c r="G39" i="84"/>
  <c r="I39" i="84" s="1"/>
  <c r="AA10" i="40"/>
  <c r="C18" i="82"/>
  <c r="C15" i="82"/>
  <c r="C35" i="11"/>
  <c r="C38" i="11"/>
  <c r="C38" i="68"/>
  <c r="C35" i="68"/>
  <c r="C19" i="69"/>
  <c r="D37" i="69"/>
  <c r="C37" i="69" s="1"/>
  <c r="C33" i="69" s="1"/>
  <c r="C15" i="12"/>
  <c r="C12" i="12"/>
  <c r="F50" i="69"/>
  <c r="F50" i="11"/>
  <c r="F50" i="68"/>
  <c r="E2" i="70"/>
  <c r="AB10" i="39"/>
  <c r="C15" i="80"/>
  <c r="C18" i="80"/>
  <c r="C15" i="81"/>
  <c r="C18" i="81"/>
  <c r="C15" i="78"/>
  <c r="C18" i="78"/>
  <c r="T16" i="1"/>
  <c r="AC10" i="40"/>
  <c r="S10" i="39"/>
  <c r="U10" i="40"/>
  <c r="G33" i="43"/>
  <c r="I33" i="43" s="1"/>
  <c r="G35" i="43"/>
  <c r="I35" i="43" s="1"/>
  <c r="G38" i="43"/>
  <c r="I38" i="43" s="1"/>
  <c r="E34" i="43"/>
  <c r="E29" i="43"/>
  <c r="C30" i="43"/>
  <c r="E30" i="43" s="1"/>
  <c r="I70" i="39"/>
  <c r="J68" i="39"/>
  <c r="I63" i="40"/>
  <c r="H65" i="40"/>
  <c r="F7" i="36"/>
  <c r="C33" i="80"/>
  <c r="S19" i="6"/>
  <c r="S27" i="6" s="1"/>
  <c r="H19" i="6"/>
  <c r="L19" i="9" s="1"/>
  <c r="I27" i="6"/>
  <c r="AA7" i="36"/>
  <c r="R36" i="36" s="1"/>
  <c r="S7" i="36"/>
  <c r="E47" i="37"/>
  <c r="F47" i="37" s="1"/>
  <c r="E46" i="37"/>
  <c r="F46" i="37" s="1"/>
  <c r="J7" i="36"/>
  <c r="C42" i="37"/>
  <c r="C43" i="37"/>
  <c r="B2" i="37" s="1"/>
  <c r="B3" i="37" s="1"/>
  <c r="E43" i="35"/>
  <c r="F43" i="35" s="1"/>
  <c r="E42" i="35"/>
  <c r="F42" i="35" s="1"/>
  <c r="I58" i="21"/>
  <c r="C39" i="35"/>
  <c r="B2" i="35" s="1"/>
  <c r="B3" i="35" s="1"/>
  <c r="C38" i="35"/>
  <c r="I47" i="37"/>
  <c r="J47" i="37" s="1"/>
  <c r="H7" i="36"/>
  <c r="J13" i="67"/>
  <c r="J23" i="67" s="1"/>
  <c r="J22" i="67"/>
  <c r="C61" i="67"/>
  <c r="C59" i="67" s="1"/>
  <c r="L46" i="67"/>
  <c r="C56" i="67"/>
  <c r="C65" i="67" s="1"/>
  <c r="C75" i="67"/>
  <c r="C37" i="67"/>
  <c r="C30" i="67" s="1"/>
  <c r="C39" i="67" s="1"/>
  <c r="F35" i="78"/>
  <c r="M21" i="78"/>
  <c r="L51" i="67"/>
  <c r="F35" i="80"/>
  <c r="M21" i="80"/>
  <c r="G37" i="84" l="1"/>
  <c r="I37" i="84" s="1"/>
  <c r="C27" i="84" s="1"/>
  <c r="S22" i="31"/>
  <c r="D7" i="74"/>
  <c r="D8" i="74"/>
  <c r="C34" i="80"/>
  <c r="C31" i="80" s="1"/>
  <c r="F63" i="80"/>
  <c r="C62" i="80" s="1"/>
  <c r="J20" i="80"/>
  <c r="C34" i="78"/>
  <c r="C31" i="78" s="1"/>
  <c r="F63" i="78"/>
  <c r="C62" i="78" s="1"/>
  <c r="J20" i="78"/>
  <c r="H11" i="39"/>
  <c r="AB11" i="39" s="1"/>
  <c r="J11" i="39"/>
  <c r="W11" i="39" s="1"/>
  <c r="I5" i="6"/>
  <c r="C19" i="85"/>
  <c r="C20" i="85" s="1"/>
  <c r="C26" i="85" s="1"/>
  <c r="C33" i="11"/>
  <c r="C39" i="11" s="1"/>
  <c r="C43" i="11" s="1"/>
  <c r="C26" i="84"/>
  <c r="B2" i="84" s="1"/>
  <c r="C16" i="12"/>
  <c r="C21" i="12" s="1"/>
  <c r="C22" i="12" s="1"/>
  <c r="C30" i="12" s="1"/>
  <c r="C28" i="12" s="1"/>
  <c r="C33" i="68"/>
  <c r="C39" i="68" s="1"/>
  <c r="C19" i="82"/>
  <c r="C20" i="82" s="1"/>
  <c r="C23" i="82" s="1"/>
  <c r="C39" i="69"/>
  <c r="C43" i="69" s="1"/>
  <c r="C42" i="69"/>
  <c r="C20" i="69"/>
  <c r="C24" i="69"/>
  <c r="AA11" i="39"/>
  <c r="S11" i="39"/>
  <c r="C19" i="81"/>
  <c r="C20" i="81" s="1"/>
  <c r="C26" i="81" s="1"/>
  <c r="C19" i="78"/>
  <c r="C20" i="78" s="1"/>
  <c r="C26" i="78" s="1"/>
  <c r="C19" i="80"/>
  <c r="C20" i="80" s="1"/>
  <c r="C26" i="80" s="1"/>
  <c r="C27" i="43"/>
  <c r="C26" i="43"/>
  <c r="J70" i="39"/>
  <c r="K68" i="39"/>
  <c r="J63" i="40"/>
  <c r="I65" i="40"/>
  <c r="R19" i="6"/>
  <c r="H27" i="6"/>
  <c r="U7" i="36"/>
  <c r="AB7" i="36"/>
  <c r="T36" i="36" s="1"/>
  <c r="G36" i="36" s="1"/>
  <c r="J58" i="21"/>
  <c r="W7" i="36"/>
  <c r="AC7" i="36"/>
  <c r="V36" i="36" s="1"/>
  <c r="I36" i="36" s="1"/>
  <c r="E36" i="36"/>
  <c r="R37" i="36"/>
  <c r="J16" i="67"/>
  <c r="J25" i="67" s="1"/>
  <c r="C80" i="67"/>
  <c r="C79" i="67" s="1"/>
  <c r="C58" i="67"/>
  <c r="C67" i="67" s="1"/>
  <c r="C68" i="67" s="1"/>
  <c r="Q69" i="67"/>
  <c r="Q68" i="67" s="1"/>
  <c r="C40" i="67"/>
  <c r="E7" i="76"/>
  <c r="E6" i="76"/>
  <c r="B7" i="76"/>
  <c r="R22" i="31" l="1"/>
  <c r="B20" i="31"/>
  <c r="B21" i="31" s="1"/>
  <c r="AC11" i="39"/>
  <c r="U11" i="39"/>
  <c r="C42" i="11"/>
  <c r="C41" i="11" s="1"/>
  <c r="C23" i="85"/>
  <c r="C29" i="85" s="1"/>
  <c r="C46" i="11"/>
  <c r="C45" i="11" s="1"/>
  <c r="C42" i="68"/>
  <c r="C26" i="82"/>
  <c r="C29" i="82" s="1"/>
  <c r="C57" i="82" s="1"/>
  <c r="C27" i="12"/>
  <c r="C25" i="12" s="1"/>
  <c r="C32" i="12" s="1"/>
  <c r="B2" i="12" s="1"/>
  <c r="B3" i="12" s="1"/>
  <c r="C41" i="69"/>
  <c r="C46" i="69"/>
  <c r="C45" i="69" s="1"/>
  <c r="C28" i="69"/>
  <c r="C27" i="69" s="1"/>
  <c r="C25" i="69"/>
  <c r="C22" i="69" s="1"/>
  <c r="C46" i="68"/>
  <c r="C45" i="68" s="1"/>
  <c r="C43" i="68"/>
  <c r="C23" i="80"/>
  <c r="C29" i="80" s="1"/>
  <c r="C57" i="80" s="1"/>
  <c r="C23" i="81"/>
  <c r="C29" i="81" s="1"/>
  <c r="C23" i="78"/>
  <c r="C29" i="78" s="1"/>
  <c r="B3" i="84"/>
  <c r="E2" i="76"/>
  <c r="B2" i="43"/>
  <c r="K70" i="39"/>
  <c r="L68" i="39"/>
  <c r="J65" i="40"/>
  <c r="K63" i="40"/>
  <c r="L57" i="81"/>
  <c r="L60" i="81" s="1"/>
  <c r="L57" i="78"/>
  <c r="L60" i="78" s="1"/>
  <c r="R27" i="6"/>
  <c r="R6" i="1"/>
  <c r="C36" i="36"/>
  <c r="C37" i="36"/>
  <c r="B2" i="36" s="1"/>
  <c r="B3" i="36" s="1"/>
  <c r="I40" i="36"/>
  <c r="J40" i="36" s="1"/>
  <c r="I41" i="36"/>
  <c r="J41" i="36" s="1"/>
  <c r="G40" i="36"/>
  <c r="H40" i="36" s="1"/>
  <c r="G41" i="36"/>
  <c r="H41" i="36" s="1"/>
  <c r="E40" i="36"/>
  <c r="F40" i="36" s="1"/>
  <c r="E41" i="36"/>
  <c r="F41" i="36" s="1"/>
  <c r="K58" i="21"/>
  <c r="Q67" i="67"/>
  <c r="L57" i="67"/>
  <c r="L60" i="67" s="1"/>
  <c r="C45" i="67"/>
  <c r="C46" i="67" s="1"/>
  <c r="C71" i="67"/>
  <c r="C43" i="67"/>
  <c r="D2" i="67"/>
  <c r="Q47" i="67"/>
  <c r="Q53" i="67" s="1"/>
  <c r="Q56" i="67"/>
  <c r="Q65" i="67"/>
  <c r="C83" i="67"/>
  <c r="C82" i="67" s="1"/>
  <c r="F35" i="82"/>
  <c r="M21" i="82"/>
  <c r="B6" i="76"/>
  <c r="C13" i="85" l="1"/>
  <c r="J59" i="85"/>
  <c r="J60" i="85" s="1"/>
  <c r="C57" i="85"/>
  <c r="Q49" i="85"/>
  <c r="C36" i="85"/>
  <c r="J19" i="85"/>
  <c r="J17" i="85" s="1"/>
  <c r="J14" i="85"/>
  <c r="C49" i="11"/>
  <c r="C51" i="11" s="1"/>
  <c r="C52" i="11" s="1"/>
  <c r="B2" i="11" s="1"/>
  <c r="B3" i="11" s="1"/>
  <c r="C13" i="82"/>
  <c r="C75" i="82" s="1"/>
  <c r="J14" i="82"/>
  <c r="J22" i="82" s="1"/>
  <c r="J59" i="82"/>
  <c r="J60" i="82" s="1"/>
  <c r="Q48" i="82" s="1"/>
  <c r="C41" i="68"/>
  <c r="C49" i="68" s="1"/>
  <c r="C51" i="68" s="1"/>
  <c r="J19" i="82"/>
  <c r="C36" i="82"/>
  <c r="Q49" i="82"/>
  <c r="C31" i="69"/>
  <c r="C49" i="69"/>
  <c r="C51" i="69" s="1"/>
  <c r="C36" i="80"/>
  <c r="Q49" i="80"/>
  <c r="J19" i="80"/>
  <c r="J17" i="80" s="1"/>
  <c r="J59" i="80"/>
  <c r="J60" i="80" s="1"/>
  <c r="Q48" i="80" s="1"/>
  <c r="J14" i="80"/>
  <c r="J13" i="80" s="1"/>
  <c r="J23" i="80" s="1"/>
  <c r="C13" i="80"/>
  <c r="Q70" i="80" s="1"/>
  <c r="C61" i="80"/>
  <c r="C59" i="80" s="1"/>
  <c r="C64" i="80"/>
  <c r="C64" i="82"/>
  <c r="C61" i="82"/>
  <c r="C36" i="78"/>
  <c r="C13" i="78"/>
  <c r="J19" i="78"/>
  <c r="J17" i="78" s="1"/>
  <c r="J14" i="78"/>
  <c r="C57" i="78"/>
  <c r="J59" i="78"/>
  <c r="J60" i="78" s="1"/>
  <c r="Q48" i="78" s="1"/>
  <c r="Q49" i="78"/>
  <c r="C36" i="81"/>
  <c r="C57" i="81"/>
  <c r="C13" i="81"/>
  <c r="J19" i="81"/>
  <c r="J17" i="81" s="1"/>
  <c r="Q49" i="81"/>
  <c r="J59" i="81"/>
  <c r="J60" i="81" s="1"/>
  <c r="Q48" i="81" s="1"/>
  <c r="J14" i="81"/>
  <c r="J13" i="82"/>
  <c r="J23" i="82" s="1"/>
  <c r="B2" i="76"/>
  <c r="B3" i="43"/>
  <c r="K65" i="40"/>
  <c r="L63" i="40"/>
  <c r="L70" i="39"/>
  <c r="M68" i="39"/>
  <c r="Q66" i="81"/>
  <c r="Q66" i="78"/>
  <c r="Q57" i="81"/>
  <c r="J20" i="82"/>
  <c r="F63" i="82"/>
  <c r="C62" i="82" s="1"/>
  <c r="C34" i="82"/>
  <c r="C31" i="82" s="1"/>
  <c r="Q57" i="78"/>
  <c r="R16" i="1"/>
  <c r="L57" i="80"/>
  <c r="L60" i="80" s="1"/>
  <c r="L58" i="21"/>
  <c r="Q66" i="67"/>
  <c r="Q75" i="67" s="1"/>
  <c r="Q57" i="67"/>
  <c r="Q62" i="67" s="1"/>
  <c r="B2" i="67"/>
  <c r="B3" i="67"/>
  <c r="J22" i="85" l="1"/>
  <c r="J13" i="85"/>
  <c r="J23" i="85" s="1"/>
  <c r="C64" i="85"/>
  <c r="C61" i="85"/>
  <c r="C59" i="85" s="1"/>
  <c r="L46" i="85"/>
  <c r="Q48" i="85"/>
  <c r="C56" i="85"/>
  <c r="C65" i="85" s="1"/>
  <c r="C75" i="85"/>
  <c r="Q70" i="85"/>
  <c r="C37" i="85"/>
  <c r="C30" i="85" s="1"/>
  <c r="C39" i="85" s="1"/>
  <c r="C56" i="11"/>
  <c r="C57" i="11" s="1"/>
  <c r="C56" i="82"/>
  <c r="C65" i="82" s="1"/>
  <c r="C37" i="82"/>
  <c r="C30" i="82" s="1"/>
  <c r="C39" i="82" s="1"/>
  <c r="C40" i="82" s="1"/>
  <c r="Q70" i="82"/>
  <c r="J22" i="80"/>
  <c r="J16" i="80" s="1"/>
  <c r="J25" i="80" s="1"/>
  <c r="L46" i="82"/>
  <c r="J17" i="82"/>
  <c r="J16" i="82" s="1"/>
  <c r="J25" i="82" s="1"/>
  <c r="C56" i="80"/>
  <c r="C65" i="80" s="1"/>
  <c r="C58" i="80" s="1"/>
  <c r="C67" i="80" s="1"/>
  <c r="C68" i="80" s="1"/>
  <c r="C52" i="69"/>
  <c r="B2" i="69" s="1"/>
  <c r="B3" i="69" s="1"/>
  <c r="C37" i="80"/>
  <c r="C30" i="80" s="1"/>
  <c r="C39" i="80" s="1"/>
  <c r="C40" i="80" s="1"/>
  <c r="L46" i="80"/>
  <c r="C59" i="82"/>
  <c r="C75" i="80"/>
  <c r="J13" i="81"/>
  <c r="J23" i="81" s="1"/>
  <c r="J22" i="81"/>
  <c r="Q70" i="81"/>
  <c r="C37" i="81"/>
  <c r="C30" i="81" s="1"/>
  <c r="C39" i="81" s="1"/>
  <c r="C75" i="81"/>
  <c r="C56" i="81"/>
  <c r="C65" i="81" s="1"/>
  <c r="J13" i="78"/>
  <c r="J23" i="78" s="1"/>
  <c r="J22" i="78"/>
  <c r="C75" i="78"/>
  <c r="C56" i="78"/>
  <c r="C65" i="78" s="1"/>
  <c r="Q70" i="78"/>
  <c r="C37" i="78"/>
  <c r="C30" i="78" s="1"/>
  <c r="C39" i="78" s="1"/>
  <c r="L46" i="78"/>
  <c r="C64" i="81"/>
  <c r="C61" i="81"/>
  <c r="C59" i="81" s="1"/>
  <c r="C61" i="78"/>
  <c r="C59" i="78" s="1"/>
  <c r="C64" i="78"/>
  <c r="L46" i="81"/>
  <c r="B3" i="76"/>
  <c r="M70" i="39"/>
  <c r="N68" i="39"/>
  <c r="L65" i="40"/>
  <c r="M63" i="40"/>
  <c r="Q66" i="80"/>
  <c r="Q57" i="80"/>
  <c r="M58" i="21"/>
  <c r="N58" i="21" s="1"/>
  <c r="O58" i="21" s="1"/>
  <c r="H7" i="21" s="1"/>
  <c r="L51" i="81"/>
  <c r="L51" i="82"/>
  <c r="L51" i="85"/>
  <c r="L51" i="78"/>
  <c r="J16" i="85" l="1"/>
  <c r="J25" i="85" s="1"/>
  <c r="Q67" i="85"/>
  <c r="C80" i="85"/>
  <c r="C79" i="85" s="1"/>
  <c r="Q69" i="85"/>
  <c r="Q68" i="85" s="1"/>
  <c r="C40" i="85"/>
  <c r="C58" i="85"/>
  <c r="C67" i="85" s="1"/>
  <c r="C68" i="85" s="1"/>
  <c r="C58" i="82"/>
  <c r="C67" i="82" s="1"/>
  <c r="C68" i="82" s="1"/>
  <c r="C71" i="82" s="1"/>
  <c r="C57" i="69"/>
  <c r="C56" i="69" s="1"/>
  <c r="C80" i="82"/>
  <c r="C79" i="82" s="1"/>
  <c r="Q69" i="80"/>
  <c r="Q68" i="80" s="1"/>
  <c r="C80" i="80"/>
  <c r="C79" i="80" s="1"/>
  <c r="Q69" i="82"/>
  <c r="Q68" i="82" s="1"/>
  <c r="C58" i="81"/>
  <c r="C67" i="81" s="1"/>
  <c r="C68" i="81" s="1"/>
  <c r="C71" i="81" s="1"/>
  <c r="J16" i="78"/>
  <c r="J25" i="78" s="1"/>
  <c r="J16" i="81"/>
  <c r="J25" i="81" s="1"/>
  <c r="Q67" i="81"/>
  <c r="Q67" i="78"/>
  <c r="Q67" i="82"/>
  <c r="C80" i="81"/>
  <c r="C79" i="81" s="1"/>
  <c r="Q69" i="81"/>
  <c r="Q68" i="81" s="1"/>
  <c r="C40" i="81"/>
  <c r="C80" i="78"/>
  <c r="C79" i="78" s="1"/>
  <c r="Q69" i="78"/>
  <c r="Q68" i="78" s="1"/>
  <c r="C40" i="78"/>
  <c r="C58" i="78"/>
  <c r="C67" i="78" s="1"/>
  <c r="C68" i="78" s="1"/>
  <c r="C71" i="80"/>
  <c r="C46" i="80"/>
  <c r="Q65" i="80"/>
  <c r="Q75" i="80" s="1"/>
  <c r="C43" i="80"/>
  <c r="Q47" i="80"/>
  <c r="Q53" i="80" s="1"/>
  <c r="Q56" i="80"/>
  <c r="Q62" i="80" s="1"/>
  <c r="C83" i="80"/>
  <c r="C82" i="80" s="1"/>
  <c r="B2" i="80"/>
  <c r="M65" i="40"/>
  <c r="N63" i="40"/>
  <c r="N70" i="39"/>
  <c r="O68" i="39"/>
  <c r="O70" i="39" s="1"/>
  <c r="Q47" i="82"/>
  <c r="Q53" i="82" s="1"/>
  <c r="Q65" i="82"/>
  <c r="Q75" i="82" s="1"/>
  <c r="C43" i="82"/>
  <c r="B2" i="82"/>
  <c r="B3" i="82" s="1"/>
  <c r="Q56" i="82"/>
  <c r="Q62" i="82" s="1"/>
  <c r="C83" i="82"/>
  <c r="C82" i="82" s="1"/>
  <c r="U7" i="21"/>
  <c r="AB7" i="21"/>
  <c r="T48" i="21" s="1"/>
  <c r="G48" i="21" s="1"/>
  <c r="F7" i="21"/>
  <c r="J7" i="21"/>
  <c r="AO8" i="1"/>
  <c r="AO6" i="1"/>
  <c r="L51" i="80"/>
  <c r="Q67" i="80" l="1"/>
  <c r="C71" i="85"/>
  <c r="C46" i="85"/>
  <c r="Q65" i="85"/>
  <c r="Q75" i="85" s="1"/>
  <c r="Q56" i="85"/>
  <c r="Q62" i="85" s="1"/>
  <c r="C43" i="85"/>
  <c r="Q47" i="85"/>
  <c r="Q53" i="85" s="1"/>
  <c r="B2" i="85"/>
  <c r="C83" i="85"/>
  <c r="C82" i="85" s="1"/>
  <c r="C46" i="82"/>
  <c r="C46" i="81"/>
  <c r="B8" i="70"/>
  <c r="Q56" i="78"/>
  <c r="Q62" i="78" s="1"/>
  <c r="Q65" i="78"/>
  <c r="Q75" i="78" s="1"/>
  <c r="B2" i="78"/>
  <c r="Q47" i="78"/>
  <c r="Q53" i="78" s="1"/>
  <c r="C43" i="78"/>
  <c r="C83" i="78"/>
  <c r="C82" i="78" s="1"/>
  <c r="B3" i="80"/>
  <c r="C71" i="78"/>
  <c r="C46" i="78"/>
  <c r="Q56" i="81"/>
  <c r="Q62" i="81" s="1"/>
  <c r="Q47" i="81"/>
  <c r="Q53" i="81" s="1"/>
  <c r="C43" i="81"/>
  <c r="B2" i="81"/>
  <c r="C83" i="81"/>
  <c r="C82" i="81" s="1"/>
  <c r="Q65" i="81"/>
  <c r="Q75" i="81" s="1"/>
  <c r="F7" i="39"/>
  <c r="J7" i="39"/>
  <c r="H7" i="39"/>
  <c r="O63" i="40"/>
  <c r="O65" i="40" s="1"/>
  <c r="N65" i="40"/>
  <c r="B6" i="70"/>
  <c r="AC7" i="21"/>
  <c r="V48" i="21" s="1"/>
  <c r="I48" i="21" s="1"/>
  <c r="W7" i="21"/>
  <c r="G52" i="21"/>
  <c r="H52" i="21" s="1"/>
  <c r="AA7" i="21"/>
  <c r="R48" i="21" s="1"/>
  <c r="S7" i="21"/>
  <c r="AO9" i="1"/>
  <c r="AO10" i="1"/>
  <c r="AO7" i="1"/>
  <c r="B10" i="70" l="1"/>
  <c r="B3" i="85"/>
  <c r="B9" i="70"/>
  <c r="B7" i="70"/>
  <c r="B3" i="81"/>
  <c r="B3" i="78"/>
  <c r="U7" i="39"/>
  <c r="AB7" i="39"/>
  <c r="T47" i="39" s="1"/>
  <c r="G47" i="39" s="1"/>
  <c r="J7" i="40"/>
  <c r="H7" i="40"/>
  <c r="F7" i="40"/>
  <c r="W7" i="39"/>
  <c r="AC7" i="39"/>
  <c r="V47" i="39" s="1"/>
  <c r="I47" i="39" s="1"/>
  <c r="S7" i="39"/>
  <c r="AA7" i="39"/>
  <c r="R47" i="39" s="1"/>
  <c r="R49" i="21"/>
  <c r="E48" i="21"/>
  <c r="I52" i="21"/>
  <c r="J52" i="21" s="1"/>
  <c r="I53" i="21"/>
  <c r="J53" i="21" s="1"/>
  <c r="G53" i="21"/>
  <c r="H53" i="21" s="1"/>
  <c r="B2" i="70" l="1"/>
  <c r="AA7" i="40"/>
  <c r="R42" i="40" s="1"/>
  <c r="S7" i="40"/>
  <c r="U7" i="40"/>
  <c r="AB7" i="40"/>
  <c r="T42" i="40" s="1"/>
  <c r="G42" i="40" s="1"/>
  <c r="G52" i="39"/>
  <c r="H52" i="39" s="1"/>
  <c r="G51" i="39"/>
  <c r="H51" i="39" s="1"/>
  <c r="E47" i="39"/>
  <c r="R48" i="39"/>
  <c r="I51" i="39"/>
  <c r="J51" i="39" s="1"/>
  <c r="AC7" i="40"/>
  <c r="V42" i="40" s="1"/>
  <c r="I42" i="40" s="1"/>
  <c r="W7" i="40"/>
  <c r="C48" i="21"/>
  <c r="C49" i="21"/>
  <c r="B2" i="21" s="1"/>
  <c r="B3" i="21" s="1"/>
  <c r="E52" i="21"/>
  <c r="F52" i="21" s="1"/>
  <c r="E53" i="21"/>
  <c r="F53" i="21" s="1"/>
  <c r="D19" i="9"/>
  <c r="D19" i="86"/>
  <c r="D21" i="86" l="1"/>
  <c r="D102" i="86"/>
  <c r="D21" i="9"/>
  <c r="D102" i="9"/>
  <c r="B3" i="70"/>
  <c r="I46" i="40"/>
  <c r="J46" i="40" s="1"/>
  <c r="E51" i="39"/>
  <c r="F51" i="39" s="1"/>
  <c r="E52" i="39"/>
  <c r="F52" i="39" s="1"/>
  <c r="E42" i="40"/>
  <c r="R43" i="40"/>
  <c r="I52" i="39"/>
  <c r="J52" i="39" s="1"/>
  <c r="C48" i="39"/>
  <c r="C47" i="39"/>
  <c r="G47" i="40"/>
  <c r="H47" i="40" s="1"/>
  <c r="G46" i="40"/>
  <c r="H46" i="40" s="1"/>
  <c r="D20" i="9"/>
  <c r="D20" i="86"/>
  <c r="D103" i="86" l="1"/>
  <c r="D103" i="9"/>
  <c r="E46" i="40"/>
  <c r="F46" i="40" s="1"/>
  <c r="E47" i="40"/>
  <c r="F47" i="40" s="1"/>
  <c r="B59" i="39"/>
  <c r="F59" i="39" s="1"/>
  <c r="B58" i="39"/>
  <c r="F58" i="39" s="1"/>
  <c r="B60" i="39"/>
  <c r="F60" i="39" s="1"/>
  <c r="B65" i="39"/>
  <c r="F65" i="39" s="1"/>
  <c r="B62" i="39"/>
  <c r="F62" i="39" s="1"/>
  <c r="B56" i="39"/>
  <c r="F56" i="39" s="1"/>
  <c r="B63" i="39"/>
  <c r="F63" i="39" s="1"/>
  <c r="B57" i="39"/>
  <c r="F57" i="39" s="1"/>
  <c r="B61" i="39"/>
  <c r="F61" i="39" s="1"/>
  <c r="B64" i="39"/>
  <c r="F64" i="39" s="1"/>
  <c r="C42" i="40"/>
  <c r="C43" i="40"/>
  <c r="I47" i="40"/>
  <c r="J47" i="40" s="1"/>
  <c r="F66" i="39" l="1"/>
  <c r="B2" i="39" s="1"/>
  <c r="B55" i="40"/>
  <c r="F55" i="40" s="1"/>
  <c r="B60" i="40"/>
  <c r="F60" i="40" s="1"/>
  <c r="B51" i="40"/>
  <c r="F51" i="40" s="1"/>
  <c r="B56" i="40"/>
  <c r="F56" i="40" s="1"/>
  <c r="B57" i="40"/>
  <c r="F57" i="40" s="1"/>
  <c r="F61" i="40"/>
  <c r="B2" i="40" s="1"/>
  <c r="B3" i="40" s="1"/>
  <c r="B59" i="40"/>
  <c r="F59" i="40" s="1"/>
  <c r="B54" i="40"/>
  <c r="F54" i="40" s="1"/>
  <c r="B52" i="40"/>
  <c r="F52" i="40" s="1"/>
  <c r="B53" i="40"/>
  <c r="F53" i="40" s="1"/>
  <c r="B58" i="40"/>
  <c r="F58" i="40" s="1"/>
  <c r="B3" i="39" l="1"/>
  <c r="C7" i="68"/>
  <c r="C5" i="68" s="1"/>
  <c r="C20" i="68" l="1"/>
  <c r="C25" i="68" s="1"/>
  <c r="C23" i="68"/>
  <c r="C28" i="68" l="1"/>
  <c r="C27" i="68" s="1"/>
  <c r="C22" i="68"/>
  <c r="C31" i="68" l="1"/>
  <c r="C52" i="68" s="1"/>
  <c r="C57" i="68" s="1"/>
  <c r="C56" i="68" s="1"/>
  <c r="B2" i="68" l="1"/>
  <c r="C19" i="86"/>
  <c r="C19" i="9"/>
  <c r="C102" i="86" l="1"/>
  <c r="G19" i="86"/>
  <c r="D15" i="74" s="1"/>
  <c r="G15" i="74" s="1"/>
  <c r="C21" i="86"/>
  <c r="D22" i="86"/>
  <c r="G19" i="9"/>
  <c r="C32" i="9" s="1"/>
  <c r="C21" i="9"/>
  <c r="C102" i="9"/>
  <c r="D22" i="9"/>
  <c r="B3" i="68"/>
  <c r="C20" i="9"/>
  <c r="C20" i="86"/>
  <c r="E16" i="74" l="1"/>
  <c r="F16" i="74"/>
  <c r="E15" i="74"/>
  <c r="F15" i="74"/>
  <c r="C103" i="86"/>
  <c r="G20" i="86"/>
  <c r="C32" i="86"/>
  <c r="G21" i="86"/>
  <c r="G21" i="9"/>
  <c r="C103" i="9"/>
  <c r="G20" i="9"/>
  <c r="C35" i="9"/>
  <c r="F118" i="9" s="1"/>
  <c r="H118" i="9"/>
  <c r="C35" i="86" l="1"/>
  <c r="F118" i="86" s="1"/>
  <c r="H118" i="86"/>
  <c r="C34" i="9"/>
  <c r="D118" i="9" s="1"/>
  <c r="D4" i="52" s="1"/>
  <c r="B47" i="72" s="1"/>
  <c r="F4" i="52"/>
  <c r="B51" i="72" s="1"/>
  <c r="F119" i="9"/>
  <c r="F5" i="52" s="1"/>
  <c r="B53" i="72" s="1"/>
  <c r="G118" i="9"/>
  <c r="G4" i="52" s="1"/>
  <c r="B52" i="72" s="1"/>
  <c r="D14" i="74"/>
  <c r="H4" i="52"/>
  <c r="I118" i="9"/>
  <c r="H101" i="9"/>
  <c r="H119" i="9"/>
  <c r="H5" i="52" s="1"/>
  <c r="C104" i="9"/>
  <c r="C34" i="86" l="1"/>
  <c r="D118" i="86" s="1"/>
  <c r="D119" i="86" s="1"/>
  <c r="I118" i="86"/>
  <c r="H119" i="86"/>
  <c r="H101" i="86"/>
  <c r="C104" i="86"/>
  <c r="F119" i="86"/>
  <c r="G118" i="86"/>
  <c r="D119" i="9"/>
  <c r="D5" i="52" s="1"/>
  <c r="B49" i="72" s="1"/>
  <c r="E118" i="9"/>
  <c r="E4" i="52" s="1"/>
  <c r="B48" i="72" s="1"/>
  <c r="H102" i="9"/>
  <c r="D7" i="53" s="1"/>
  <c r="B21" i="72" s="1"/>
  <c r="I4" i="52"/>
  <c r="C105" i="9"/>
  <c r="B5" i="74"/>
  <c r="F14" i="74"/>
  <c r="E14" i="74"/>
  <c r="H107" i="9"/>
  <c r="M48" i="9"/>
  <c r="D45" i="9"/>
  <c r="D5" i="53"/>
  <c r="H107" i="86" l="1"/>
  <c r="M48" i="86"/>
  <c r="D45" i="86"/>
  <c r="E118" i="86"/>
  <c r="C105" i="86"/>
  <c r="H102" i="86"/>
  <c r="D55" i="9"/>
  <c r="M53" i="9" s="1"/>
  <c r="D52" i="9"/>
  <c r="C93" i="9"/>
  <c r="C86" i="9" s="1"/>
  <c r="C72" i="9"/>
  <c r="D53" i="9"/>
  <c r="C78" i="9"/>
  <c r="C73" i="9" s="1"/>
  <c r="C85" i="9"/>
  <c r="C64" i="9"/>
  <c r="C63" i="9" s="1"/>
  <c r="C67" i="9" s="1"/>
  <c r="C68" i="9" s="1"/>
  <c r="D54" i="9" s="1"/>
  <c r="D13" i="53"/>
  <c r="H108" i="9"/>
  <c r="D15" i="53" s="1"/>
  <c r="B31" i="72" s="1"/>
  <c r="D122" i="9"/>
  <c r="M49" i="9"/>
  <c r="B20" i="72"/>
  <c r="D6" i="53"/>
  <c r="B22" i="72" s="1"/>
  <c r="D5" i="74"/>
  <c r="C5" i="74"/>
  <c r="C72" i="86" l="1"/>
  <c r="C64" i="86"/>
  <c r="C63" i="86" s="1"/>
  <c r="C67" i="86" s="1"/>
  <c r="C68" i="86" s="1"/>
  <c r="D54" i="86" s="1"/>
  <c r="D53" i="86"/>
  <c r="C78" i="86"/>
  <c r="C73" i="86" s="1"/>
  <c r="D52" i="86"/>
  <c r="C93" i="86"/>
  <c r="C86" i="86" s="1"/>
  <c r="C85" i="86"/>
  <c r="D55" i="86"/>
  <c r="M53" i="86" s="1"/>
  <c r="D122" i="86"/>
  <c r="D123" i="86" s="1"/>
  <c r="H108" i="86"/>
  <c r="M49" i="86"/>
  <c r="C95" i="9"/>
  <c r="C96" i="9" s="1"/>
  <c r="E96" i="9" s="1"/>
  <c r="E97" i="9" s="1"/>
  <c r="L64" i="9"/>
  <c r="M64" i="9" s="1"/>
  <c r="L63" i="9"/>
  <c r="M63" i="9" s="1"/>
  <c r="L67" i="9"/>
  <c r="M67" i="9" s="1"/>
  <c r="L68" i="9"/>
  <c r="M68" i="9" s="1"/>
  <c r="L65" i="9"/>
  <c r="M65" i="9" s="1"/>
  <c r="L66" i="9"/>
  <c r="M66" i="9" s="1"/>
  <c r="C79" i="9"/>
  <c r="G14" i="74"/>
  <c r="B6" i="74" s="1"/>
  <c r="D123" i="9"/>
  <c r="D9" i="52" s="1"/>
  <c r="D8" i="52"/>
  <c r="D14" i="53"/>
  <c r="B32" i="72" s="1"/>
  <c r="B30" i="72"/>
  <c r="L66" i="86" l="1"/>
  <c r="M66" i="86" s="1"/>
  <c r="L64" i="86"/>
  <c r="M64" i="86" s="1"/>
  <c r="L68" i="86"/>
  <c r="M68" i="86" s="1"/>
  <c r="L67" i="86"/>
  <c r="M67" i="86" s="1"/>
  <c r="L65" i="86"/>
  <c r="M65" i="86" s="1"/>
  <c r="L63" i="86"/>
  <c r="M63" i="86" s="1"/>
  <c r="C95" i="86"/>
  <c r="C79" i="86"/>
  <c r="C80" i="9"/>
  <c r="E80" i="9" s="1"/>
  <c r="E81" i="9" s="1"/>
  <c r="M69" i="9"/>
  <c r="N69" i="9" s="1"/>
  <c r="C97" i="9"/>
  <c r="D58" i="9" s="1"/>
  <c r="D56" i="9" s="1"/>
  <c r="M54" i="9" s="1"/>
  <c r="N57" i="9" s="1"/>
  <c r="D6" i="74"/>
  <c r="C6" i="74"/>
  <c r="M69" i="86" l="1"/>
  <c r="N69" i="86" s="1"/>
  <c r="C80" i="86"/>
  <c r="E80" i="86" s="1"/>
  <c r="E81" i="86" s="1"/>
  <c r="C96" i="86"/>
  <c r="E96" i="86" s="1"/>
  <c r="E97" i="86" s="1"/>
  <c r="N58" i="9"/>
  <c r="P57" i="9"/>
  <c r="N59" i="9"/>
  <c r="C81" i="9"/>
  <c r="C97" i="86" l="1"/>
  <c r="D58" i="86" s="1"/>
  <c r="D56" i="86" s="1"/>
  <c r="M54" i="86" s="1"/>
  <c r="N57" i="86" s="1"/>
  <c r="P57" i="86" s="1"/>
  <c r="C81" i="86"/>
  <c r="N61" i="9"/>
  <c r="N60" i="9"/>
  <c r="N59" i="86" l="1"/>
  <c r="N60" i="86" s="1"/>
  <c r="N58" i="86"/>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<sst xmlns="http://schemas.openxmlformats.org/spreadsheetml/2006/main" count="9934" uniqueCount="3254">
  <si>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</si>
  <si>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</si>
  <si>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</si>
  <si>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</si>
  <si>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</si>
  <si>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</si>
  <si>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</si>
  <si>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</si>
  <si>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</si>
  <si>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</si>
  <si>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</si>
  <si>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</si>
  <si>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</si>
  <si>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</si>
  <si>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</si>
  <si>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</si>
  <si>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</si>
  <si>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</si>
  <si>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</si>
  <si>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</si>
  <si>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</si>
  <si>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</si>
  <si>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</si>
  <si>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</si>
  <si>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</si>
  <si>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</si>
  <si>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</si>
  <si>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</si>
  <si>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</si>
  <si>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</si>
  <si>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</si>
  <si>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</si>
  <si>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</si>
  <si>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</si>
  <si>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</si>
  <si>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</si>
  <si>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</si>
  <si>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</si>
  <si>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</si>
  <si>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</si>
  <si>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</si>
  <si>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</si>
  <si>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</si>
  <si>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</si>
  <si>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</si>
  <si>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</si>
  <si>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</si>
  <si>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</si>
  <si>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</si>
  <si>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</si>
  <si>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</si>
  <si>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</si>
  <si>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</si>
  <si>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</si>
  <si>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</si>
  <si>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</si>
  <si>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</si>
  <si>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</si>
  <si>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</si>
  <si>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</si>
  <si>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</si>
  <si>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</si>
  <si>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</si>
  <si>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</si>
  <si>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</si>
  <si>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</si>
  <si>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</si>
  <si>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</si>
  <si>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</si>
  <si>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</si>
  <si>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</si>
  <si>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</si>
  <si>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</si>
  <si>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</si>
  <si>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</si>
  <si>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</si>
  <si>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</si>
  <si>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</si>
  <si>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</si>
  <si>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</si>
  <si>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</si>
  <si>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</si>
  <si>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</si>
  <si>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</si>
  <si>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</si>
  <si>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</si>
  <si>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</si>
  <si>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</si>
  <si>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</si>
  <si>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</si>
  <si>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</si>
  <si>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</si>
  <si>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</si>
  <si>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</si>
  <si>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</si>
  <si>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</si>
  <si>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</si>
  <si>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</si>
  <si>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</si>
  <si>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</si>
  <si>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</si>
  <si>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</si>
  <si>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</si>
  <si>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</si>
  <si>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</si>
  <si>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</si>
  <si>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</si>
  <si>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</si>
  <si>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</si>
  <si>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</si>
  <si>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</si>
  <si>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</si>
  <si>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</si>
  <si>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</si>
  <si>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</si>
  <si>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</si>
  <si>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</si>
  <si>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</si>
  <si>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</si>
  <si>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</si>
  <si>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</si>
  <si>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</si>
  <si>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</si>
  <si>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</si>
  <si>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</si>
  <si>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</si>
  <si>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</si>
  <si>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</si>
  <si>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</si>
  <si>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</si>
  <si>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</si>
  <si>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</si>
  <si>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</si>
  <si>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</si>
  <si>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</si>
  <si>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</si>
  <si>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</si>
  <si>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</si>
  <si>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</si>
  <si>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</si>
  <si>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</si>
  <si>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</si>
  <si>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</si>
  <si>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</si>
  <si>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</si>
  <si>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</si>
  <si>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</si>
  <si>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</si>
  <si>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</si>
  <si>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</si>
  <si>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</si>
  <si>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</si>
  <si>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</si>
  <si>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</si>
  <si>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</si>
  <si>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</si>
  <si>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</si>
  <si>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</si>
  <si>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</si>
  <si>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</si>
  <si>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</si>
  <si>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</si>
  <si>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</si>
  <si>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</si>
  <si>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</si>
  <si>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</si>
  <si>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</si>
  <si>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</si>
  <si>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</si>
  <si>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</si>
  <si>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</si>
  <si>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</si>
  <si>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</si>
  <si>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</si>
  <si>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</si>
  <si>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</si>
  <si>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</si>
  <si>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</si>
  <si>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</si>
  <si>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</si>
  <si>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</si>
  <si>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</si>
  <si>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</si>
  <si>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</si>
  <si>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</si>
  <si>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</si>
  <si>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</si>
  <si>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</si>
  <si>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</si>
  <si>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</si>
  <si>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</si>
  <si>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</si>
  <si>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</si>
  <si>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</si>
  <si>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</si>
  <si>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</si>
  <si>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</si>
  <si>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</si>
  <si>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</si>
  <si>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</si>
  <si>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</si>
  <si>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</si>
  <si>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</si>
  <si>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</si>
  <si>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</si>
  <si>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</si>
  <si>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</si>
  <si>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</si>
  <si>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</si>
  <si>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</si>
  <si>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</si>
  <si>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</si>
  <si>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</si>
  <si>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</si>
  <si>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</si>
  <si>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</si>
  <si>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</si>
  <si>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</si>
  <si>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</si>
  <si>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</si>
  <si>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</si>
  <si>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</si>
  <si>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</si>
  <si>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</si>
  <si>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</si>
  <si>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</si>
  <si>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</si>
  <si>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</si>
  <si>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</si>
  <si>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</si>
  <si>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</si>
  <si>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</si>
  <si>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</si>
  <si>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</si>
  <si>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</si>
  <si>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</si>
  <si>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</si>
  <si>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</si>
  <si>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</si>
  <si>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</si>
  <si>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</si>
  <si>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</si>
  <si>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</si>
  <si>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</si>
  <si>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</si>
  <si>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</si>
  <si>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</si>
  <si>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</si>
  <si>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</si>
  <si>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</si>
  <si>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</si>
  <si>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</si>
  <si>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</si>
  <si>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</si>
  <si>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</si>
  <si>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</si>
  <si>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</si>
  <si>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</si>
  <si>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</si>
  <si>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</si>
  <si>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</si>
  <si>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</si>
  <si>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</si>
  <si>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</si>
  <si>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</si>
  <si>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</si>
  <si>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</si>
  <si>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</si>
  <si>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</si>
  <si>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</si>
  <si>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</si>
  <si>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</si>
  <si>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</si>
  <si>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</si>
  <si>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</si>
  <si>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</si>
  <si>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</si>
  <si>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</si>
  <si>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</si>
  <si>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</si>
  <si>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</si>
  <si>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</si>
  <si>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</si>
  <si>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</si>
  <si>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</si>
  <si>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</si>
  <si>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</si>
  <si>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</si>
  <si>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</si>
  <si>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</si>
  <si>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</si>
  <si>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</si>
  <si>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</si>
  <si>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</si>
  <si>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</si>
  <si>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</si>
  <si>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</si>
  <si>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</si>
  <si>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</si>
  <si>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</si>
  <si>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</si>
  <si>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</si>
  <si>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</si>
  <si>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</si>
  <si>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</si>
  <si>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</si>
  <si>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</si>
  <si>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</si>
  <si>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</si>
  <si>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</si>
  <si>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</si>
  <si>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</si>
  <si>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</si>
  <si>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</si>
  <si>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</si>
  <si>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</si>
  <si>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</si>
  <si>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</si>
  <si>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</si>
  <si>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</si>
  <si>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</si>
  <si>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</si>
  <si>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</si>
  <si>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</si>
  <si>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</si>
  <si>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</si>
  <si>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</si>
  <si>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</si>
  <si>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</si>
  <si>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</si>
  <si>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</si>
  <si>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</si>
  <si>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</si>
  <si>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</si>
  <si>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</si>
  <si>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</si>
  <si>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</si>
  <si>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</si>
  <si>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</si>
  <si>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</si>
  <si>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</si>
  <si>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</si>
  <si>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</si>
  <si>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</si>
  <si>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</si>
  <si>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</si>
  <si>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</si>
  <si>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</si>
  <si>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</si>
  <si>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</si>
  <si>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</si>
  <si>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</si>
  <si>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</si>
  <si>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</si>
  <si>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</si>
  <si>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</si>
  <si>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</si>
  <si>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</si>
  <si>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</si>
  <si>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</si>
  <si>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</si>
  <si>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</si>
  <si>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</si>
  <si>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</si>
  <si>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</si>
  <si>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</si>
  <si>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</si>
  <si>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</si>
  <si>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</si>
  <si>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</si>
  <si>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</si>
  <si>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</si>
  <si>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</si>
  <si>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</si>
  <si>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</si>
  <si>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</si>
  <si>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</si>
  <si>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</si>
  <si>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</si>
  <si>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</si>
  <si>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</si>
  <si>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</si>
  <si>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</si>
  <si>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</si>
  <si>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</si>
  <si>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</si>
  <si>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</si>
  <si>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</si>
  <si>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</si>
  <si>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</si>
  <si>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</si>
  <si>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</si>
  <si>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</si>
  <si>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</si>
  <si>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</si>
  <si>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</si>
  <si>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</si>
  <si>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</si>
  <si>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</si>
  <si>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</si>
  <si>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</si>
  <si>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</si>
  <si>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</si>
  <si>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</si>
  <si>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</si>
  <si>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</si>
  <si>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</si>
  <si>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</si>
  <si>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</si>
  <si>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</si>
  <si>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</si>
  <si>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</si>
  <si>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</si>
  <si>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</si>
  <si>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</si>
  <si>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</si>
  <si>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</si>
  <si>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</si>
  <si>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</si>
  <si>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</si>
  <si>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</si>
  <si>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</si>
  <si>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</si>
  <si>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</si>
  <si>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</si>
  <si>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</si>
  <si>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</si>
  <si>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</si>
  <si>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</si>
  <si>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</si>
  <si>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</si>
  <si>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</si>
  <si>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</si>
  <si>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</si>
  <si>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</si>
  <si>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</si>
  <si>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</si>
  <si>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</si>
  <si>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</si>
  <si>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</si>
  <si>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</si>
  <si>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</si>
  <si>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</si>
  <si>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</si>
  <si>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</si>
  <si>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</si>
  <si>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</si>
  <si>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</si>
  <si>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</si>
  <si>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</si>
  <si>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</si>
  <si>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</si>
  <si>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</si>
  <si>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</si>
  <si>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</si>
  <si>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</si>
  <si>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</si>
  <si>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</si>
  <si>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</si>
  <si>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</si>
  <si>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</si>
  <si>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</si>
  <si>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</si>
  <si>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</si>
  <si>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</si>
  <si>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</si>
  <si>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</si>
  <si>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</si>
  <si>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</si>
  <si>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</si>
  <si>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</si>
  <si>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</si>
  <si>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</si>
  <si>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</si>
  <si>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</si>
  <si>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</si>
  <si>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</si>
  <si>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</si>
  <si>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</si>
  <si>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</si>
  <si>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</si>
  <si>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</si>
  <si>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</si>
  <si>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</si>
  <si>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</si>
  <si>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</si>
  <si>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</si>
  <si>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</si>
  <si>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</si>
  <si>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</si>
  <si>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</si>
  <si>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</si>
  <si>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</si>
  <si>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</si>
  <si>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</si>
  <si>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</si>
  <si>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</si>
  <si>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</si>
  <si>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</si>
  <si>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</si>
  <si>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</si>
  <si>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</si>
  <si>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</si>
  <si>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</si>
  <si>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</si>
  <si>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</si>
  <si>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</si>
  <si>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</si>
  <si>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</si>
  <si>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</si>
  <si>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</si>
  <si>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</si>
  <si>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</si>
  <si>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</si>
  <si>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</si>
  <si>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</si>
  <si>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</si>
  <si>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</si>
  <si>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</si>
  <si>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</si>
  <si>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</si>
  <si>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</si>
  <si>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</si>
  <si>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</si>
  <si>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</si>
  <si>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</si>
  <si>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</si>
  <si>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</si>
  <si>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</si>
  <si>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</si>
  <si>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</si>
  <si>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</si>
  <si>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</si>
  <si>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</si>
  <si>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</si>
  <si>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</si>
  <si>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</si>
  <si>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</si>
  <si>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</si>
  <si>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</si>
  <si>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</si>
  <si>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</si>
  <si>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</si>
  <si>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</si>
  <si>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</si>
  <si>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</si>
  <si>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</si>
  <si>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</si>
  <si>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</si>
  <si>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</si>
  <si>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</si>
  <si>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</si>
  <si>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</si>
  <si>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</si>
  <si>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</si>
  <si>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</si>
  <si>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</si>
  <si>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</si>
  <si>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</si>
  <si>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</si>
  <si>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</si>
  <si>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</si>
  <si>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</si>
  <si>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</si>
  <si>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</si>
  <si>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</si>
  <si>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</si>
  <si>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</si>
  <si>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</si>
  <si>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</si>
  <si>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</si>
  <si>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</si>
  <si>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</si>
  <si>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</si>
  <si>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</si>
  <si>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</si>
  <si>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</si>
  <si>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</si>
  <si>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</si>
  <si>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</si>
  <si>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</si>
  <si>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</si>
  <si>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</si>
  <si>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</si>
  <si>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</si>
  <si>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</si>
  <si>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</si>
  <si>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</si>
  <si>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</si>
  <si>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</si>
  <si>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</si>
  <si>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</si>
  <si>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</si>
  <si>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</si>
  <si>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</si>
  <si>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</si>
  <si>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</si>
  <si>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</si>
  <si>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</si>
  <si>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</si>
  <si>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</si>
  <si>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</si>
  <si>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</si>
  <si>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</si>
  <si>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</si>
  <si>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</si>
  <si>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</si>
  <si>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</si>
  <si>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</si>
  <si>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</si>
  <si>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</si>
  <si>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</si>
  <si>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</si>
  <si>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</si>
  <si>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</si>
  <si>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</si>
  <si>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</si>
  <si>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</si>
  <si>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</si>
  <si>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</si>
  <si>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</si>
  <si>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</si>
  <si>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</si>
  <si>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</si>
  <si>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</si>
  <si>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</si>
  <si>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</si>
  <si>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</si>
  <si>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</si>
  <si>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</si>
  <si>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</si>
  <si>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</si>
  <si>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</si>
  <si>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</si>
  <si>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</si>
  <si>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</si>
  <si>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</si>
  <si>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</si>
  <si>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</si>
  <si>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</si>
  <si>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</si>
  <si>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</si>
  <si>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</si>
  <si>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</si>
  <si>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</si>
  <si>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</si>
  <si>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</si>
  <si>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</si>
  <si>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</si>
  <si>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</si>
  <si>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</si>
  <si>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</si>
  <si>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</si>
  <si>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</si>
  <si>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</si>
  <si>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</si>
  <si>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</si>
  <si>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</si>
  <si>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</si>
  <si>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</si>
  <si>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</si>
  <si>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</si>
  <si>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</si>
  <si>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</si>
  <si>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</si>
  <si>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</si>
  <si>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</si>
  <si>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</si>
  <si>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</si>
  <si>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</si>
  <si>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</si>
  <si>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</si>
  <si>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</si>
  <si>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</si>
  <si>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</si>
  <si>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</si>
  <si>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</si>
  <si>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</si>
  <si>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</si>
  <si>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</si>
  <si>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</si>
  <si>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</si>
  <si>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</si>
  <si>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</si>
  <si>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</si>
  <si>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</si>
  <si>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</si>
  <si>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</si>
  <si>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</si>
  <si>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</si>
  <si>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</si>
  <si>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</si>
  <si>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</si>
  <si>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</si>
  <si>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</si>
  <si>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</si>
  <si>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</si>
  <si>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</si>
  <si>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</si>
  <si>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</si>
  <si>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</si>
  <si>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</si>
  <si>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</si>
  <si>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</si>
  <si>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</si>
  <si>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</si>
  <si>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</si>
  <si>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</si>
  <si>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</si>
  <si>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</si>
  <si>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</si>
  <si>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</si>
  <si>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</si>
  <si>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</si>
  <si>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</si>
  <si>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</si>
  <si>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</si>
  <si>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</si>
  <si>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</si>
  <si>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</si>
  <si>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</si>
  <si>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</si>
  <si>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</si>
  <si>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</si>
  <si>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</si>
  <si>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</si>
  <si>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</si>
  <si>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</si>
  <si>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</si>
  <si>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</si>
  <si>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</si>
  <si>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</si>
  <si>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</si>
  <si>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</si>
  <si>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</si>
  <si>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</si>
  <si>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</si>
  <si>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</si>
  <si>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</si>
  <si>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</si>
  <si>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</si>
  <si>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</si>
  <si>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</si>
  <si>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</si>
  <si>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</si>
  <si>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</si>
  <si>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</si>
  <si>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</si>
  <si>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</si>
  <si>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</si>
  <si>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</si>
  <si>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</si>
  <si>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</si>
  <si>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</si>
  <si>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</si>
  <si>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</si>
  <si>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</si>
  <si>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</si>
  <si>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</si>
  <si>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</si>
  <si>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</si>
  <si>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</si>
  <si>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</si>
  <si>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</si>
  <si>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</si>
  <si>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</si>
  <si>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</si>
  <si>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</si>
  <si>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</si>
  <si>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</si>
  <si>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</si>
  <si>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</si>
  <si>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</si>
  <si>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</si>
  <si>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</si>
  <si>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</si>
  <si>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</si>
  <si>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</si>
  <si>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</si>
  <si>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</si>
  <si>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</si>
  <si>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</si>
  <si>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</si>
  <si>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</si>
  <si>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</si>
  <si>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</si>
  <si>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</si>
  <si>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</si>
  <si>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</si>
  <si>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</si>
  <si>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</si>
  <si>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</si>
  <si>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</si>
  <si>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</si>
  <si>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</si>
  <si>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</si>
  <si>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</si>
  <si>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</si>
  <si>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</si>
  <si>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</si>
  <si>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</si>
  <si>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</si>
  <si>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</si>
  <si>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</si>
  <si>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</si>
  <si>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</si>
  <si>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</si>
  <si>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</si>
  <si>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</si>
  <si>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</si>
  <si>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</si>
  <si>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</si>
  <si>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</si>
  <si>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</si>
  <si>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</si>
  <si>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</si>
  <si>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</si>
  <si>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</si>
  <si>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</si>
  <si>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</si>
  <si>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</si>
  <si>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</si>
  <si>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</si>
  <si>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</si>
  <si>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</si>
  <si>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</si>
  <si>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</si>
  <si>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</si>
  <si>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</si>
  <si>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</si>
  <si>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</si>
  <si>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</si>
  <si>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</si>
  <si>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</si>
  <si>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</si>
  <si>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</si>
  <si>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</si>
  <si>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</si>
  <si>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</si>
  <si>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</si>
  <si>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</si>
  <si>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</si>
  <si>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</si>
  <si>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</si>
  <si>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</si>
  <si>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</si>
  <si>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</si>
  <si>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</si>
  <si>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</si>
  <si>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</si>
  <si>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</si>
  <si>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</si>
  <si>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</si>
  <si>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</si>
  <si>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</si>
  <si>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</si>
  <si>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</si>
  <si>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</si>
  <si>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</si>
  <si>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</si>
  <si>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</si>
  <si>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</si>
  <si>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</si>
  <si>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</si>
  <si>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</si>
  <si>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</si>
  <si>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</si>
  <si>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</si>
  <si>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</si>
  <si>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</si>
  <si>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</si>
  <si>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</si>
  <si>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</si>
  <si>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</si>
  <si>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</si>
  <si>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</si>
  <si>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</si>
  <si>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</si>
  <si>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</si>
  <si>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</si>
  <si>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</si>
  <si>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</si>
  <si>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</si>
  <si>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</si>
  <si>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</si>
  <si>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</si>
  <si>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</si>
  <si>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</si>
  <si>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</si>
  <si>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</si>
  <si>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</si>
  <si>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</si>
  <si>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</si>
  <si>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</si>
  <si>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</si>
  <si>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</si>
  <si>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</si>
  <si>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</si>
  <si>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</si>
  <si>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</si>
  <si>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</si>
  <si>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</si>
  <si>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</si>
  <si>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</si>
  <si>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</si>
  <si>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</si>
  <si>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</si>
  <si>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</si>
  <si>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</si>
  <si>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</si>
  <si>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</si>
  <si>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</si>
  <si>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</si>
  <si>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</si>
  <si>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</si>
  <si>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</si>
  <si>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</si>
  <si>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</si>
  <si>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</si>
  <si>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</si>
  <si>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</si>
  <si>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</si>
  <si>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</si>
  <si>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</si>
  <si>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</si>
  <si>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</si>
  <si>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</si>
  <si>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</si>
  <si>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</si>
  <si>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</si>
  <si>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</si>
  <si>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</si>
  <si>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</si>
  <si>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</si>
  <si>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</si>
  <si>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</si>
  <si>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</si>
  <si>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</si>
  <si>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</si>
  <si>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</si>
  <si>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</si>
  <si>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</si>
  <si>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</si>
  <si>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</si>
  <si>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</si>
  <si>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</si>
  <si>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</si>
  <si>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</si>
  <si>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</si>
  <si>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</si>
  <si>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</si>
  <si>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</si>
  <si>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</si>
  <si>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</si>
  <si>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</si>
  <si>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</si>
  <si>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</si>
  <si>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</si>
  <si>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</si>
  <si>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</si>
  <si>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</si>
  <si>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</si>
  <si>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</si>
  <si>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</si>
  <si>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</si>
  <si>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</si>
  <si>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</si>
  <si>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</si>
  <si>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</si>
  <si>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</si>
  <si>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</si>
  <si>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</si>
  <si>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</si>
  <si>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</si>
  <si>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</si>
  <si>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</si>
  <si>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</si>
  <si>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</si>
  <si>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</si>
  <si>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</si>
  <si>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</si>
  <si>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</si>
  <si>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</si>
  <si>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</si>
  <si>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</si>
  <si>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</si>
  <si>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</si>
  <si>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</si>
  <si>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</si>
  <si>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</si>
  <si>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</si>
  <si>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</si>
  <si>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</si>
  <si>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</si>
  <si>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</si>
  <si>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</si>
  <si>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</si>
  <si>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</si>
  <si>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</si>
  <si>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</si>
  <si>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</si>
  <si>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</si>
  <si>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</si>
  <si>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</si>
  <si>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</si>
  <si>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</si>
  <si>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</si>
  <si>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</si>
  <si>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</si>
  <si>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</si>
  <si>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</si>
  <si>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</si>
  <si>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</si>
  <si>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</si>
  <si>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</si>
  <si>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</si>
  <si>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</si>
  <si>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</si>
  <si>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</si>
  <si>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</si>
  <si>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</si>
  <si>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</si>
  <si>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</si>
  <si>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</si>
  <si>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</si>
  <si>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</si>
  <si>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</si>
  <si>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</si>
  <si>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</si>
  <si>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</si>
  <si>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</si>
  <si>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</si>
  <si>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</si>
  <si>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</si>
  <si>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</si>
  <si>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</si>
  <si>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</si>
  <si>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</si>
  <si>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</si>
  <si>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</si>
  <si>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</si>
  <si>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</si>
  <si>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</si>
  <si>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</si>
  <si>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</si>
  <si>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</si>
  <si>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</si>
  <si>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</si>
  <si>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</si>
  <si>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</si>
  <si>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</si>
  <si>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</si>
  <si>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</si>
  <si>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</si>
  <si>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</si>
  <si>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</si>
  <si>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</si>
  <si>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</si>
  <si>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</si>
  <si>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</si>
  <si>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</si>
  <si>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</si>
  <si>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</si>
  <si>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</si>
  <si>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</si>
  <si>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</si>
  <si>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</si>
  <si>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</si>
  <si>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</si>
  <si>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</si>
  <si>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</si>
  <si>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</si>
  <si>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</si>
  <si>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</si>
  <si>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</si>
  <si>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</si>
  <si>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</si>
  <si>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</si>
  <si>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</si>
  <si>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</si>
  <si>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</si>
  <si>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</si>
  <si>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</si>
  <si>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</si>
  <si>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</si>
  <si>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</si>
  <si>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</si>
  <si>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</si>
  <si>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</si>
  <si>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</si>
  <si>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</si>
  <si>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</si>
  <si>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</si>
  <si>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</si>
  <si>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</si>
  <si>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</si>
  <si>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</si>
  <si>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</si>
  <si>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</si>
  <si>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</si>
  <si>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</si>
  <si>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</si>
  <si>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</si>
  <si>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</si>
  <si>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</si>
  <si>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</si>
  <si>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</si>
  <si>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</si>
  <si>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</si>
  <si>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</si>
  <si>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</si>
  <si>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</si>
  <si>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</si>
  <si>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</si>
  <si>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</si>
  <si>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</si>
  <si>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</si>
  <si>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</si>
  <si>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</si>
  <si>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</si>
  <si>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</si>
  <si>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</si>
  <si>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</si>
  <si>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</si>
  <si>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</si>
  <si>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</si>
  <si>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</si>
  <si>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</si>
  <si>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</si>
  <si>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</si>
  <si>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</si>
  <si>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</si>
  <si>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</si>
  <si>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</si>
  <si>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</si>
  <si>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</si>
  <si>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</si>
  <si>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</si>
  <si>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</si>
  <si>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</si>
  <si>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</si>
  <si>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</si>
  <si>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</si>
  <si>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</si>
  <si>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</si>
  <si>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</si>
  <si>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</si>
  <si>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</si>
  <si>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</si>
  <si>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</si>
  <si>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</si>
  <si>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</si>
  <si>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</si>
  <si>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</si>
  <si>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</si>
  <si>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</si>
  <si>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</si>
  <si>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</si>
  <si>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</si>
  <si>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</si>
  <si>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</si>
  <si>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</si>
  <si>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</si>
  <si>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</si>
  <si>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</si>
  <si>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</si>
  <si>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</si>
  <si>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</si>
  <si>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</si>
  <si>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</si>
  <si>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</si>
  <si>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</si>
  <si>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</si>
  <si>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</si>
  <si>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</si>
  <si>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</si>
  <si>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</si>
  <si>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</si>
  <si>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</si>
  <si>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</si>
  <si>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</si>
  <si>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</si>
  <si>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</si>
  <si>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</si>
  <si>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</si>
  <si>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</si>
  <si>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</si>
  <si>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</si>
  <si>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</si>
  <si>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</si>
  <si>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</si>
  <si>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</si>
  <si>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</si>
  <si>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</si>
  <si>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</si>
  <si>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</si>
  <si>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</si>
  <si>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</si>
  <si>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</si>
  <si>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</si>
  <si>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</si>
  <si>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</si>
  <si>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</si>
  <si>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</si>
  <si>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</si>
  <si>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</si>
  <si>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</si>
  <si>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</si>
  <si>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</si>
  <si>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</si>
  <si>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</si>
  <si>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</si>
  <si>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</si>
  <si>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</si>
  <si>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</si>
  <si>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</si>
  <si>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</si>
  <si>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</si>
  <si>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</si>
  <si>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</si>
  <si>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</si>
  <si>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</si>
  <si>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</si>
  <si>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</si>
  <si>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</si>
  <si>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</si>
  <si>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</si>
  <si>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</si>
  <si>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</si>
  <si>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</si>
  <si>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</si>
  <si>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</si>
  <si>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</si>
  <si>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</si>
  <si>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</si>
  <si>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</si>
  <si>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</si>
  <si>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</si>
  <si>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</si>
  <si>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</si>
  <si>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</si>
  <si>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</si>
  <si>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</si>
  <si>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</si>
  <si>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</si>
  <si>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</si>
  <si>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</si>
  <si>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</si>
  <si>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</si>
  <si>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</si>
  <si>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</si>
  <si>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</si>
  <si>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</si>
  <si>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</si>
  <si>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</si>
  <si>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</si>
  <si>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</si>
  <si>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</si>
  <si>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</si>
  <si>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</si>
  <si>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</si>
  <si>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</si>
  <si>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</si>
  <si>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</si>
  <si>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</si>
  <si>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</si>
  <si>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</si>
  <si>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</si>
  <si>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</si>
  <si>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</si>
  <si>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</si>
  <si>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</si>
  <si>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</si>
  <si>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</si>
  <si>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</si>
  <si>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</si>
  <si>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</si>
  <si>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</si>
  <si>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</si>
  <si>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</si>
  <si>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</si>
  <si>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</si>
  <si>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</si>
  <si>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</si>
  <si>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</si>
  <si>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</si>
  <si>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</si>
  <si>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</si>
  <si>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</si>
  <si>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</si>
  <si>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</si>
  <si>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</si>
  <si>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</si>
  <si>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</si>
  <si>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</si>
  <si>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</si>
  <si>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</si>
  <si>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</si>
  <si>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</si>
  <si>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</si>
  <si>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</si>
  <si>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</si>
  <si>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</si>
  <si>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</si>
  <si>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</si>
  <si>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</si>
  <si>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</si>
  <si>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</si>
  <si>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</si>
  <si>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</si>
  <si>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</si>
  <si>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</si>
  <si>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</si>
  <si>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</si>
  <si>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</si>
  <si>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</si>
  <si>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</si>
  <si>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</si>
  <si>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</si>
  <si>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</si>
  <si>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</si>
  <si>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</si>
  <si>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</si>
  <si>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</si>
  <si>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</si>
  <si>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</si>
  <si>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</si>
  <si>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</si>
  <si>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</si>
  <si>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</si>
  <si>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</si>
  <si>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</si>
  <si>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</si>
  <si>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</si>
  <si>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</si>
  <si>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</si>
  <si>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</si>
  <si>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</si>
  <si>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</si>
  <si>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</si>
  <si>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</si>
  <si>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</si>
  <si>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</si>
  <si>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</si>
  <si>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</si>
  <si>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</si>
  <si>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</si>
  <si>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</si>
  <si>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</si>
  <si>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</si>
  <si>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</si>
  <si>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</si>
  <si>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</si>
  <si>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</si>
  <si>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</si>
  <si>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</si>
  <si>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</si>
  <si>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</si>
  <si>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</si>
  <si>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</si>
  <si>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</si>
  <si>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</si>
  <si>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</si>
  <si>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</si>
  <si>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</si>
  <si>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</si>
  <si>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</si>
  <si>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</si>
  <si>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</si>
  <si>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</si>
  <si>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</si>
  <si>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</si>
  <si>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</si>
  <si>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</si>
  <si>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</si>
  <si>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</si>
  <si>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</si>
  <si>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</si>
  <si>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</si>
  <si>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</si>
  <si>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</si>
  <si>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</si>
  <si>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</si>
  <si>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</si>
  <si>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</si>
  <si>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</si>
  <si>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</si>
  <si>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</si>
  <si>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</si>
  <si>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</si>
  <si>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</si>
  <si>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</si>
  <si>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</si>
  <si>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</si>
  <si>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</si>
  <si>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</si>
  <si>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</si>
  <si>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</si>
  <si>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</si>
  <si>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</si>
  <si>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</si>
  <si>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</si>
  <si>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</si>
  <si>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</si>
  <si>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</si>
  <si>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</si>
  <si>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</si>
  <si>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</si>
  <si>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</si>
  <si>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</si>
  <si>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</si>
  <si>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</si>
  <si>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</si>
  <si>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</si>
  <si>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</si>
  <si>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</si>
  <si>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</si>
  <si>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</si>
  <si>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</si>
  <si>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</si>
  <si>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</si>
  <si>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</si>
  <si>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</si>
  <si>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</si>
  <si>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</si>
  <si>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</si>
  <si>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</si>
  <si>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</si>
  <si>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</si>
  <si>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</si>
  <si>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</si>
  <si>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</si>
  <si>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</si>
  <si>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</si>
  <si>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</si>
  <si>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</si>
  <si>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</si>
  <si>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</si>
  <si>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</si>
  <si>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</si>
  <si>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</si>
  <si>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</si>
  <si>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</si>
  <si>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</si>
  <si>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</si>
  <si>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</si>
  <si>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</si>
  <si>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</si>
  <si>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</si>
  <si>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</si>
  <si>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</si>
  <si>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</si>
  <si>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</si>
  <si>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</si>
  <si>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</si>
  <si>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</si>
  <si>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</si>
  <si>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</si>
  <si>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</si>
  <si>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</si>
  <si>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</si>
  <si>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</si>
  <si>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</si>
  <si>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</si>
  <si>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</si>
  <si>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</si>
  <si>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</si>
  <si>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</si>
  <si>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</si>
  <si>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</si>
  <si>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</si>
  <si>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</si>
  <si>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</si>
  <si>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</si>
  <si>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</si>
  <si>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</si>
  <si>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</si>
  <si>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</si>
  <si>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</si>
  <si>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</si>
  <si>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</si>
  <si>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</si>
  <si>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</si>
  <si>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</si>
  <si>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</si>
  <si>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</si>
  <si>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</si>
  <si>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</si>
  <si>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</si>
  <si>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</si>
  <si>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</si>
  <si>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</si>
  <si>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</si>
  <si>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</si>
  <si>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</si>
  <si>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</si>
  <si>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</si>
  <si>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</si>
  <si>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</si>
  <si>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</si>
  <si>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</si>
  <si>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</si>
  <si>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</si>
  <si>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</si>
  <si>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</si>
  <si>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</si>
  <si>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</si>
  <si>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</si>
  <si>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</si>
  <si>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</si>
  <si>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</si>
  <si>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</si>
  <si>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</si>
  <si>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</si>
  <si>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</si>
  <si>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</si>
  <si>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</si>
  <si>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</si>
  <si>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</si>
  <si>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</si>
  <si>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</si>
  <si>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</si>
  <si>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</si>
  <si>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</si>
  <si>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</si>
  <si>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</si>
  <si>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</si>
  <si>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</si>
  <si>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</si>
  <si>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</si>
  <si>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</si>
  <si>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</si>
  <si>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</si>
  <si>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</si>
  <si>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</si>
  <si>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</si>
  <si>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</si>
  <si>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</si>
  <si>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</si>
  <si>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</si>
  <si>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</si>
  <si>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</si>
  <si>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</si>
  <si>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</si>
  <si>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</si>
  <si>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</si>
  <si>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</si>
  <si>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</si>
  <si>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</si>
  <si>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</si>
  <si>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</si>
  <si>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</si>
  <si>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</si>
  <si>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</si>
  <si>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</si>
  <si>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</si>
  <si>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</si>
  <si>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</si>
  <si>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</si>
  <si>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</si>
  <si>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</si>
  <si>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</si>
  <si>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</si>
  <si>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</si>
  <si>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</si>
  <si>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</si>
  <si>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</si>
  <si>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</si>
  <si>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</si>
  <si>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</si>
  <si>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</si>
  <si>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</si>
  <si>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</si>
  <si>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</si>
  <si>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</si>
  <si>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</si>
  <si>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</si>
  <si>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</si>
  <si>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</si>
  <si>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</si>
  <si>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</si>
  <si>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</si>
  <si>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</si>
  <si>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</si>
  <si>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</si>
  <si>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</si>
  <si>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</si>
  <si>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</si>
  <si>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</si>
  <si>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</si>
  <si>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</si>
  <si>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</si>
  <si>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</si>
  <si>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</si>
  <si>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</si>
  <si>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</si>
  <si>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</si>
  <si>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</si>
  <si>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</si>
  <si>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</si>
  <si>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</si>
  <si>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</si>
  <si>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</si>
  <si>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</si>
  <si>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</si>
  <si>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</si>
  <si>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</si>
  <si>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</si>
  <si>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</si>
  <si>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</si>
  <si>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</si>
  <si>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</si>
  <si>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</si>
  <si>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</si>
  <si>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</si>
  <si>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</si>
  <si>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</si>
  <si>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</si>
  <si>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</si>
  <si>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</si>
  <si>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</si>
  <si>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</si>
  <si>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</si>
  <si>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</si>
  <si>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</si>
  <si>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</si>
  <si>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</si>
  <si>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</si>
  <si>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</si>
  <si>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</si>
  <si>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</si>
  <si>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</si>
  <si>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</si>
  <si>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</si>
  <si>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</si>
  <si>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</si>
  <si>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</si>
  <si>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</si>
  <si>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</si>
  <si>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</si>
  <si>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</si>
  <si>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</si>
  <si>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</si>
  <si>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</si>
  <si>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</si>
  <si>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</si>
  <si>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</si>
  <si>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</si>
  <si>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</si>
  <si>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</si>
  <si>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</si>
  <si>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</si>
  <si>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</si>
  <si>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</si>
  <si>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</si>
  <si>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</si>
  <si>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</si>
  <si>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</si>
  <si>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</si>
  <si>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</si>
  <si>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</si>
  <si>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</si>
  <si>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</si>
  <si>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</si>
  <si>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</si>
  <si>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</si>
  <si>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</si>
  <si>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</si>
  <si>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</si>
  <si>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</si>
  <si>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</si>
  <si>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</si>
  <si>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</si>
  <si>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</si>
  <si>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</si>
  <si>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</si>
  <si>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</si>
  <si>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</si>
  <si>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</si>
  <si>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</si>
  <si>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</si>
  <si>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</si>
  <si>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</si>
  <si>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</si>
  <si>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</si>
  <si>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</si>
  <si>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</si>
  <si>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</si>
  <si>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</si>
  <si>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</si>
  <si>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</si>
  <si>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</si>
  <si>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</si>
  <si>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</si>
  <si>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</si>
  <si>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</si>
  <si>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</si>
  <si>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</si>
  <si>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</si>
  <si>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</si>
  <si>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</si>
  <si>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</si>
  <si>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</si>
  <si>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</si>
  <si>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</si>
  <si>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</si>
  <si>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</si>
  <si>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</si>
  <si>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</si>
  <si>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</si>
  <si>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</si>
  <si>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</si>
  <si>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</si>
  <si>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</si>
  <si>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</si>
  <si>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</si>
  <si>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</si>
  <si>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</si>
  <si>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</si>
  <si>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</si>
  <si>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</si>
  <si>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</si>
  <si>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</si>
  <si>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</si>
  <si>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</si>
  <si>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</si>
  <si>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</si>
  <si>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</si>
  <si>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</si>
  <si>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</si>
  <si>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</si>
  <si>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</si>
  <si>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</si>
  <si>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</si>
  <si>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</si>
  <si>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</si>
  <si>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</si>
  <si>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</si>
  <si>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</si>
  <si>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</si>
  <si>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</si>
  <si>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</si>
  <si>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</si>
  <si>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</si>
  <si>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</si>
  <si>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</si>
  <si>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</si>
  <si>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</si>
  <si>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</si>
  <si>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</si>
  <si>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</si>
  <si>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</si>
  <si>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</si>
  <si>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</si>
  <si>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</si>
  <si>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</si>
  <si>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</si>
  <si>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</si>
  <si>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</si>
  <si>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</si>
  <si>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</si>
  <si>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</si>
  <si>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</si>
  <si>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</si>
  <si>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</si>
  <si>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</si>
  <si>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</si>
  <si>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</si>
  <si>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</si>
  <si>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</si>
  <si>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</si>
  <si>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</si>
  <si>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</si>
  <si>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</si>
  <si>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</si>
  <si>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</si>
  <si>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</si>
  <si>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</si>
  <si>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</si>
  <si>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</si>
  <si>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</si>
  <si>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</si>
  <si>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</si>
  <si>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</si>
  <si>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</si>
  <si>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</si>
  <si>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</si>
  <si>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</si>
  <si>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</si>
  <si>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</si>
  <si>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</si>
  <si>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</si>
  <si>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</si>
  <si>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</si>
  <si>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</si>
  <si>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</si>
  <si>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</si>
  <si>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</si>
  <si>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</si>
  <si>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</si>
  <si>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</si>
  <si>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</si>
  <si>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</si>
  <si>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</si>
  <si>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</si>
  <si>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</si>
  <si>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</si>
  <si>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</si>
  <si>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</si>
  <si>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</si>
  <si>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</si>
  <si>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</si>
  <si>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</si>
  <si>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</si>
  <si>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</si>
  <si>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</si>
  <si>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</si>
  <si>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</si>
  <si>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</si>
  <si>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</si>
  <si>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</si>
  <si>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</si>
  <si>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</si>
  <si>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</si>
  <si>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</si>
  <si>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</si>
  <si>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</si>
  <si>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</si>
  <si>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</si>
  <si>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</si>
  <si>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</si>
  <si>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</si>
  <si>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</si>
  <si>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</si>
  <si>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</si>
  <si>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</si>
  <si>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</si>
  <si>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</si>
  <si>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</si>
  <si>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</si>
  <si>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</si>
  <si>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</si>
  <si>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</si>
  <si>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</si>
  <si>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</si>
  <si>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</si>
  <si>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</si>
  <si>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</si>
  <si>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</si>
  <si>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</si>
  <si>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</si>
  <si>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</si>
  <si>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</si>
  <si>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</si>
  <si>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</si>
  <si>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</si>
  <si>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</si>
  <si>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</si>
  <si>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</si>
  <si>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</si>
  <si>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</si>
  <si>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</si>
  <si>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</si>
  <si>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</si>
  <si>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</si>
  <si>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</si>
  <si>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</si>
  <si>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</si>
  <si>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</si>
  <si>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</si>
  <si>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</si>
  <si>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</si>
  <si>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</si>
  <si>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</si>
  <si>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</si>
  <si>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</si>
  <si>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</si>
  <si>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</si>
  <si>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</si>
  <si>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</si>
  <si>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</si>
  <si>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</si>
  <si>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</si>
  <si>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</si>
  <si>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</si>
  <si>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</si>
  <si>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</si>
  <si>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</si>
  <si>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</si>
  <si>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</si>
  <si>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</si>
  <si>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</si>
  <si>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</si>
  <si>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</si>
  <si>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</si>
  <si>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</si>
  <si>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</si>
  <si>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</si>
  <si>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</si>
  <si>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</si>
  <si>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</si>
  <si>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</si>
  <si>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</si>
  <si>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</si>
  <si>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</si>
  <si>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</si>
  <si>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</si>
  <si>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</si>
  <si>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</si>
  <si>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</si>
  <si>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</si>
  <si>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</si>
  <si>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</si>
  <si>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</si>
  <si>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</si>
  <si>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</si>
  <si>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</si>
  <si>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</si>
  <si>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</si>
  <si>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</si>
  <si>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</si>
  <si>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</si>
  <si>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</si>
  <si>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</si>
  <si>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</si>
  <si>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</si>
  <si>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</si>
  <si>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</si>
  <si>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</si>
  <si>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</si>
  <si>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</si>
  <si>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</si>
  <si>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</si>
  <si>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</si>
  <si>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</si>
  <si>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</si>
  <si>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</si>
  <si>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</si>
  <si>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</si>
  <si>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</si>
  <si>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</si>
  <si>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</si>
  <si>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</si>
  <si>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</si>
  <si>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</si>
  <si>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</si>
  <si>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</si>
  <si>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</si>
  <si>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</si>
  <si>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</si>
  <si>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</si>
  <si>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</si>
  <si>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</si>
  <si>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</si>
  <si>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</si>
  <si>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</si>
  <si>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</si>
  <si>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</si>
  <si>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</si>
  <si>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</si>
  <si>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</si>
  <si>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</si>
  <si>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</si>
  <si>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</si>
  <si>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</si>
  <si>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</si>
  <si>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</si>
  <si>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</si>
  <si>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</si>
  <si>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</si>
  <si>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</si>
  <si>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</si>
  <si>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</si>
  <si>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</si>
  <si>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</si>
  <si>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</si>
  <si>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</si>
  <si>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</si>
  <si>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</si>
  <si>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</si>
  <si>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</si>
  <si>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</si>
  <si>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</si>
  <si>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</si>
  <si>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</si>
  <si>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</si>
  <si>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</si>
  <si>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</si>
  <si>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</si>
  <si>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</si>
  <si>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</si>
  <si>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</si>
  <si>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</si>
  <si>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</si>
  <si>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</si>
  <si>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</si>
  <si>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</si>
  <si>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</si>
  <si>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</si>
  <si>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</si>
  <si>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</si>
  <si>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</si>
  <si>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</si>
  <si>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</si>
  <si>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</si>
  <si>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</si>
  <si>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</si>
  <si>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</si>
  <si>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</si>
  <si>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</si>
  <si>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</si>
  <si>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</si>
  <si>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</si>
  <si>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</si>
  <si>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</si>
  <si>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</si>
  <si>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</si>
  <si>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</si>
  <si>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</si>
  <si>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</si>
  <si>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</si>
  <si>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</si>
  <si>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</si>
  <si>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</si>
  <si>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</si>
  <si>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</si>
  <si>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</si>
  <si>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</si>
  <si>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</si>
  <si>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</si>
  <si>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</si>
  <si>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</si>
  <si>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</si>
  <si>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</si>
  <si>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</si>
  <si>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</si>
  <si>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</si>
  <si>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</si>
  <si>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</si>
  <si>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</si>
  <si>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</si>
  <si>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</si>
  <si>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</si>
  <si>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</si>
  <si>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</si>
  <si>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</si>
  <si>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</si>
  <si>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</si>
  <si>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</si>
  <si>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</si>
  <si>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</si>
  <si>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</si>
  <si>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</si>
  <si>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</si>
  <si>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</si>
  <si>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</si>
  <si>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</si>
  <si>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</si>
  <si>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</si>
  <si>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</si>
  <si>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</si>
  <si>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</si>
  <si>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</si>
  <si>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</si>
  <si>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</si>
  <si>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</si>
  <si>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</si>
  <si>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</si>
  <si>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</si>
  <si>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</si>
  <si>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</si>
  <si>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</si>
  <si>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</si>
  <si>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</si>
  <si>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</si>
  <si>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</si>
  <si>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</si>
  <si>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</si>
  <si>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</si>
  <si>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</si>
  <si>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</si>
  <si>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</si>
  <si>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</si>
  <si>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</si>
  <si>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</si>
  <si>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</si>
  <si>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</si>
  <si>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</si>
  <si>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</si>
  <si>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</si>
  <si>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</si>
  <si>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</si>
  <si>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</si>
  <si>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</si>
  <si>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</si>
  <si>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</si>
  <si>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</si>
  <si>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</si>
  <si>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</si>
  <si>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</si>
  <si>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</si>
  <si>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</si>
  <si>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</si>
  <si>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</si>
  <si>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</si>
  <si>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</si>
  <si>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</si>
  <si>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</si>
  <si>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</si>
  <si>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</si>
  <si>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</si>
  <si>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</si>
  <si>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</si>
  <si>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</si>
  <si>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</si>
  <si>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</si>
  <si>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</si>
  <si>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</si>
  <si>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</si>
  <si>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</si>
  <si>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</si>
  <si>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</si>
  <si>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</si>
  <si>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</si>
  <si>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</si>
  <si>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</si>
  <si>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</si>
  <si>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</si>
  <si>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</si>
  <si>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</si>
  <si>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</si>
  <si>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</si>
  <si>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</si>
  <si>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</si>
  <si>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</si>
  <si>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</si>
  <si>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</si>
  <si>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</si>
  <si>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</si>
  <si>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</si>
  <si>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</si>
  <si>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</si>
  <si>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</si>
  <si>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</si>
  <si>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</si>
  <si>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</si>
  <si>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</si>
  <si>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</si>
  <si>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</si>
  <si>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</si>
  <si>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</si>
  <si>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</si>
  <si>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</si>
  <si>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</si>
  <si>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</si>
  <si>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</si>
  <si>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</si>
  <si>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</si>
  <si>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</si>
  <si>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</si>
  <si>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</si>
  <si>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</si>
  <si>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</si>
  <si>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</si>
  <si>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</si>
  <si>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</si>
  <si>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</si>
  <si>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</si>
  <si>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</si>
  <si>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</si>
  <si>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</si>
  <si>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</si>
  <si>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</si>
  <si>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</si>
  <si>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</si>
  <si>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</si>
  <si>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</si>
  <si>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</si>
  <si>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</si>
  <si>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</si>
  <si>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</si>
  <si>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</si>
  <si>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</si>
  <si>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</si>
  <si>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</si>
  <si>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</si>
  <si>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</si>
  <si>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</si>
  <si>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</si>
  <si>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</si>
  <si>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</si>
  <si>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</si>
  <si>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</si>
  <si>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</si>
  <si>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</si>
  <si>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</si>
  <si>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</si>
  <si>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</si>
  <si>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</si>
  <si>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</si>
  <si>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</si>
  <si>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</si>
  <si>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</si>
  <si>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</si>
  <si>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</si>
  <si>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</si>
  <si>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</si>
  <si>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</si>
  <si>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</si>
  <si>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</si>
  <si>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</si>
  <si>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</si>
  <si>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</si>
  <si>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</si>
  <si>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</si>
  <si>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</si>
  <si>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</si>
  <si>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</si>
  <si>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</si>
  <si>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</si>
  <si>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</si>
  <si>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</si>
  <si>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</si>
  <si>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</si>
  <si>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</si>
  <si>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</si>
  <si>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</si>
  <si>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</si>
  <si>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</si>
  <si>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</si>
  <si>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</si>
  <si>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</si>
  <si>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</si>
  <si>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</si>
  <si>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</si>
  <si>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</si>
  <si>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</si>
  <si>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</si>
  <si>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</si>
  <si>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</si>
  <si>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</si>
  <si>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</si>
  <si>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</si>
  <si>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</si>
  <si>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</si>
  <si>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</si>
  <si>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</si>
  <si>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</si>
  <si>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</si>
  <si>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</si>
  <si>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</si>
  <si>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</si>
  <si>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</si>
  <si>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</si>
  <si>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</si>
  <si>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</si>
  <si>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</si>
  <si>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</si>
  <si>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</si>
  <si>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</si>
  <si>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</si>
  <si>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</si>
  <si>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</si>
  <si>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</si>
  <si>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</si>
  <si>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</si>
  <si>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</si>
  <si>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</si>
  <si>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</si>
  <si>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</si>
  <si>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</si>
  <si>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</si>
  <si>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</si>
  <si>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</si>
  <si>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</si>
  <si>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</si>
  <si>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</si>
  <si>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</si>
  <si>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</si>
  <si>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</si>
  <si>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</si>
  <si>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</si>
  <si>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</si>
  <si>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</si>
  <si>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</si>
  <si>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</si>
  <si>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</si>
  <si>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</si>
  <si>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</si>
  <si>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</si>
  <si>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</si>
  <si>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</si>
  <si>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</si>
  <si>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</si>
  <si>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</si>
  <si>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</si>
  <si>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</si>
  <si>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</si>
  <si>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</si>
  <si>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</si>
  <si>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</si>
  <si>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</si>
  <si>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</si>
  <si>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</si>
  <si>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</si>
  <si>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</si>
  <si>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</si>
  <si>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</si>
  <si>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</si>
  <si>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</si>
  <si>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</si>
  <si>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</si>
  <si>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</si>
  <si>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</si>
  <si>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</si>
  <si>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</si>
  <si>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</si>
  <si>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</si>
  <si>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</si>
  <si>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</si>
  <si>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</si>
  <si>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</si>
  <si>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</si>
  <si>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</si>
  <si>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</si>
  <si>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</si>
  <si>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</si>
  <si>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</si>
  <si>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</si>
  <si>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</si>
  <si>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</si>
  <si>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</si>
  <si>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</si>
  <si>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</si>
  <si>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</si>
  <si>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</si>
  <si>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</si>
  <si>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</si>
  <si>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</si>
  <si>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</si>
  <si>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</si>
  <si>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</si>
  <si>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</si>
  <si>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</si>
  <si>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</si>
  <si>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</si>
  <si>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</si>
  <si>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</si>
  <si>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</si>
  <si>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</si>
  <si>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</si>
  <si>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</si>
  <si>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</si>
  <si>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</si>
  <si>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</si>
  <si>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</si>
  <si>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</si>
  <si>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</si>
  <si>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</si>
  <si>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</si>
  <si>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</si>
  <si>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</si>
  <si>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</si>
  <si>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</si>
  <si>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</si>
  <si>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</si>
  <si>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</si>
  <si>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</si>
  <si>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</si>
  <si>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</si>
  <si>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</si>
  <si>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</si>
  <si>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</si>
  <si>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</si>
  <si>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</si>
  <si>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</si>
  <si>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</si>
  <si>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</si>
  <si>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</si>
  <si>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</si>
  <si>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</si>
  <si>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</si>
  <si>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</si>
  <si>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</si>
  <si>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</si>
  <si>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</si>
  <si>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</si>
  <si>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</si>
  <si>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</si>
  <si>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</si>
  <si>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</si>
  <si>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</si>
  <si>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</si>
  <si>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</si>
  <si>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</si>
  <si>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</si>
  <si>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</si>
  <si>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</si>
  <si>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</si>
  <si>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</si>
  <si>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</si>
  <si>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</si>
  <si>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</si>
  <si>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</si>
  <si>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</si>
  <si>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</si>
  <si>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</si>
  <si>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</si>
  <si>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</si>
  <si>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</si>
  <si>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</si>
  <si>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</si>
  <si>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</si>
  <si>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</si>
  <si>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</si>
  <si>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</si>
  <si>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</si>
  <si>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</si>
  <si>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</si>
  <si>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</si>
  <si>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</si>
  <si>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</si>
  <si>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</si>
  <si>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</si>
  <si>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</si>
  <si>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</si>
  <si>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</si>
  <si>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</si>
  <si>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</si>
  <si>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</si>
  <si>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</si>
  <si>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</si>
  <si>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</si>
  <si>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</si>
  <si>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</si>
  <si>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</si>
  <si>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</si>
  <si>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</si>
  <si>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</si>
  <si>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</si>
  <si>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</si>
  <si>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</si>
  <si>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</si>
  <si>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</si>
  <si>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</si>
  <si>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</si>
  <si>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</si>
  <si>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</si>
  <si>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</si>
  <si>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</si>
  <si>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</si>
  <si>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</si>
  <si>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</si>
  <si>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</si>
  <si>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</si>
  <si>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</si>
  <si>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</si>
  <si>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</si>
  <si>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</si>
  <si>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</si>
  <si>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</si>
  <si>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</si>
  <si>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</si>
  <si>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</si>
  <si>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</si>
  <si>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</si>
  <si>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</si>
  <si>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</si>
  <si>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</si>
  <si>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</si>
  <si>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</si>
  <si>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</si>
  <si>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</si>
  <si>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</si>
  <si>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</si>
  <si>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</si>
  <si>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</si>
  <si>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</si>
  <si>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</si>
  <si>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</si>
  <si>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</si>
  <si>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</si>
  <si>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</si>
  <si>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</si>
  <si>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</si>
  <si>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</si>
  <si>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</si>
  <si>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</si>
  <si>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</si>
  <si>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</si>
  <si>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</si>
  <si>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</si>
  <si>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</si>
  <si>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</si>
  <si>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</si>
  <si>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</si>
  <si>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</si>
  <si>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</si>
  <si>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</si>
  <si>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</si>
  <si>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</si>
  <si>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</si>
  <si>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</si>
  <si>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</si>
  <si>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</si>
  <si>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</si>
  <si>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</si>
  <si>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</si>
  <si>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</si>
  <si>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</si>
  <si>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</si>
  <si>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</si>
  <si>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</si>
  <si>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</si>
  <si>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</si>
  <si>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</si>
  <si>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</si>
  <si>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</si>
  <si>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</si>
  <si>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</si>
  <si>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</si>
  <si>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</si>
  <si>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</si>
  <si>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</si>
  <si>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</si>
  <si>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</si>
  <si>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</si>
  <si>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</si>
  <si>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</si>
  <si>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</si>
  <si>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</si>
  <si>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</si>
  <si>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</si>
  <si>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</si>
  <si>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</si>
  <si>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</si>
  <si>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</si>
  <si>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</si>
  <si>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</si>
  <si>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</si>
  <si>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</si>
  <si>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</si>
  <si>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</si>
  <si>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</si>
  <si>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</si>
  <si>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</si>
  <si>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</si>
  <si>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</si>
  <si>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</si>
  <si>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</si>
  <si>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</si>
  <si>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</si>
  <si>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</si>
  <si>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</si>
  <si>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</si>
  <si>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</si>
  <si>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</si>
  <si>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</si>
  <si>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</si>
  <si>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</si>
  <si>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</si>
  <si>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</si>
  <si>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</si>
  <si>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</si>
  <si>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</si>
  <si>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</si>
  <si>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</si>
  <si>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</si>
  <si>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</si>
  <si>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</si>
  <si>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</si>
  <si>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</si>
  <si>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</si>
  <si>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</si>
  <si>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</si>
  <si>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</si>
  <si>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</si>
  <si>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</si>
  <si>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</si>
  <si>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</si>
  <si>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</si>
  <si>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</si>
  <si>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</si>
  <si>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</si>
  <si>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</si>
  <si>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</si>
  <si>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</si>
  <si>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</si>
  <si>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</si>
  <si>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</si>
  <si>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</si>
  <si>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</si>
  <si>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</si>
  <si>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</si>
  <si>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</si>
  <si>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</si>
  <si>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</si>
  <si>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</si>
  <si>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</si>
  <si>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</si>
  <si>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</si>
  <si>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</si>
  <si>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</si>
  <si>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</si>
  <si>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</si>
  <si>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</si>
  <si>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</si>
  <si>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</si>
  <si>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</si>
  <si>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</si>
  <si>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</si>
  <si>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</si>
  <si>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</si>
  <si>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</si>
  <si>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</si>
  <si>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</si>
  <si>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</si>
  <si>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</si>
  <si>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</si>
  <si>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</si>
  <si>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</si>
  <si>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</si>
  <si>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</si>
  <si>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</si>
  <si>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</si>
  <si>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</si>
  <si>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</si>
  <si>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</si>
  <si>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</si>
  <si>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</si>
  <si>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</si>
  <si>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</si>
  <si>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</si>
  <si>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</si>
  <si>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</si>
  <si>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</si>
  <si>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</si>
  <si>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</si>
  <si>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</si>
  <si>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</si>
  <si>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</si>
  <si>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</si>
  <si>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</si>
  <si>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</si>
  <si>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</si>
  <si>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</si>
  <si>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</si>
  <si>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</si>
  <si>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</si>
  <si>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</si>
  <si>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</si>
  <si>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</si>
  <si>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</si>
  <si>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</si>
  <si>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</si>
  <si>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</si>
  <si>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</si>
  <si>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</si>
  <si>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</si>
  <si>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</si>
  <si>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</si>
  <si>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</si>
  <si>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</si>
  <si>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</si>
  <si>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</si>
  <si>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</si>
  <si>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</si>
  <si>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</si>
  <si>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</si>
  <si>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</si>
  <si>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</si>
  <si>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</si>
  <si>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</si>
  <si>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</si>
  <si>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</si>
  <si>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</si>
  <si>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</si>
  <si>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</si>
  <si>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</si>
  <si>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</si>
  <si>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</si>
  <si>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</si>
  <si>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</si>
  <si>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</si>
  <si>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</si>
  <si>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</si>
  <si>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</si>
  <si>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</si>
  <si>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</si>
  <si>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</si>
  <si>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</si>
  <si>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</si>
  <si>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</si>
  <si>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</si>
  <si>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</si>
  <si>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</si>
  <si>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</si>
  <si>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</si>
  <si>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</si>
  <si>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</si>
  <si>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</si>
  <si>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</si>
  <si>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</si>
  <si>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</si>
  <si>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</si>
  <si>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</si>
  <si>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</si>
  <si>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</si>
  <si>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</si>
  <si>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</si>
  <si>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</si>
  <si>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</si>
  <si>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</si>
  <si>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</si>
  <si>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</si>
  <si>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</si>
  <si>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</si>
  <si>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</si>
  <si>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</si>
  <si>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</si>
  <si>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</si>
  <si>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</si>
  <si>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</si>
  <si>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</si>
  <si>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</si>
  <si>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</si>
  <si>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</si>
  <si>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</si>
  <si>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</si>
  <si>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</si>
  <si>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</si>
  <si>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</si>
  <si>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</si>
  <si>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</si>
  <si>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</si>
  <si>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</si>
  <si>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</si>
  <si>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</si>
  <si>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</si>
  <si>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</si>
  <si>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</si>
  <si>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</si>
  <si>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</si>
  <si>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</si>
  <si>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</si>
  <si>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</si>
  <si>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</si>
  <si>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</si>
  <si>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</si>
  <si>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</si>
  <si>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</si>
  <si>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</si>
  <si>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</si>
  <si>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</si>
  <si>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</si>
  <si>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</si>
  <si>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</si>
  <si>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</si>
  <si>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</si>
  <si>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</si>
  <si>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</si>
  <si>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</si>
  <si>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</si>
  <si>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</si>
  <si>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</si>
  <si>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</si>
  <si>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</si>
  <si>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</si>
  <si>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</si>
  <si>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</si>
  <si>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</si>
  <si>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</si>
  <si>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</si>
  <si>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</si>
  <si>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</si>
  <si>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</si>
  <si>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</si>
  <si>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</si>
  <si>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</si>
  <si>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</si>
  <si>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</si>
  <si>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</si>
  <si>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</si>
  <si>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</si>
  <si>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</si>
  <si>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</si>
  <si>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</si>
  <si>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</si>
  <si>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</si>
  <si>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</si>
  <si>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</si>
  <si>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</si>
  <si>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</si>
  <si>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</si>
  <si>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</si>
  <si>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</si>
  <si>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</si>
  <si>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</si>
  <si>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</si>
  <si>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</si>
  <si>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</si>
  <si>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</si>
  <si>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</si>
  <si>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</si>
  <si>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</si>
  <si>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</si>
  <si>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</si>
  <si>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</si>
  <si>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</si>
  <si>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</si>
  <si>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</si>
  <si>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</si>
  <si>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</si>
  <si>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</si>
  <si>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</si>
  <si>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</si>
  <si>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</si>
  <si>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</si>
  <si>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</si>
  <si>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</si>
  <si>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</si>
  <si>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</si>
  <si>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</si>
  <si>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</si>
  <si>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</si>
  <si>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</si>
  <si>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</si>
  <si>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</si>
  <si>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</si>
  <si>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</si>
  <si>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</si>
  <si>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</si>
  <si>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</si>
  <si>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</si>
  <si>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</si>
  <si>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</si>
  <si>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</si>
  <si>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</si>
  <si>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</si>
  <si>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</si>
  <si>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</si>
  <si>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</si>
  <si>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</si>
  <si>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</si>
  <si>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</si>
  <si>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</si>
  <si>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</si>
  <si>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</si>
  <si>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</si>
  <si>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</si>
  <si>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</si>
  <si>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</si>
  <si>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</si>
  <si>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</si>
  <si>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</si>
  <si>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</si>
  <si>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</si>
  <si>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</si>
  <si>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</si>
  <si>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</si>
  <si>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</si>
  <si>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</si>
  <si>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</si>
  <si>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</si>
  <si>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</si>
  <si>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</si>
  <si>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</si>
  <si>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</si>
  <si>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</si>
  <si>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</si>
  <si>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</si>
  <si>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</si>
  <si>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</si>
  <si>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</si>
  <si>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</si>
  <si>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</si>
  <si>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</si>
  <si>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</si>
  <si>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</si>
  <si>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</si>
  <si>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</si>
  <si>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</si>
  <si>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</si>
  <si>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</si>
  <si>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</si>
  <si>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</si>
  <si>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</si>
  <si>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</si>
  <si>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</si>
  <si>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</si>
  <si>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</si>
  <si>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</si>
  <si>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</si>
  <si>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</si>
  <si>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</si>
  <si>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</si>
  <si>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</si>
  <si>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</si>
  <si>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</si>
  <si>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</si>
  <si>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</si>
  <si>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</si>
  <si>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</si>
  <si>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</si>
  <si>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</si>
  <si>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</si>
  <si>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</si>
  <si>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</si>
  <si>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</si>
  <si>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</si>
  <si>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</si>
  <si>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</si>
  <si>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</si>
  <si>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</si>
  <si>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</si>
  <si>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</si>
  <si>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</si>
  <si>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</si>
  <si>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</si>
  <si>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</si>
  <si>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</si>
  <si>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</si>
  <si>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</si>
  <si>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</si>
  <si>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</si>
  <si>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</si>
  <si>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</si>
  <si>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</si>
  <si>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</si>
  <si>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</si>
  <si>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</si>
  <si>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</si>
  <si>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</si>
  <si>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</si>
  <si>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</si>
  <si>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</si>
  <si>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</si>
  <si>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</si>
  <si>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</si>
  <si>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</si>
  <si>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</si>
  <si>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</si>
  <si>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</si>
  <si>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</si>
  <si>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</si>
  <si>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</si>
  <si>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</si>
  <si>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</si>
  <si>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</si>
  <si>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</si>
  <si>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</si>
  <si>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</si>
  <si>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</si>
  <si>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</si>
  <si>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</si>
  <si>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</si>
  <si>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</si>
  <si>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</si>
  <si>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</si>
  <si>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</si>
  <si>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</si>
  <si>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</si>
  <si>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</si>
  <si>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</si>
  <si>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</si>
  <si>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</si>
  <si>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</si>
  <si>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</si>
  <si>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</si>
  <si>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</si>
  <si>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</si>
  <si>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</si>
  <si>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</si>
  <si>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</si>
  <si>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</si>
  <si>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</si>
  <si>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</si>
  <si>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</si>
  <si>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</si>
  <si>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</si>
  <si>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</si>
  <si>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</si>
  <si>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</si>
  <si>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</si>
  <si>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</si>
  <si>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</si>
  <si>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</si>
  <si>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</si>
  <si>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</si>
  <si>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</si>
  <si>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</si>
  <si>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</si>
  <si>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</si>
  <si>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</si>
  <si>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</si>
  <si>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</si>
  <si>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</si>
  <si>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</si>
  <si>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</si>
  <si>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</si>
  <si>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</si>
  <si>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</si>
  <si>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</si>
  <si>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</si>
  <si>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</si>
  <si>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</si>
  <si>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</si>
  <si>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</si>
  <si>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</si>
  <si>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</si>
  <si>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</si>
  <si>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</si>
  <si>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</si>
  <si>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</si>
  <si>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</si>
  <si>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</si>
  <si>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</si>
  <si>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</si>
  <si>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</si>
  <si>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</si>
  <si>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</si>
  <si>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</si>
  <si>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</si>
  <si>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</si>
  <si>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</si>
  <si>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</si>
  <si>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</si>
  <si>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</si>
  <si>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</si>
  <si>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</si>
  <si>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</si>
  <si>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</si>
  <si>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</si>
  <si>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</si>
  <si>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</si>
  <si>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</si>
  <si>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</si>
  <si>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</si>
  <si>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</si>
  <si>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</si>
  <si>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</si>
  <si>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</si>
  <si>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</si>
  <si>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</si>
  <si>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</si>
  <si>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</si>
  <si>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</si>
  <si>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</si>
  <si>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</si>
  <si>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</si>
  <si>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</si>
  <si>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</si>
  <si>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</si>
  <si>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</si>
  <si>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</si>
  <si>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</si>
  <si>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</si>
  <si>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</si>
  <si>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</si>
  <si>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</si>
  <si>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</si>
  <si>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1号楼</t>
    <phoneticPr fontId="143" type="noConversion"/>
  </si>
  <si>
    <t>地上办公</t>
    <phoneticPr fontId="143" type="noConversion"/>
  </si>
  <si>
    <t>地上1层商业</t>
    <phoneticPr fontId="143" type="noConversion"/>
  </si>
  <si>
    <t>分摊土地面积</t>
    <phoneticPr fontId="143" type="noConversion"/>
  </si>
  <si>
    <t>2号楼</t>
    <phoneticPr fontId="143" type="noConversion"/>
  </si>
  <si>
    <t>3号楼</t>
    <phoneticPr fontId="143" type="noConversion"/>
  </si>
  <si>
    <t>4号楼</t>
  </si>
  <si>
    <t>5号楼</t>
  </si>
  <si>
    <t>6号楼</t>
  </si>
  <si>
    <t>7号楼</t>
  </si>
  <si>
    <t>8号楼</t>
  </si>
  <si>
    <t>不动产权证书</t>
    <phoneticPr fontId="143" type="noConversion"/>
  </si>
  <si>
    <t>京（2018）大不动产权第0019379号</t>
  </si>
  <si>
    <t>京（2018）大不动产权第0019379号</t>
    <phoneticPr fontId="143" type="noConversion"/>
  </si>
  <si>
    <t>京（2018）大不动产权第0039965号</t>
    <phoneticPr fontId="143" type="noConversion"/>
  </si>
  <si>
    <t>京（2018）大不动产权第0019374号</t>
    <phoneticPr fontId="143" type="noConversion"/>
  </si>
  <si>
    <t>京（2018）大不动产权第0019373号</t>
    <phoneticPr fontId="143" type="noConversion"/>
  </si>
  <si>
    <t>京（2018）大不动产权第0019376号</t>
    <phoneticPr fontId="143" type="noConversion"/>
  </si>
  <si>
    <t>京（2018）大不动产权第0019377号</t>
  </si>
  <si>
    <t>京（2018）大不动产权第0019372号</t>
    <phoneticPr fontId="143" type="noConversion"/>
  </si>
  <si>
    <t>车位</t>
    <phoneticPr fontId="143" type="noConversion"/>
  </si>
  <si>
    <t>机械车位</t>
    <phoneticPr fontId="143" type="noConversion"/>
  </si>
  <si>
    <t>地下一层仓储</t>
    <phoneticPr fontId="143" type="noConversion"/>
  </si>
  <si>
    <t>地下二层工具间</t>
    <phoneticPr fontId="143" type="noConversion"/>
  </si>
  <si>
    <t>地下二层车位</t>
    <phoneticPr fontId="143" type="noConversion"/>
  </si>
  <si>
    <t>地下一层商业</t>
    <phoneticPr fontId="143" type="noConversion"/>
  </si>
  <si>
    <t>地上</t>
  </si>
  <si>
    <t>办公楼</t>
  </si>
  <si>
    <t>底商</t>
  </si>
  <si>
    <t>地下</t>
  </si>
  <si>
    <t>是</t>
  </si>
  <si>
    <t>仓储</t>
  </si>
  <si>
    <t>车库</t>
  </si>
  <si>
    <t>北京和兴东华投资发展有限公司</t>
    <phoneticPr fontId="6" type="noConversion"/>
  </si>
  <si>
    <r>
      <rPr>
        <sz val="12"/>
        <color theme="9" tint="-0.249977111117893"/>
        <rFont val="宋体"/>
        <family val="3"/>
        <charset val="134"/>
      </rPr>
      <t>大兴区隆盛大街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幢等办公、商业、车库、地下仓储用房</t>
    </r>
    <phoneticPr fontId="6" type="noConversion"/>
  </si>
  <si>
    <t>办公</t>
    <phoneticPr fontId="7" type="noConversion"/>
  </si>
  <si>
    <t>商业</t>
    <phoneticPr fontId="7" type="noConversion"/>
  </si>
  <si>
    <t>仓储</t>
    <phoneticPr fontId="7" type="noConversion"/>
  </si>
  <si>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</si>
  <si>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</si>
  <si>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</si>
  <si>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</si>
  <si>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</si>
  <si>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</si>
  <si>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</si>
  <si>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</si>
  <si>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</si>
  <si>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商业</t>
    <phoneticPr fontId="3" type="noConversion"/>
  </si>
  <si>
    <t>押一</t>
  </si>
  <si>
    <t>按租金收入计税</t>
  </si>
  <si>
    <t>钢混</t>
  </si>
  <si>
    <t>非生产用房</t>
  </si>
  <si>
    <t>否</t>
  </si>
  <si>
    <t>自定义</t>
  </si>
  <si>
    <t>现房</t>
  </si>
  <si>
    <t>全部缴纳</t>
  </si>
  <si>
    <t>商务金融用地（办公类）</t>
  </si>
  <si>
    <t>不临58条商业街</t>
  </si>
  <si>
    <t>通路</t>
  </si>
  <si>
    <t>通电</t>
  </si>
  <si>
    <t>通讯</t>
  </si>
  <si>
    <t>通上水</t>
  </si>
  <si>
    <t>通下水</t>
  </si>
  <si>
    <t>地价指数</t>
  </si>
  <si>
    <t>容积率修正</t>
  </si>
  <si>
    <t>一般</t>
  </si>
  <si>
    <t>较好</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</si>
  <si>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</si>
  <si>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</si>
  <si>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</si>
  <si>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</si>
  <si>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</si>
  <si>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</si>
  <si>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</si>
  <si>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</si>
  <si>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</si>
  <si>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</si>
  <si>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</si>
  <si>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</si>
  <si>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</si>
  <si>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</si>
  <si>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</si>
  <si>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</si>
  <si>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</si>
  <si>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</si>
  <si>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</si>
  <si>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</si>
  <si>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B4综合性商业金融服务业用地</t>
  </si>
  <si>
    <t>2019-08-29</t>
  </si>
  <si>
    <t>北京尚恒锦瑞商业运营管理有限公司</t>
  </si>
  <si>
    <t>3星</t>
  </si>
  <si>
    <t>北京经济技术开发区南海子郊野公园B片区B-04/*B-06/B-11地块F3其他类多功能用地</t>
  </si>
  <si>
    <t>b-04、b-06≤1.5,b-11≤2</t>
  </si>
  <si>
    <t>F3其他类多功能用地</t>
  </si>
  <si>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</si>
  <si>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</si>
  <si>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</si>
  <si>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</si>
  <si>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</si>
  <si>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</si>
  <si>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4星</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</si>
  <si>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</si>
  <si>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</si>
  <si>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</si>
  <si>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</si>
  <si>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</si>
  <si>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</si>
  <si>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</si>
  <si>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</si>
  <si>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</si>
  <si>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正常</t>
  </si>
  <si>
    <t>商办</t>
  </si>
  <si>
    <t>商办</t>
    <phoneticPr fontId="31" type="noConversion"/>
  </si>
  <si>
    <t>七通</t>
  </si>
  <si>
    <t>七通</t>
    <phoneticPr fontId="31" type="noConversion"/>
  </si>
  <si>
    <t>六通</t>
  </si>
  <si>
    <t>六通</t>
    <phoneticPr fontId="31" type="noConversion"/>
  </si>
  <si>
    <t>五通</t>
    <phoneticPr fontId="31" type="noConversion"/>
  </si>
  <si>
    <t>较好</t>
    <phoneticPr fontId="31" type="noConversion"/>
  </si>
  <si>
    <t>50</t>
    <phoneticPr fontId="31" type="noConversion"/>
  </si>
  <si>
    <t>车库—办公</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</si>
  <si>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</si>
  <si>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</si>
  <si>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</si>
  <si>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</si>
  <si>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</si>
  <si>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</si>
  <si>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</si>
  <si>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</si>
  <si>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</si>
  <si>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</si>
  <si>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</si>
  <si>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</si>
  <si>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</si>
  <si>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</si>
  <si>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</si>
  <si>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</si>
  <si>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</si>
  <si>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</si>
  <si>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</si>
  <si>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</si>
  <si>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</si>
  <si>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自持</t>
    <phoneticPr fontId="31" type="noConversion"/>
  </si>
  <si>
    <t>是</t>
    <phoneticPr fontId="31" type="noConversion"/>
  </si>
  <si>
    <t>否</t>
    <phoneticPr fontId="31" type="noConversion"/>
  </si>
  <si>
    <t>是</t>
    <phoneticPr fontId="31" type="noConversion"/>
  </si>
  <si>
    <t>多面临街</t>
  </si>
  <si>
    <t>单面临街</t>
  </si>
  <si>
    <t>双面临街</t>
  </si>
  <si>
    <t>好</t>
  </si>
  <si>
    <t>与级别开发程度不一致</t>
  </si>
  <si>
    <t>通热</t>
  </si>
  <si>
    <t>燃气</t>
  </si>
  <si>
    <t>已包含在土地取得成本中</t>
  </si>
  <si>
    <t>车位</t>
    <phoneticPr fontId="3" type="noConversion"/>
  </si>
  <si>
    <t>普通车位</t>
    <phoneticPr fontId="3" type="noConversion"/>
  </si>
  <si>
    <t>机械车位</t>
    <phoneticPr fontId="3" type="noConversion"/>
  </si>
  <si>
    <t>商务金融用地（商业类）</t>
  </si>
  <si>
    <t>楼层修正</t>
  </si>
  <si>
    <t>基准地价修正 (2)</t>
    <phoneticPr fontId="16" type="noConversion"/>
  </si>
  <si>
    <t>机械车位</t>
  </si>
  <si>
    <t>机械车位</t>
    <phoneticPr fontId="143" type="noConversion"/>
  </si>
  <si>
    <t>普通车位</t>
  </si>
  <si>
    <t>普通车位</t>
    <phoneticPr fontId="143" type="noConversion"/>
  </si>
  <si>
    <t>普通车位</t>
    <phoneticPr fontId="7" type="noConversion"/>
  </si>
  <si>
    <t>机械车位</t>
    <phoneticPr fontId="7" type="noConversion"/>
  </si>
  <si>
    <t>收益法车库 (2)</t>
  </si>
  <si>
    <t>收益法车库 (2)</t>
    <phoneticPr fontId="16" type="noConversion"/>
  </si>
  <si>
    <r>
      <rPr>
        <sz val="10"/>
        <color indexed="8"/>
        <rFont val="宋体"/>
        <family val="3"/>
        <charset val="134"/>
      </rPr>
      <t>问企业只有机械车位有出租情况，</t>
    </r>
    <r>
      <rPr>
        <sz val="10"/>
        <color indexed="8"/>
        <rFont val="Arial"/>
        <family val="2"/>
      </rPr>
      <t>400</t>
    </r>
    <r>
      <rPr>
        <sz val="10"/>
        <color indexed="8"/>
        <rFont val="宋体"/>
        <family val="3"/>
        <charset val="134"/>
      </rPr>
      <t>一个，普通车位要贵，未出租，未定租金</t>
    </r>
    <phoneticPr fontId="3" type="noConversion"/>
  </si>
  <si>
    <t>售价</t>
  </si>
  <si>
    <t>办公</t>
    <phoneticPr fontId="32" type="noConversion"/>
  </si>
  <si>
    <t>比较法-办公</t>
  </si>
  <si>
    <t>典型户型修正</t>
  </si>
  <si>
    <t>典型户型修正</t>
    <phoneticPr fontId="16" type="noConversion"/>
  </si>
  <si>
    <t>*</t>
  </si>
  <si>
    <t>精装</t>
    <phoneticPr fontId="31" type="noConversion"/>
  </si>
  <si>
    <t>普装</t>
    <phoneticPr fontId="31" type="noConversion"/>
  </si>
  <si>
    <t>简装</t>
    <phoneticPr fontId="31" type="noConversion"/>
  </si>
  <si>
    <t>毛坯</t>
  </si>
  <si>
    <t>毛坯</t>
    <phoneticPr fontId="31" type="noConversion"/>
  </si>
  <si>
    <t>甲</t>
    <phoneticPr fontId="32" type="noConversion"/>
  </si>
  <si>
    <t>乙</t>
    <phoneticPr fontId="32" type="noConversion"/>
  </si>
  <si>
    <t>精装</t>
  </si>
  <si>
    <t>天骥智谷</t>
    <phoneticPr fontId="3" type="noConversion"/>
  </si>
  <si>
    <t>40-50（含）</t>
  </si>
  <si>
    <t>联邦国际商务中心</t>
    <phoneticPr fontId="3" type="noConversion"/>
  </si>
  <si>
    <t>嘉捷科技园</t>
    <phoneticPr fontId="3" type="noConversion"/>
  </si>
  <si>
    <t>30-40（含）</t>
  </si>
  <si>
    <t>七通</t>
    <phoneticPr fontId="32" type="noConversion"/>
  </si>
  <si>
    <t>六通</t>
    <phoneticPr fontId="32" type="noConversion"/>
  </si>
  <si>
    <t>五通</t>
    <phoneticPr fontId="32" type="noConversion"/>
  </si>
  <si>
    <t>简装</t>
  </si>
  <si>
    <t>普装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</si>
</sst>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0" xfId="0" applyAlignment="1">
      <alignment horizontal="left" vertical="center"/>
    </xf>
    <xf numFmtId="0" fontId="99" fillId="0" borderId="0" xfId="0" applyFont="1" applyAlignment="1">
      <alignment horizontal="left" vertical="center"/>
    </xf>
    <xf numFmtId="0" fontId="190" fillId="7" borderId="54" xfId="0" applyFont="1" applyFill="1" applyBorder="1" applyAlignment="1" applyProtection="1">
      <alignment vertical="center" wrapText="1"/>
      <protection locked="0"/>
    </xf>
    <xf numFmtId="0" fontId="0" fillId="0" borderId="0" xfId="0" applyFill="1" applyAlignment="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105" fillId="17" borderId="1" xfId="0" applyFont="1" applyFill="1" applyBorder="1" applyAlignment="1" applyProtection="1">
      <alignment horizontal="center" vertical="center" wrapText="1"/>
      <protection locked="0"/>
    </xf>
    <xf numFmtId="0" fontId="56" fillId="0" borderId="0" xfId="17"/>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5" borderId="0" xfId="0" applyFill="1" applyAlignment="1"/>
    <xf numFmtId="0" fontId="0" fillId="8" borderId="0" xfId="0" applyFill="1" applyAlignment="1"/>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5" borderId="32" xfId="0" applyFont="1" applyFill="1" applyBorder="1" applyAlignment="1" applyProtection="1">
      <alignment horizontal="right"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0" fillId="5" borderId="0" xfId="0" applyFill="1" applyAlignment="1">
      <alignment horizontal="left" vertical="center"/>
    </xf>
    <xf numFmtId="181" fontId="47" fillId="18" borderId="1"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9"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11</xdr:col>
      <xdr:colOff>137551</xdr:colOff>
      <xdr:row>34</xdr:row>
      <xdr:rowOff>175560</xdr:rowOff>
    </xdr:to>
    <xdr:pic>
      <xdr:nvPicPr>
        <xdr:cNvPr id="2" name="图片 1"/>
        <xdr:cNvPicPr>
          <a:picLocks noChangeAspect="1"/>
        </xdr:cNvPicPr>
      </xdr:nvPicPr>
      <xdr:blipFill>
        <a:blip xmlns:r="http://schemas.openxmlformats.org/officeDocument/2006/relationships" r:embed="rId1"/>
        <a:stretch>
          <a:fillRect/>
        </a:stretch>
      </xdr:blipFill>
      <xdr:spPr>
        <a:xfrm>
          <a:off x="3268980" y="2926080"/>
          <a:ext cx="4511431" cy="346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373380</xdr:colOff>
      <xdr:row>117</xdr:row>
      <xdr:rowOff>0</xdr:rowOff>
    </xdr:from>
    <xdr:to>
      <xdr:col>7</xdr:col>
      <xdr:colOff>213716</xdr:colOff>
      <xdr:row>131</xdr:row>
      <xdr:rowOff>114532</xdr:rowOff>
    </xdr:to>
    <xdr:pic>
      <xdr:nvPicPr>
        <xdr:cNvPr id="15" name="图片 14"/>
        <xdr:cNvPicPr>
          <a:picLocks noChangeAspect="1"/>
        </xdr:cNvPicPr>
      </xdr:nvPicPr>
      <xdr:blipFill>
        <a:blip xmlns:r="http://schemas.openxmlformats.org/officeDocument/2006/relationships" r:embed="rId1"/>
        <a:stretch>
          <a:fillRect/>
        </a:stretch>
      </xdr:blipFill>
      <xdr:spPr>
        <a:xfrm>
          <a:off x="373380" y="21396960"/>
          <a:ext cx="4107536" cy="2674852"/>
        </a:xfrm>
        <a:prstGeom prst="rect">
          <a:avLst/>
        </a:prstGeom>
      </xdr:spPr>
    </xdr:pic>
    <xdr:clientData/>
  </xdr:twoCellAnchor>
  <xdr:twoCellAnchor editAs="oneCell">
    <xdr:from>
      <xdr:col>7</xdr:col>
      <xdr:colOff>426720</xdr:colOff>
      <xdr:row>116</xdr:row>
      <xdr:rowOff>106680</xdr:rowOff>
    </xdr:from>
    <xdr:to>
      <xdr:col>14</xdr:col>
      <xdr:colOff>198470</xdr:colOff>
      <xdr:row>133</xdr:row>
      <xdr:rowOff>61225</xdr:rowOff>
    </xdr:to>
    <xdr:pic>
      <xdr:nvPicPr>
        <xdr:cNvPr id="16" name="图片 15"/>
        <xdr:cNvPicPr>
          <a:picLocks noChangeAspect="1"/>
        </xdr:cNvPicPr>
      </xdr:nvPicPr>
      <xdr:blipFill>
        <a:blip xmlns:r="http://schemas.openxmlformats.org/officeDocument/2006/relationships" r:embed="rId2"/>
        <a:stretch>
          <a:fillRect/>
        </a:stretch>
      </xdr:blipFill>
      <xdr:spPr>
        <a:xfrm>
          <a:off x="4693920" y="21320760"/>
          <a:ext cx="4038950" cy="3063505"/>
        </a:xfrm>
        <a:prstGeom prst="rect">
          <a:avLst/>
        </a:prstGeom>
      </xdr:spPr>
    </xdr:pic>
    <xdr:clientData/>
  </xdr:twoCellAnchor>
  <xdr:twoCellAnchor editAs="oneCell">
    <xdr:from>
      <xdr:col>0</xdr:col>
      <xdr:colOff>320040</xdr:colOff>
      <xdr:row>134</xdr:row>
      <xdr:rowOff>160020</xdr:rowOff>
    </xdr:from>
    <xdr:to>
      <xdr:col>7</xdr:col>
      <xdr:colOff>289927</xdr:colOff>
      <xdr:row>149</xdr:row>
      <xdr:rowOff>99292</xdr:rowOff>
    </xdr:to>
    <xdr:pic>
      <xdr:nvPicPr>
        <xdr:cNvPr id="17" name="图片 16"/>
        <xdr:cNvPicPr>
          <a:picLocks noChangeAspect="1"/>
        </xdr:cNvPicPr>
      </xdr:nvPicPr>
      <xdr:blipFill>
        <a:blip xmlns:r="http://schemas.openxmlformats.org/officeDocument/2006/relationships" r:embed="rId3"/>
        <a:stretch>
          <a:fillRect/>
        </a:stretch>
      </xdr:blipFill>
      <xdr:spPr>
        <a:xfrm>
          <a:off x="320040" y="24665940"/>
          <a:ext cx="4237087" cy="2682472"/>
        </a:xfrm>
        <a:prstGeom prst="rect">
          <a:avLst/>
        </a:prstGeom>
      </xdr:spPr>
    </xdr:pic>
    <xdr:clientData/>
  </xdr:twoCellAnchor>
  <xdr:twoCellAnchor editAs="oneCell">
    <xdr:from>
      <xdr:col>8</xdr:col>
      <xdr:colOff>0</xdr:colOff>
      <xdr:row>135</xdr:row>
      <xdr:rowOff>0</xdr:rowOff>
    </xdr:from>
    <xdr:to>
      <xdr:col>14</xdr:col>
      <xdr:colOff>373729</xdr:colOff>
      <xdr:row>151</xdr:row>
      <xdr:rowOff>152667</xdr:rowOff>
    </xdr:to>
    <xdr:pic>
      <xdr:nvPicPr>
        <xdr:cNvPr id="18" name="图片 17"/>
        <xdr:cNvPicPr>
          <a:picLocks noChangeAspect="1"/>
        </xdr:cNvPicPr>
      </xdr:nvPicPr>
      <xdr:blipFill>
        <a:blip xmlns:r="http://schemas.openxmlformats.org/officeDocument/2006/relationships" r:embed="rId4"/>
        <a:stretch>
          <a:fillRect/>
        </a:stretch>
      </xdr:blipFill>
      <xdr:spPr>
        <a:xfrm>
          <a:off x="4876800" y="24688800"/>
          <a:ext cx="4031329" cy="3078747"/>
        </a:xfrm>
        <a:prstGeom prst="rect">
          <a:avLst/>
        </a:prstGeom>
      </xdr:spPr>
    </xdr:pic>
    <xdr:clientData/>
  </xdr:twoCellAnchor>
  <xdr:twoCellAnchor editAs="oneCell">
    <xdr:from>
      <xdr:col>8</xdr:col>
      <xdr:colOff>152400</xdr:colOff>
      <xdr:row>153</xdr:row>
      <xdr:rowOff>129540</xdr:rowOff>
    </xdr:from>
    <xdr:to>
      <xdr:col>14</xdr:col>
      <xdr:colOff>518509</xdr:colOff>
      <xdr:row>170</xdr:row>
      <xdr:rowOff>106947</xdr:rowOff>
    </xdr:to>
    <xdr:pic>
      <xdr:nvPicPr>
        <xdr:cNvPr id="19" name="图片 18"/>
        <xdr:cNvPicPr>
          <a:picLocks noChangeAspect="1"/>
        </xdr:cNvPicPr>
      </xdr:nvPicPr>
      <xdr:blipFill>
        <a:blip xmlns:r="http://schemas.openxmlformats.org/officeDocument/2006/relationships" r:embed="rId5"/>
        <a:stretch>
          <a:fillRect/>
        </a:stretch>
      </xdr:blipFill>
      <xdr:spPr>
        <a:xfrm>
          <a:off x="5029200" y="28110180"/>
          <a:ext cx="4023709" cy="3086367"/>
        </a:xfrm>
        <a:prstGeom prst="rect">
          <a:avLst/>
        </a:prstGeom>
      </xdr:spPr>
    </xdr:pic>
    <xdr:clientData/>
  </xdr:twoCellAnchor>
  <xdr:twoCellAnchor editAs="oneCell">
    <xdr:from>
      <xdr:col>0</xdr:col>
      <xdr:colOff>487680</xdr:colOff>
      <xdr:row>155</xdr:row>
      <xdr:rowOff>175260</xdr:rowOff>
    </xdr:from>
    <xdr:to>
      <xdr:col>7</xdr:col>
      <xdr:colOff>366119</xdr:colOff>
      <xdr:row>166</xdr:row>
      <xdr:rowOff>15400</xdr:rowOff>
    </xdr:to>
    <xdr:pic>
      <xdr:nvPicPr>
        <xdr:cNvPr id="20" name="图片 19"/>
        <xdr:cNvPicPr>
          <a:picLocks noChangeAspect="1"/>
        </xdr:cNvPicPr>
      </xdr:nvPicPr>
      <xdr:blipFill>
        <a:blip xmlns:r="http://schemas.openxmlformats.org/officeDocument/2006/relationships" r:embed="rId6"/>
        <a:stretch>
          <a:fillRect/>
        </a:stretch>
      </xdr:blipFill>
      <xdr:spPr>
        <a:xfrm>
          <a:off x="487680" y="28521660"/>
          <a:ext cx="4145639" cy="1851820"/>
        </a:xfrm>
        <a:prstGeom prst="rect">
          <a:avLst/>
        </a:prstGeom>
      </xdr:spPr>
    </xdr:pic>
    <xdr:clientData/>
  </xdr:twoCellAnchor>
  <xdr:twoCellAnchor editAs="oneCell">
    <xdr:from>
      <xdr:col>0</xdr:col>
      <xdr:colOff>220980</xdr:colOff>
      <xdr:row>1</xdr:row>
      <xdr:rowOff>53340</xdr:rowOff>
    </xdr:from>
    <xdr:to>
      <xdr:col>7</xdr:col>
      <xdr:colOff>152764</xdr:colOff>
      <xdr:row>11</xdr:row>
      <xdr:rowOff>175429</xdr:rowOff>
    </xdr:to>
    <xdr:pic>
      <xdr:nvPicPr>
        <xdr:cNvPr id="21" name="图片 20"/>
        <xdr:cNvPicPr>
          <a:picLocks noChangeAspect="1"/>
        </xdr:cNvPicPr>
      </xdr:nvPicPr>
      <xdr:blipFill>
        <a:blip xmlns:r="http://schemas.openxmlformats.org/officeDocument/2006/relationships" r:embed="rId7"/>
        <a:stretch>
          <a:fillRect/>
        </a:stretch>
      </xdr:blipFill>
      <xdr:spPr>
        <a:xfrm>
          <a:off x="220980" y="236220"/>
          <a:ext cx="4198984" cy="1950889"/>
        </a:xfrm>
        <a:prstGeom prst="rect">
          <a:avLst/>
        </a:prstGeom>
      </xdr:spPr>
    </xdr:pic>
    <xdr:clientData/>
  </xdr:twoCellAnchor>
  <xdr:twoCellAnchor editAs="oneCell">
    <xdr:from>
      <xdr:col>7</xdr:col>
      <xdr:colOff>518160</xdr:colOff>
      <xdr:row>0</xdr:row>
      <xdr:rowOff>30480</xdr:rowOff>
    </xdr:from>
    <xdr:to>
      <xdr:col>14</xdr:col>
      <xdr:colOff>404220</xdr:colOff>
      <xdr:row>17</xdr:row>
      <xdr:rowOff>38370</xdr:rowOff>
    </xdr:to>
    <xdr:pic>
      <xdr:nvPicPr>
        <xdr:cNvPr id="22" name="图片 21"/>
        <xdr:cNvPicPr>
          <a:picLocks noChangeAspect="1"/>
        </xdr:cNvPicPr>
      </xdr:nvPicPr>
      <xdr:blipFill>
        <a:blip xmlns:r="http://schemas.openxmlformats.org/officeDocument/2006/relationships" r:embed="rId8"/>
        <a:stretch>
          <a:fillRect/>
        </a:stretch>
      </xdr:blipFill>
      <xdr:spPr>
        <a:xfrm>
          <a:off x="4785360" y="30480"/>
          <a:ext cx="4153260" cy="3116850"/>
        </a:xfrm>
        <a:prstGeom prst="rect">
          <a:avLst/>
        </a:prstGeom>
      </xdr:spPr>
    </xdr:pic>
    <xdr:clientData/>
  </xdr:twoCellAnchor>
  <xdr:twoCellAnchor editAs="oneCell">
    <xdr:from>
      <xdr:col>9</xdr:col>
      <xdr:colOff>266700</xdr:colOff>
      <xdr:row>17</xdr:row>
      <xdr:rowOff>114300</xdr:rowOff>
    </xdr:from>
    <xdr:to>
      <xdr:col>16</xdr:col>
      <xdr:colOff>137519</xdr:colOff>
      <xdr:row>34</xdr:row>
      <xdr:rowOff>152673</xdr:rowOff>
    </xdr:to>
    <xdr:pic>
      <xdr:nvPicPr>
        <xdr:cNvPr id="23" name="图片 22"/>
        <xdr:cNvPicPr>
          <a:picLocks noChangeAspect="1"/>
        </xdr:cNvPicPr>
      </xdr:nvPicPr>
      <xdr:blipFill>
        <a:blip xmlns:r="http://schemas.openxmlformats.org/officeDocument/2006/relationships" r:embed="rId9"/>
        <a:stretch>
          <a:fillRect/>
        </a:stretch>
      </xdr:blipFill>
      <xdr:spPr>
        <a:xfrm>
          <a:off x="5753100" y="3223260"/>
          <a:ext cx="4138019" cy="3147333"/>
        </a:xfrm>
        <a:prstGeom prst="rect">
          <a:avLst/>
        </a:prstGeom>
      </xdr:spPr>
    </xdr:pic>
    <xdr:clientData/>
  </xdr:twoCellAnchor>
  <xdr:twoCellAnchor editAs="oneCell">
    <xdr:from>
      <xdr:col>0</xdr:col>
      <xdr:colOff>99060</xdr:colOff>
      <xdr:row>19</xdr:row>
      <xdr:rowOff>0</xdr:rowOff>
    </xdr:from>
    <xdr:to>
      <xdr:col>9</xdr:col>
      <xdr:colOff>130018</xdr:colOff>
      <xdr:row>33</xdr:row>
      <xdr:rowOff>91670</xdr:rowOff>
    </xdr:to>
    <xdr:pic>
      <xdr:nvPicPr>
        <xdr:cNvPr id="24" name="图片 23"/>
        <xdr:cNvPicPr>
          <a:picLocks noChangeAspect="1"/>
        </xdr:cNvPicPr>
      </xdr:nvPicPr>
      <xdr:blipFill>
        <a:blip xmlns:r="http://schemas.openxmlformats.org/officeDocument/2006/relationships" r:embed="rId10"/>
        <a:stretch>
          <a:fillRect/>
        </a:stretch>
      </xdr:blipFill>
      <xdr:spPr>
        <a:xfrm>
          <a:off x="99060" y="3474720"/>
          <a:ext cx="5517358" cy="2651990"/>
        </a:xfrm>
        <a:prstGeom prst="rect">
          <a:avLst/>
        </a:prstGeom>
      </xdr:spPr>
    </xdr:pic>
    <xdr:clientData/>
  </xdr:twoCellAnchor>
  <xdr:twoCellAnchor editAs="oneCell">
    <xdr:from>
      <xdr:col>0</xdr:col>
      <xdr:colOff>60960</xdr:colOff>
      <xdr:row>38</xdr:row>
      <xdr:rowOff>175260</xdr:rowOff>
    </xdr:from>
    <xdr:to>
      <xdr:col>12</xdr:col>
      <xdr:colOff>145421</xdr:colOff>
      <xdr:row>47</xdr:row>
      <xdr:rowOff>152541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60960" y="7124700"/>
          <a:ext cx="7399661" cy="1623201"/>
        </a:xfrm>
        <a:prstGeom prst="rect">
          <a:avLst/>
        </a:prstGeom>
      </xdr:spPr>
    </xdr:pic>
    <xdr:clientData/>
  </xdr:twoCellAnchor>
  <xdr:twoCellAnchor editAs="oneCell">
    <xdr:from>
      <xdr:col>12</xdr:col>
      <xdr:colOff>243840</xdr:colOff>
      <xdr:row>35</xdr:row>
      <xdr:rowOff>160020</xdr:rowOff>
    </xdr:from>
    <xdr:to>
      <xdr:col>23</xdr:col>
      <xdr:colOff>560</xdr:colOff>
      <xdr:row>57</xdr:row>
      <xdr:rowOff>137507</xdr:rowOff>
    </xdr:to>
    <xdr:pic>
      <xdr:nvPicPr>
        <xdr:cNvPr id="26" name="图片 25"/>
        <xdr:cNvPicPr>
          <a:picLocks noChangeAspect="1"/>
        </xdr:cNvPicPr>
      </xdr:nvPicPr>
      <xdr:blipFill>
        <a:blip xmlns:r="http://schemas.openxmlformats.org/officeDocument/2006/relationships" r:embed="rId12"/>
        <a:stretch>
          <a:fillRect/>
        </a:stretch>
      </xdr:blipFill>
      <xdr:spPr>
        <a:xfrm>
          <a:off x="7559040" y="6560820"/>
          <a:ext cx="6462320" cy="4000847"/>
        </a:xfrm>
        <a:prstGeom prst="rect">
          <a:avLst/>
        </a:prstGeom>
      </xdr:spPr>
    </xdr:pic>
    <xdr:clientData/>
  </xdr:twoCellAnchor>
  <xdr:twoCellAnchor editAs="oneCell">
    <xdr:from>
      <xdr:col>12</xdr:col>
      <xdr:colOff>403860</xdr:colOff>
      <xdr:row>58</xdr:row>
      <xdr:rowOff>121920</xdr:rowOff>
    </xdr:from>
    <xdr:to>
      <xdr:col>21</xdr:col>
      <xdr:colOff>175716</xdr:colOff>
      <xdr:row>79</xdr:row>
      <xdr:rowOff>167977</xdr:rowOff>
    </xdr:to>
    <xdr:pic>
      <xdr:nvPicPr>
        <xdr:cNvPr id="27" name="图片 26"/>
        <xdr:cNvPicPr>
          <a:picLocks noChangeAspect="1"/>
        </xdr:cNvPicPr>
      </xdr:nvPicPr>
      <xdr:blipFill>
        <a:blip xmlns:r="http://schemas.openxmlformats.org/officeDocument/2006/relationships" r:embed="rId13"/>
        <a:stretch>
          <a:fillRect/>
        </a:stretch>
      </xdr:blipFill>
      <xdr:spPr>
        <a:xfrm>
          <a:off x="7719060" y="10728960"/>
          <a:ext cx="5258256" cy="3886537"/>
        </a:xfrm>
        <a:prstGeom prst="rect">
          <a:avLst/>
        </a:prstGeom>
      </xdr:spPr>
    </xdr:pic>
    <xdr:clientData/>
  </xdr:twoCellAnchor>
  <xdr:twoCellAnchor editAs="oneCell">
    <xdr:from>
      <xdr:col>0</xdr:col>
      <xdr:colOff>68580</xdr:colOff>
      <xdr:row>59</xdr:row>
      <xdr:rowOff>152400</xdr:rowOff>
    </xdr:from>
    <xdr:to>
      <xdr:col>12</xdr:col>
      <xdr:colOff>229248</xdr:colOff>
      <xdr:row>68</xdr:row>
      <xdr:rowOff>45853</xdr:rowOff>
    </xdr:to>
    <xdr:pic>
      <xdr:nvPicPr>
        <xdr:cNvPr id="28" name="图片 27"/>
        <xdr:cNvPicPr>
          <a:picLocks noChangeAspect="1"/>
        </xdr:cNvPicPr>
      </xdr:nvPicPr>
      <xdr:blipFill>
        <a:blip xmlns:r="http://schemas.openxmlformats.org/officeDocument/2006/relationships" r:embed="rId14"/>
        <a:stretch>
          <a:fillRect/>
        </a:stretch>
      </xdr:blipFill>
      <xdr:spPr>
        <a:xfrm>
          <a:off x="68580" y="10942320"/>
          <a:ext cx="7475868" cy="1539373"/>
        </a:xfrm>
        <a:prstGeom prst="rect">
          <a:avLst/>
        </a:prstGeom>
      </xdr:spPr>
    </xdr:pic>
    <xdr:clientData/>
  </xdr:twoCellAnchor>
  <xdr:twoCellAnchor editAs="oneCell">
    <xdr:from>
      <xdr:col>14</xdr:col>
      <xdr:colOff>0</xdr:colOff>
      <xdr:row>81</xdr:row>
      <xdr:rowOff>83820</xdr:rowOff>
    </xdr:from>
    <xdr:to>
      <xdr:col>26</xdr:col>
      <xdr:colOff>107323</xdr:colOff>
      <xdr:row>90</xdr:row>
      <xdr:rowOff>91583</xdr:rowOff>
    </xdr:to>
    <xdr:pic>
      <xdr:nvPicPr>
        <xdr:cNvPr id="29" name="图片 28"/>
        <xdr:cNvPicPr>
          <a:picLocks noChangeAspect="1"/>
        </xdr:cNvPicPr>
      </xdr:nvPicPr>
      <xdr:blipFill>
        <a:blip xmlns:r="http://schemas.openxmlformats.org/officeDocument/2006/relationships" r:embed="rId15"/>
        <a:stretch>
          <a:fillRect/>
        </a:stretch>
      </xdr:blipFill>
      <xdr:spPr>
        <a:xfrm>
          <a:off x="8534400" y="14897100"/>
          <a:ext cx="7422523" cy="1653683"/>
        </a:xfrm>
        <a:prstGeom prst="rect">
          <a:avLst/>
        </a:prstGeom>
      </xdr:spPr>
    </xdr:pic>
    <xdr:clientData/>
  </xdr:twoCellAnchor>
  <xdr:twoCellAnchor editAs="oneCell">
    <xdr:from>
      <xdr:col>13</xdr:col>
      <xdr:colOff>312420</xdr:colOff>
      <xdr:row>94</xdr:row>
      <xdr:rowOff>160020</xdr:rowOff>
    </xdr:from>
    <xdr:to>
      <xdr:col>21</xdr:col>
      <xdr:colOff>533842</xdr:colOff>
      <xdr:row>116</xdr:row>
      <xdr:rowOff>30817</xdr:rowOff>
    </xdr:to>
    <xdr:pic>
      <xdr:nvPicPr>
        <xdr:cNvPr id="30" name="图片 29"/>
        <xdr:cNvPicPr>
          <a:picLocks noChangeAspect="1"/>
        </xdr:cNvPicPr>
      </xdr:nvPicPr>
      <xdr:blipFill>
        <a:blip xmlns:r="http://schemas.openxmlformats.org/officeDocument/2006/relationships" r:embed="rId16"/>
        <a:stretch>
          <a:fillRect/>
        </a:stretch>
      </xdr:blipFill>
      <xdr:spPr>
        <a:xfrm>
          <a:off x="8237220" y="17350740"/>
          <a:ext cx="5098222" cy="3894157"/>
        </a:xfrm>
        <a:prstGeom prst="rect">
          <a:avLst/>
        </a:prstGeom>
      </xdr:spPr>
    </xdr:pic>
    <xdr:clientData/>
  </xdr:twoCellAnchor>
  <xdr:twoCellAnchor editAs="oneCell">
    <xdr:from>
      <xdr:col>0</xdr:col>
      <xdr:colOff>22860</xdr:colOff>
      <xdr:row>174</xdr:row>
      <xdr:rowOff>137160</xdr:rowOff>
    </xdr:from>
    <xdr:to>
      <xdr:col>12</xdr:col>
      <xdr:colOff>389286</xdr:colOff>
      <xdr:row>183</xdr:row>
      <xdr:rowOff>83958</xdr:rowOff>
    </xdr:to>
    <xdr:pic>
      <xdr:nvPicPr>
        <xdr:cNvPr id="32" name="图片 31"/>
        <xdr:cNvPicPr>
          <a:picLocks noChangeAspect="1"/>
        </xdr:cNvPicPr>
      </xdr:nvPicPr>
      <xdr:blipFill>
        <a:blip xmlns:r="http://schemas.openxmlformats.org/officeDocument/2006/relationships" r:embed="rId17"/>
        <a:stretch>
          <a:fillRect/>
        </a:stretch>
      </xdr:blipFill>
      <xdr:spPr>
        <a:xfrm>
          <a:off x="22860" y="31958280"/>
          <a:ext cx="7681626" cy="1592718"/>
        </a:xfrm>
        <a:prstGeom prst="rect">
          <a:avLst/>
        </a:prstGeom>
      </xdr:spPr>
    </xdr:pic>
    <xdr:clientData/>
  </xdr:twoCellAnchor>
  <xdr:twoCellAnchor editAs="oneCell">
    <xdr:from>
      <xdr:col>13</xdr:col>
      <xdr:colOff>60960</xdr:colOff>
      <xdr:row>172</xdr:row>
      <xdr:rowOff>83820</xdr:rowOff>
    </xdr:from>
    <xdr:to>
      <xdr:col>19</xdr:col>
      <xdr:colOff>526137</xdr:colOff>
      <xdr:row>189</xdr:row>
      <xdr:rowOff>152675</xdr:rowOff>
    </xdr:to>
    <xdr:pic>
      <xdr:nvPicPr>
        <xdr:cNvPr id="33" name="图片 32"/>
        <xdr:cNvPicPr>
          <a:picLocks noChangeAspect="1"/>
        </xdr:cNvPicPr>
      </xdr:nvPicPr>
      <xdr:blipFill>
        <a:blip xmlns:r="http://schemas.openxmlformats.org/officeDocument/2006/relationships" r:embed="rId18"/>
        <a:stretch>
          <a:fillRect/>
        </a:stretch>
      </xdr:blipFill>
      <xdr:spPr>
        <a:xfrm>
          <a:off x="7985760" y="31539180"/>
          <a:ext cx="4122777" cy="3177815"/>
        </a:xfrm>
        <a:prstGeom prst="rect">
          <a:avLst/>
        </a:prstGeom>
      </xdr:spPr>
    </xdr:pic>
    <xdr:clientData/>
  </xdr:twoCellAnchor>
  <xdr:twoCellAnchor editAs="oneCell">
    <xdr:from>
      <xdr:col>0</xdr:col>
      <xdr:colOff>30480</xdr:colOff>
      <xdr:row>69</xdr:row>
      <xdr:rowOff>114300</xdr:rowOff>
    </xdr:from>
    <xdr:to>
      <xdr:col>12</xdr:col>
      <xdr:colOff>214010</xdr:colOff>
      <xdr:row>76</xdr:row>
      <xdr:rowOff>61066</xdr:rowOff>
    </xdr:to>
    <xdr:pic>
      <xdr:nvPicPr>
        <xdr:cNvPr id="2" name="图片 1"/>
        <xdr:cNvPicPr>
          <a:picLocks noChangeAspect="1"/>
        </xdr:cNvPicPr>
      </xdr:nvPicPr>
      <xdr:blipFill>
        <a:blip xmlns:r="http://schemas.openxmlformats.org/officeDocument/2006/relationships" r:embed="rId19"/>
        <a:stretch>
          <a:fillRect/>
        </a:stretch>
      </xdr:blipFill>
      <xdr:spPr>
        <a:xfrm>
          <a:off x="30480" y="12733020"/>
          <a:ext cx="7498730" cy="1226926"/>
        </a:xfrm>
        <a:prstGeom prst="rect">
          <a:avLst/>
        </a:prstGeom>
      </xdr:spPr>
    </xdr:pic>
    <xdr:clientData/>
  </xdr:twoCellAnchor>
  <xdr:twoCellAnchor editAs="oneCell">
    <xdr:from>
      <xdr:col>0</xdr:col>
      <xdr:colOff>228600</xdr:colOff>
      <xdr:row>95</xdr:row>
      <xdr:rowOff>68580</xdr:rowOff>
    </xdr:from>
    <xdr:to>
      <xdr:col>13</xdr:col>
      <xdr:colOff>8288</xdr:colOff>
      <xdr:row>102</xdr:row>
      <xdr:rowOff>114415</xdr:rowOff>
    </xdr:to>
    <xdr:pic>
      <xdr:nvPicPr>
        <xdr:cNvPr id="34" name="图片 33"/>
        <xdr:cNvPicPr>
          <a:picLocks noChangeAspect="1"/>
        </xdr:cNvPicPr>
      </xdr:nvPicPr>
      <xdr:blipFill>
        <a:blip xmlns:r="http://schemas.openxmlformats.org/officeDocument/2006/relationships" r:embed="rId20"/>
        <a:stretch>
          <a:fillRect/>
        </a:stretch>
      </xdr:blipFill>
      <xdr:spPr>
        <a:xfrm>
          <a:off x="228600" y="17442180"/>
          <a:ext cx="7704488" cy="1325995"/>
        </a:xfrm>
        <a:prstGeom prst="rect">
          <a:avLst/>
        </a:prstGeom>
      </xdr:spPr>
    </xdr:pic>
    <xdr:clientData/>
  </xdr:twoCellAnchor>
  <xdr:twoCellAnchor editAs="oneCell">
    <xdr:from>
      <xdr:col>16</xdr:col>
      <xdr:colOff>449580</xdr:colOff>
      <xdr:row>0</xdr:row>
      <xdr:rowOff>106680</xdr:rowOff>
    </xdr:from>
    <xdr:to>
      <xdr:col>28</xdr:col>
      <xdr:colOff>290180</xdr:colOff>
      <xdr:row>30</xdr:row>
      <xdr:rowOff>152879</xdr:rowOff>
    </xdr:to>
    <xdr:pic>
      <xdr:nvPicPr>
        <xdr:cNvPr id="4" name="图片 3"/>
        <xdr:cNvPicPr>
          <a:picLocks noChangeAspect="1"/>
        </xdr:cNvPicPr>
      </xdr:nvPicPr>
      <xdr:blipFill>
        <a:blip xmlns:r="http://schemas.openxmlformats.org/officeDocument/2006/relationships" r:embed="rId21"/>
        <a:stretch>
          <a:fillRect/>
        </a:stretch>
      </xdr:blipFill>
      <xdr:spPr>
        <a:xfrm>
          <a:off x="10203180" y="106680"/>
          <a:ext cx="7155800" cy="5532599"/>
        </a:xfrm>
        <a:prstGeom prst="rect">
          <a:avLst/>
        </a:prstGeom>
      </xdr:spPr>
    </xdr:pic>
    <xdr:clientData/>
  </xdr:twoCellAnchor>
  <xdr:twoCellAnchor editAs="oneCell">
    <xdr:from>
      <xdr:col>0</xdr:col>
      <xdr:colOff>68580</xdr:colOff>
      <xdr:row>75</xdr:row>
      <xdr:rowOff>83820</xdr:rowOff>
    </xdr:from>
    <xdr:to>
      <xdr:col>15</xdr:col>
      <xdr:colOff>450405</xdr:colOff>
      <xdr:row>97</xdr:row>
      <xdr:rowOff>15583</xdr:rowOff>
    </xdr:to>
    <xdr:pic>
      <xdr:nvPicPr>
        <xdr:cNvPr id="3" name="图片 2"/>
        <xdr:cNvPicPr>
          <a:picLocks noChangeAspect="1"/>
        </xdr:cNvPicPr>
      </xdr:nvPicPr>
      <xdr:blipFill>
        <a:blip xmlns:r="http://schemas.openxmlformats.org/officeDocument/2006/relationships" r:embed="rId22"/>
        <a:stretch>
          <a:fillRect/>
        </a:stretch>
      </xdr:blipFill>
      <xdr:spPr>
        <a:xfrm>
          <a:off x="68580" y="13799820"/>
          <a:ext cx="9525825" cy="3955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1</xdr:row>
      <xdr:rowOff>114300</xdr:rowOff>
    </xdr:from>
    <xdr:to>
      <xdr:col>14</xdr:col>
      <xdr:colOff>541708</xdr:colOff>
      <xdr:row>34</xdr:row>
      <xdr:rowOff>123117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85750"/>
          <a:ext cx="9742858" cy="5666667"/>
        </a:xfrm>
        <a:prstGeom prst="rect">
          <a:avLst/>
        </a:prstGeom>
      </xdr:spPr>
    </xdr:pic>
    <xdr:clientData/>
  </xdr:twoCellAnchor>
  <xdr:twoCellAnchor editAs="oneCell">
    <xdr:from>
      <xdr:col>0</xdr:col>
      <xdr:colOff>438150</xdr:colOff>
      <xdr:row>36</xdr:row>
      <xdr:rowOff>57150</xdr:rowOff>
    </xdr:from>
    <xdr:to>
      <xdr:col>14</xdr:col>
      <xdr:colOff>484570</xdr:colOff>
      <xdr:row>47</xdr:row>
      <xdr:rowOff>104533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6229350"/>
          <a:ext cx="9647620" cy="1933333"/>
        </a:xfrm>
        <a:prstGeom prst="rect">
          <a:avLst/>
        </a:prstGeom>
      </xdr:spPr>
    </xdr:pic>
    <xdr:clientData/>
  </xdr:twoCellAnchor>
  <xdr:twoCellAnchor editAs="oneCell">
    <xdr:from>
      <xdr:col>15</xdr:col>
      <xdr:colOff>533400</xdr:colOff>
      <xdr:row>1</xdr:row>
      <xdr:rowOff>114300</xdr:rowOff>
    </xdr:from>
    <xdr:to>
      <xdr:col>29</xdr:col>
      <xdr:colOff>446486</xdr:colOff>
      <xdr:row>11</xdr:row>
      <xdr:rowOff>152181</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400" y="285750"/>
          <a:ext cx="9514286" cy="1752381"/>
        </a:xfrm>
        <a:prstGeom prst="rect">
          <a:avLst/>
        </a:prstGeom>
      </xdr:spPr>
    </xdr:pic>
    <xdr:clientData/>
  </xdr:twoCellAnchor>
  <xdr:twoCellAnchor editAs="oneCell">
    <xdr:from>
      <xdr:col>15</xdr:col>
      <xdr:colOff>542925</xdr:colOff>
      <xdr:row>14</xdr:row>
      <xdr:rowOff>133350</xdr:rowOff>
    </xdr:from>
    <xdr:to>
      <xdr:col>29</xdr:col>
      <xdr:colOff>446488</xdr:colOff>
      <xdr:row>23</xdr:row>
      <xdr:rowOff>114110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29925" y="2533650"/>
          <a:ext cx="9504763" cy="1523810"/>
        </a:xfrm>
        <a:prstGeom prst="rect">
          <a:avLst/>
        </a:prstGeom>
      </xdr:spPr>
    </xdr:pic>
    <xdr:clientData/>
  </xdr:twoCellAnchor>
  <xdr:twoCellAnchor editAs="oneCell">
    <xdr:from>
      <xdr:col>15</xdr:col>
      <xdr:colOff>523875</xdr:colOff>
      <xdr:row>25</xdr:row>
      <xdr:rowOff>76200</xdr:rowOff>
    </xdr:from>
    <xdr:to>
      <xdr:col>29</xdr:col>
      <xdr:colOff>617914</xdr:colOff>
      <xdr:row>44</xdr:row>
      <xdr:rowOff>123412</xdr:rowOff>
    </xdr:to>
    <xdr:pic>
      <xdr:nvPicPr>
        <xdr:cNvPr id="7" name="图片 6"/>
        <xdr:cNvPicPr>
          <a:picLocks noChangeAspect="1"/>
        </xdr:cNvPicPr>
      </xdr:nvPicPr>
      <xdr:blipFill>
        <a:blip xmlns:r="http://schemas.openxmlformats.org/officeDocument/2006/relationships" r:embed="rId5"/>
        <a:stretch>
          <a:fillRect/>
        </a:stretch>
      </xdr:blipFill>
      <xdr:spPr>
        <a:xfrm>
          <a:off x="10810875" y="4362450"/>
          <a:ext cx="9695239" cy="3304762"/>
        </a:xfrm>
        <a:prstGeom prst="rect">
          <a:avLst/>
        </a:prstGeom>
      </xdr:spPr>
    </xdr:pic>
    <xdr:clientData/>
  </xdr:twoCellAnchor>
  <xdr:twoCellAnchor editAs="oneCell">
    <xdr:from>
      <xdr:col>15</xdr:col>
      <xdr:colOff>514350</xdr:colOff>
      <xdr:row>58</xdr:row>
      <xdr:rowOff>57150</xdr:rowOff>
    </xdr:from>
    <xdr:to>
      <xdr:col>29</xdr:col>
      <xdr:colOff>341722</xdr:colOff>
      <xdr:row>68</xdr:row>
      <xdr:rowOff>114079</xdr:rowOff>
    </xdr:to>
    <xdr:pic>
      <xdr:nvPicPr>
        <xdr:cNvPr id="8" name="图片 7"/>
        <xdr:cNvPicPr>
          <a:picLocks noChangeAspect="1"/>
        </xdr:cNvPicPr>
      </xdr:nvPicPr>
      <xdr:blipFill>
        <a:blip xmlns:r="http://schemas.openxmlformats.org/officeDocument/2006/relationships" r:embed="rId6"/>
        <a:stretch>
          <a:fillRect/>
        </a:stretch>
      </xdr:blipFill>
      <xdr:spPr>
        <a:xfrm>
          <a:off x="10801350" y="10001250"/>
          <a:ext cx="9428572" cy="1771429"/>
        </a:xfrm>
        <a:prstGeom prst="rect">
          <a:avLst/>
        </a:prstGeom>
      </xdr:spPr>
    </xdr:pic>
    <xdr:clientData/>
  </xdr:twoCellAnchor>
  <xdr:twoCellAnchor editAs="oneCell">
    <xdr:from>
      <xdr:col>15</xdr:col>
      <xdr:colOff>504825</xdr:colOff>
      <xdr:row>47</xdr:row>
      <xdr:rowOff>57150</xdr:rowOff>
    </xdr:from>
    <xdr:to>
      <xdr:col>29</xdr:col>
      <xdr:colOff>484578</xdr:colOff>
      <xdr:row>57</xdr:row>
      <xdr:rowOff>18841</xdr:rowOff>
    </xdr:to>
    <xdr:pic>
      <xdr:nvPicPr>
        <xdr:cNvPr id="9" name="图片 8"/>
        <xdr:cNvPicPr>
          <a:picLocks noChangeAspect="1"/>
        </xdr:cNvPicPr>
      </xdr:nvPicPr>
      <xdr:blipFill>
        <a:blip xmlns:r="http://schemas.openxmlformats.org/officeDocument/2006/relationships" r:embed="rId7"/>
        <a:stretch>
          <a:fillRect/>
        </a:stretch>
      </xdr:blipFill>
      <xdr:spPr>
        <a:xfrm>
          <a:off x="10791825" y="8115300"/>
          <a:ext cx="9580953" cy="1676191"/>
        </a:xfrm>
        <a:prstGeom prst="rect">
          <a:avLst/>
        </a:prstGeom>
      </xdr:spPr>
    </xdr:pic>
    <xdr:clientData/>
  </xdr:twoCellAnchor>
  <xdr:twoCellAnchor editAs="oneCell">
    <xdr:from>
      <xdr:col>15</xdr:col>
      <xdr:colOff>514350</xdr:colOff>
      <xdr:row>70</xdr:row>
      <xdr:rowOff>0</xdr:rowOff>
    </xdr:from>
    <xdr:to>
      <xdr:col>29</xdr:col>
      <xdr:colOff>427436</xdr:colOff>
      <xdr:row>89</xdr:row>
      <xdr:rowOff>47212</xdr:rowOff>
    </xdr:to>
    <xdr:pic>
      <xdr:nvPicPr>
        <xdr:cNvPr id="10" name="图片 9"/>
        <xdr:cNvPicPr>
          <a:picLocks noChangeAspect="1"/>
        </xdr:cNvPicPr>
      </xdr:nvPicPr>
      <xdr:blipFill>
        <a:blip xmlns:r="http://schemas.openxmlformats.org/officeDocument/2006/relationships" r:embed="rId8"/>
        <a:stretch>
          <a:fillRect/>
        </a:stretch>
      </xdr:blipFill>
      <xdr:spPr>
        <a:xfrm>
          <a:off x="10801350" y="12001500"/>
          <a:ext cx="9514286" cy="3304762"/>
        </a:xfrm>
        <a:prstGeom prst="rect">
          <a:avLst/>
        </a:prstGeom>
      </xdr:spPr>
    </xdr:pic>
    <xdr:clientData/>
  </xdr:twoCellAnchor>
  <xdr:twoCellAnchor editAs="oneCell">
    <xdr:from>
      <xdr:col>0</xdr:col>
      <xdr:colOff>142875</xdr:colOff>
      <xdr:row>79</xdr:row>
      <xdr:rowOff>28575</xdr:rowOff>
    </xdr:from>
    <xdr:to>
      <xdr:col>14</xdr:col>
      <xdr:colOff>141676</xdr:colOff>
      <xdr:row>88</xdr:row>
      <xdr:rowOff>95049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142875" y="13573125"/>
          <a:ext cx="9600001" cy="1609524"/>
        </a:xfrm>
        <a:prstGeom prst="rect">
          <a:avLst/>
        </a:prstGeom>
      </xdr:spPr>
    </xdr:pic>
    <xdr:clientData/>
  </xdr:twoCellAnchor>
  <xdr:twoCellAnchor editAs="oneCell">
    <xdr:from>
      <xdr:col>0</xdr:col>
      <xdr:colOff>152400</xdr:colOff>
      <xdr:row>59</xdr:row>
      <xdr:rowOff>85725</xdr:rowOff>
    </xdr:from>
    <xdr:to>
      <xdr:col>14</xdr:col>
      <xdr:colOff>103582</xdr:colOff>
      <xdr:row>77</xdr:row>
      <xdr:rowOff>113911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52400" y="10201275"/>
          <a:ext cx="9552382" cy="3114286"/>
        </a:xfrm>
        <a:prstGeom prst="rect">
          <a:avLst/>
        </a:prstGeom>
      </xdr:spPr>
    </xdr:pic>
    <xdr:clientData/>
  </xdr:twoCellAnchor>
  <xdr:twoCellAnchor editAs="oneCell">
    <xdr:from>
      <xdr:col>2</xdr:col>
      <xdr:colOff>53340</xdr:colOff>
      <xdr:row>36</xdr:row>
      <xdr:rowOff>60960</xdr:rowOff>
    </xdr:from>
    <xdr:to>
      <xdr:col>11</xdr:col>
      <xdr:colOff>271617</xdr:colOff>
      <xdr:row>63</xdr:row>
      <xdr:rowOff>10857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1272540" y="6644640"/>
          <a:ext cx="5704677" cy="48876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38</xdr:row>
      <xdr:rowOff>38100</xdr:rowOff>
    </xdr:from>
    <xdr:to>
      <xdr:col>7</xdr:col>
      <xdr:colOff>1284655</xdr:colOff>
      <xdr:row>77</xdr:row>
      <xdr:rowOff>123025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895850"/>
          <a:ext cx="9761905" cy="6400000"/>
        </a:xfrm>
        <a:prstGeom prst="rect">
          <a:avLst/>
        </a:prstGeom>
      </xdr:spPr>
    </xdr:pic>
    <xdr:clientData/>
  </xdr:twoCellAnchor>
  <xdr:twoCellAnchor editAs="oneCell">
    <xdr:from>
      <xdr:col>7</xdr:col>
      <xdr:colOff>2381250</xdr:colOff>
      <xdr:row>46</xdr:row>
      <xdr:rowOff>76200</xdr:rowOff>
    </xdr:from>
    <xdr:to>
      <xdr:col>14</xdr:col>
      <xdr:colOff>1313643</xdr:colOff>
      <xdr:row>66</xdr:row>
      <xdr:rowOff>75795</xdr:rowOff>
    </xdr:to>
    <xdr:pic>
      <xdr:nvPicPr>
        <xdr:cNvPr id="3" name="图片 2"/>
        <xdr:cNvPicPr>
          <a:picLocks noChangeAspect="1"/>
        </xdr:cNvPicPr>
      </xdr:nvPicPr>
      <xdr:blipFill>
        <a:blip xmlns:r="http://schemas.openxmlformats.org/officeDocument/2006/relationships" r:embed="rId2"/>
        <a:stretch>
          <a:fillRect/>
        </a:stretch>
      </xdr:blipFill>
      <xdr:spPr>
        <a:xfrm>
          <a:off x="11010900" y="6229350"/>
          <a:ext cx="6457143" cy="3238095"/>
        </a:xfrm>
        <a:prstGeom prst="rect">
          <a:avLst/>
        </a:prstGeom>
      </xdr:spPr>
    </xdr:pic>
    <xdr:clientData/>
  </xdr:twoCellAnchor>
  <xdr:twoCellAnchor editAs="oneCell">
    <xdr:from>
      <xdr:col>0</xdr:col>
      <xdr:colOff>123825</xdr:colOff>
      <xdr:row>82</xdr:row>
      <xdr:rowOff>66675</xdr:rowOff>
    </xdr:from>
    <xdr:to>
      <xdr:col>7</xdr:col>
      <xdr:colOff>1341795</xdr:colOff>
      <xdr:row>123</xdr:row>
      <xdr:rowOff>65846</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2049125"/>
          <a:ext cx="9847620" cy="6638096"/>
        </a:xfrm>
        <a:prstGeom prst="rect">
          <a:avLst/>
        </a:prstGeom>
      </xdr:spPr>
    </xdr:pic>
    <xdr:clientData/>
  </xdr:twoCellAnchor>
  <xdr:twoCellAnchor editAs="oneCell">
    <xdr:from>
      <xdr:col>7</xdr:col>
      <xdr:colOff>2809875</xdr:colOff>
      <xdr:row>87</xdr:row>
      <xdr:rowOff>0</xdr:rowOff>
    </xdr:from>
    <xdr:to>
      <xdr:col>14</xdr:col>
      <xdr:colOff>894649</xdr:colOff>
      <xdr:row>108</xdr:row>
      <xdr:rowOff>18623</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9525" y="12792075"/>
          <a:ext cx="5609524" cy="3419048"/>
        </a:xfrm>
        <a:prstGeom prst="rect">
          <a:avLst/>
        </a:prstGeom>
      </xdr:spPr>
    </xdr:pic>
    <xdr:clientData/>
  </xdr:twoCellAnchor>
  <xdr:twoCellAnchor editAs="oneCell">
    <xdr:from>
      <xdr:col>0</xdr:col>
      <xdr:colOff>104775</xdr:colOff>
      <xdr:row>127</xdr:row>
      <xdr:rowOff>0</xdr:rowOff>
    </xdr:from>
    <xdr:to>
      <xdr:col>7</xdr:col>
      <xdr:colOff>1256078</xdr:colOff>
      <xdr:row>168</xdr:row>
      <xdr:rowOff>56314</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19269075"/>
          <a:ext cx="9780953" cy="6695239"/>
        </a:xfrm>
        <a:prstGeom prst="rect">
          <a:avLst/>
        </a:prstGeom>
      </xdr:spPr>
    </xdr:pic>
    <xdr:clientData/>
  </xdr:twoCellAnchor>
  <xdr:twoCellAnchor editAs="oneCell">
    <xdr:from>
      <xdr:col>7</xdr:col>
      <xdr:colOff>1323975</xdr:colOff>
      <xdr:row>133</xdr:row>
      <xdr:rowOff>19050</xdr:rowOff>
    </xdr:from>
    <xdr:to>
      <xdr:col>12</xdr:col>
      <xdr:colOff>618469</xdr:colOff>
      <xdr:row>154</xdr:row>
      <xdr:rowOff>28149</xdr:rowOff>
    </xdr:to>
    <xdr:pic>
      <xdr:nvPicPr>
        <xdr:cNvPr id="7" name="图片 6"/>
        <xdr:cNvPicPr>
          <a:picLocks noChangeAspect="1"/>
        </xdr:cNvPicPr>
      </xdr:nvPicPr>
      <xdr:blipFill>
        <a:blip xmlns:r="http://schemas.openxmlformats.org/officeDocument/2006/relationships" r:embed="rId6"/>
        <a:stretch>
          <a:fillRect/>
        </a:stretch>
      </xdr:blipFill>
      <xdr:spPr>
        <a:xfrm>
          <a:off x="9953625" y="20259675"/>
          <a:ext cx="5247619" cy="3409524"/>
        </a:xfrm>
        <a:prstGeom prst="rect">
          <a:avLst/>
        </a:prstGeom>
      </xdr:spPr>
    </xdr:pic>
    <xdr:clientData/>
  </xdr:twoCellAnchor>
  <xdr:twoCellAnchor editAs="oneCell">
    <xdr:from>
      <xdr:col>0</xdr:col>
      <xdr:colOff>419100</xdr:colOff>
      <xdr:row>173</xdr:row>
      <xdr:rowOff>28575</xdr:rowOff>
    </xdr:from>
    <xdr:to>
      <xdr:col>6</xdr:col>
      <xdr:colOff>522859</xdr:colOff>
      <xdr:row>212</xdr:row>
      <xdr:rowOff>142072</xdr:rowOff>
    </xdr:to>
    <xdr:pic>
      <xdr:nvPicPr>
        <xdr:cNvPr id="8" name="图片 7"/>
        <xdr:cNvPicPr>
          <a:picLocks noChangeAspect="1"/>
        </xdr:cNvPicPr>
      </xdr:nvPicPr>
      <xdr:blipFill>
        <a:blip xmlns:r="http://schemas.openxmlformats.org/officeDocument/2006/relationships" r:embed="rId7"/>
        <a:stretch>
          <a:fillRect/>
        </a:stretch>
      </xdr:blipFill>
      <xdr:spPr>
        <a:xfrm>
          <a:off x="419100" y="26746200"/>
          <a:ext cx="8133334" cy="6428572"/>
        </a:xfrm>
        <a:prstGeom prst="rect">
          <a:avLst/>
        </a:prstGeom>
      </xdr:spPr>
    </xdr:pic>
    <xdr:clientData/>
  </xdr:twoCellAnchor>
  <xdr:twoCellAnchor editAs="oneCell">
    <xdr:from>
      <xdr:col>7</xdr:col>
      <xdr:colOff>0</xdr:colOff>
      <xdr:row>176</xdr:row>
      <xdr:rowOff>0</xdr:rowOff>
    </xdr:from>
    <xdr:to>
      <xdr:col>10</xdr:col>
      <xdr:colOff>532792</xdr:colOff>
      <xdr:row>197</xdr:row>
      <xdr:rowOff>18623</xdr:rowOff>
    </xdr:to>
    <xdr:pic>
      <xdr:nvPicPr>
        <xdr:cNvPr id="9" name="图片 8"/>
        <xdr:cNvPicPr>
          <a:picLocks noChangeAspect="1"/>
        </xdr:cNvPicPr>
      </xdr:nvPicPr>
      <xdr:blipFill>
        <a:blip xmlns:r="http://schemas.openxmlformats.org/officeDocument/2006/relationships" r:embed="rId8"/>
        <a:stretch>
          <a:fillRect/>
        </a:stretch>
      </xdr:blipFill>
      <xdr:spPr>
        <a:xfrm>
          <a:off x="8629650" y="27203400"/>
          <a:ext cx="4866667" cy="3419048"/>
        </a:xfrm>
        <a:prstGeom prst="rect">
          <a:avLst/>
        </a:prstGeom>
      </xdr:spPr>
    </xdr:pic>
    <xdr:clientData/>
  </xdr:twoCellAnchor>
  <xdr:twoCellAnchor editAs="oneCell">
    <xdr:from>
      <xdr:col>0</xdr:col>
      <xdr:colOff>390525</xdr:colOff>
      <xdr:row>15</xdr:row>
      <xdr:rowOff>133350</xdr:rowOff>
    </xdr:from>
    <xdr:to>
      <xdr:col>4</xdr:col>
      <xdr:colOff>332594</xdr:colOff>
      <xdr:row>45</xdr:row>
      <xdr:rowOff>94648</xdr:rowOff>
    </xdr:to>
    <xdr:pic>
      <xdr:nvPicPr>
        <xdr:cNvPr id="10" name="图片 9"/>
        <xdr:cNvPicPr>
          <a:picLocks noChangeAspect="1"/>
        </xdr:cNvPicPr>
      </xdr:nvPicPr>
      <xdr:blipFill>
        <a:blip xmlns:r="http://schemas.openxmlformats.org/officeDocument/2006/relationships" r:embed="rId9"/>
        <a:stretch>
          <a:fillRect/>
        </a:stretch>
      </xdr:blipFill>
      <xdr:spPr>
        <a:xfrm>
          <a:off x="390525" y="2705100"/>
          <a:ext cx="6247619"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1644;&#20852;&#19996;&#21326;&#24222;&#21508;&#24196;&#38534;&#30427;&#22823;&#34903;6&#21495;&#38498;&#25913;&#2749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44;&#20852;&#19996;&#21326;&#24222;&#21508;&#24196;&#38534;&#30427;&#22823;&#34903;6&#21495;&#38498;&#20179;&#20648;&#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办公"/>
      <sheetName val="案例"/>
      <sheetName val="比较法-办公"/>
      <sheetName val="Sheet4"/>
      <sheetName val="结果表商业"/>
      <sheetName val="比较法-商业"/>
      <sheetName val="典型户型修正"/>
      <sheetName val="收益法商业"/>
      <sheetName val="收益法仓储"/>
      <sheetName val="收益法车库"/>
      <sheetName val="收益法车库 (2)"/>
      <sheetName val="收益法（汇总）"/>
      <sheetName val="成本法"/>
      <sheetName val="基准地价修正"/>
      <sheetName val="酒店收入计算"/>
      <sheetName val="比较法-住宅"/>
      <sheetName val="比较法-工业"/>
      <sheetName val="比较法-车位"/>
      <sheetName val="比较法-仓储"/>
      <sheetName val="土地比较法-工业"/>
      <sheetName val="基准地价修正 (2)"/>
      <sheetName val="基准地价（汇总）"/>
      <sheetName val="土地比较法-住宅、综合"/>
      <sheetName val="土地案例"/>
      <sheetName val="修正"/>
      <sheetName val="容积率修正"/>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35302.620000000003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办公"/>
      <sheetName val="案例"/>
      <sheetName val="比较法-办公"/>
      <sheetName val="Sheet4"/>
      <sheetName val="结果表商业"/>
      <sheetName val="比较法-商业"/>
      <sheetName val="典型户型修正"/>
      <sheetName val="收益法商业"/>
      <sheetName val="收益法仓储"/>
      <sheetName val="收益法车库"/>
      <sheetName val="收益法车库 (2)"/>
      <sheetName val="收益法（汇总）"/>
      <sheetName val="成本法"/>
      <sheetName val="基准地价修正"/>
      <sheetName val="酒店收入计算"/>
      <sheetName val="比较法-住宅"/>
      <sheetName val="比较法-工业"/>
      <sheetName val="比较法-车位"/>
      <sheetName val="比较法-仓储"/>
      <sheetName val="土地比较法-工业"/>
      <sheetName val="基准地价修正 (2)"/>
      <sheetName val="基准地价（汇总）"/>
      <sheetName val="土地比较法-住宅、综合"/>
      <sheetName val="土地案例"/>
      <sheetName val="修正"/>
      <sheetName val="容积率修正"/>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14530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北京市大兴区隆盛大街6号院1号楼-8幢等办公、商业、车库、地下仓储用房房地产抵押价值预评估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受贵公司委托，我公司对北京市大兴区隆盛大街6号院1号楼-8幢等办公、商业、车库、地下仓储用房房地产抵押价值进行了预评估。</v>
      </c>
    </row>
    <row r="7" spans="1:2" s="1592" customFormat="1">
      <c r="A7" s="1590" t="s">
        <v>1259</v>
      </c>
      <c r="B7" s="1591" t="str">
        <f>'预评函-1'!A7</f>
        <v>估价对象为北京市大兴区隆盛大街6号院1号楼-8幢等办公、商业、车库、地下仓储用房房地产，为北京和兴东华投资发展有限公司所有。根据《国有土地使用证》[]，估价对象（分摊）出让国有建设用地使用权面积为23247.07平方米，建筑面积为85553.64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隆盛大街6号院1号楼-8幢等办公、商业、车库、地下仓储用房房地产,属北京和兴东华投资发展有限公司开发建设的，该项目尚在开发建设中。根据《国有土地使用证》[]，估价对象（分摊）出让国有建设用地使用权面积为23247.07平方米，规划建筑面积为85553.64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2020年6月30日</v>
      </c>
    </row>
    <row r="13" spans="1:2" s="1592" customFormat="1">
      <c r="A13" s="1590" t="s">
        <v>1222</v>
      </c>
      <c r="B13" s="1591"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本次评估采用的主估价方法为比较法和收益法。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84597</v>
      </c>
    </row>
    <row r="21" spans="1:2" s="1592" customFormat="1">
      <c r="A21" s="1590" t="s">
        <v>1230</v>
      </c>
      <c r="B21" s="1591">
        <f ca="1">'预评函-2'!D7</f>
        <v>17153</v>
      </c>
    </row>
    <row r="22" spans="1:2" s="1592" customFormat="1">
      <c r="A22" s="1590" t="s">
        <v>1231</v>
      </c>
      <c r="B22" s="1591" t="str">
        <f ca="1">'预评函-2'!D6</f>
        <v>捌亿肆仟伍佰玖拾柒万元整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84597</v>
      </c>
    </row>
    <row r="31" spans="1:2" s="1592" customFormat="1">
      <c r="A31" s="1590" t="s">
        <v>1269</v>
      </c>
      <c r="B31" s="1591">
        <f ca="1">'预评函-2'!D15</f>
        <v>9888</v>
      </c>
    </row>
    <row r="32" spans="1:2" s="1592" customFormat="1">
      <c r="A32" s="1590" t="s">
        <v>1236</v>
      </c>
      <c r="B32" s="1591" t="str">
        <f ca="1">'预评函-2'!D14</f>
        <v>捌亿肆仟伍佰玖拾柒万元整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北京市大兴区隆盛大街6号院1号楼-8幢等办公、商业、车库、地下仓储用房房地产</v>
      </c>
    </row>
    <row r="42" spans="1:2" s="1592" customFormat="1" ht="31.2">
      <c r="A42" s="1590" t="s">
        <v>1283</v>
      </c>
      <c r="B42" s="1591" t="str">
        <f>'预评函-3'!B2</f>
        <v>建筑面积</v>
      </c>
    </row>
    <row r="43" spans="1:2" s="1592" customFormat="1">
      <c r="A43" s="1590" t="s">
        <v>1284</v>
      </c>
      <c r="B43" s="1591">
        <f>'预评函-3'!B4</f>
        <v>85553.64</v>
      </c>
    </row>
    <row r="44" spans="1:2" s="1592" customFormat="1" ht="31.2">
      <c r="A44" s="1590" t="s">
        <v>1268</v>
      </c>
      <c r="B44" s="1591" t="str">
        <f>'预评函-3'!C2</f>
        <v>(分摊)土地面积</v>
      </c>
    </row>
    <row r="45" spans="1:2" s="1592" customFormat="1">
      <c r="A45" s="1590" t="s">
        <v>1240</v>
      </c>
      <c r="B45" s="1591">
        <f>'预评函-3'!C4</f>
        <v>23247.07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3101</v>
      </c>
      <c r="C17" s="2005"/>
    </row>
    <row r="18" spans="1:3">
      <c r="A18" s="2004" t="s">
        <v>1761</v>
      </c>
      <c r="B18" s="2007" t="s">
        <v>3103</v>
      </c>
      <c r="C18" s="2005"/>
    </row>
    <row r="19" spans="1:3">
      <c r="A19" s="2004" t="s">
        <v>1762</v>
      </c>
      <c r="B19" s="2007" t="s">
        <v>3105</v>
      </c>
      <c r="C19" s="2005"/>
    </row>
    <row r="20" spans="1:3">
      <c r="A20" s="2004" t="s">
        <v>1763</v>
      </c>
      <c r="B20" s="2007" t="s">
        <v>3107</v>
      </c>
      <c r="C20" s="2005"/>
    </row>
    <row r="21" spans="1:3">
      <c r="A21" s="2004" t="s">
        <v>1764</v>
      </c>
      <c r="B21" s="2004" t="s">
        <v>3234</v>
      </c>
      <c r="C21" s="2005"/>
    </row>
    <row r="22" spans="1:3">
      <c r="A22" s="2004" t="s">
        <v>1765</v>
      </c>
      <c r="B22" s="2004" t="s">
        <v>3220</v>
      </c>
      <c r="C22" s="2005"/>
    </row>
    <row r="23" spans="1:3">
      <c r="A23" s="2004" t="s">
        <v>1766</v>
      </c>
      <c r="B23" s="2004" t="s">
        <v>3228</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69"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2012" t="s">
        <v>860</v>
      </c>
      <c r="C54" s="2009" t="s">
        <v>1276</v>
      </c>
    </row>
    <row r="55" spans="1:4">
      <c r="A55" s="3069"/>
      <c r="B55" s="2012" t="s">
        <v>861</v>
      </c>
      <c r="C55" s="2009" t="s">
        <v>1277</v>
      </c>
    </row>
    <row r="56" spans="1:4">
      <c r="A56" s="3069"/>
      <c r="B56" s="2012" t="s">
        <v>862</v>
      </c>
      <c r="C56" s="2009" t="s">
        <v>1281</v>
      </c>
    </row>
    <row r="57" spans="1:4">
      <c r="A57" s="3069"/>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24" sqref="D24"/>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49" customWidth="1"/>
    <col min="10" max="10" width="10" style="2022" customWidth="1"/>
    <col min="11" max="11" width="10" style="2150" customWidth="1"/>
    <col min="12" max="13" width="10" style="2151" customWidth="1"/>
    <col min="14" max="14" width="10" style="2022" customWidth="1"/>
    <col min="15" max="15" width="10" style="2149" customWidth="1"/>
    <col min="16" max="17" width="10" style="2022"/>
    <col min="18" max="18" width="10" style="2022" customWidth="1"/>
    <col min="19" max="16384" width="10" style="2022"/>
  </cols>
  <sheetData>
    <row r="1" spans="1:19" ht="38.25" customHeight="1" thickBot="1">
      <c r="A1" s="2015" t="s">
        <v>1770</v>
      </c>
      <c r="B1" s="3078" t="str">
        <f>IF(B10="北京市","北京市",C10)&amp;F10&amp;IF(结果表!G1="在建","出让国有建设用地使用权及在建建筑物",IF(结果表!G1="土地","出让国有建设用地使用权",))&amp;B9&amp;"预评估"</f>
        <v>北京市大兴区隆盛大街6号院1号楼-8幢等办公、商业、车库、地下仓储用房房地产抵押价值预评估</v>
      </c>
      <c r="C1" s="3079"/>
      <c r="D1" s="3079"/>
      <c r="E1" s="3079"/>
      <c r="F1" s="3079"/>
      <c r="G1" s="3079"/>
      <c r="H1" s="3079"/>
      <c r="I1" s="3080"/>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北京市大兴区隆盛大街6号院1号楼-8幢等办公、商业、车库、地下仓储用房房地产抵押价值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北京市大兴区隆盛大街6号院1号楼-8幢等办公、商业、车库、地下仓储用房房地产</v>
      </c>
    </row>
    <row r="3" spans="1:19" ht="18" customHeight="1">
      <c r="A3" s="2025" t="s">
        <v>1772</v>
      </c>
      <c r="B3" s="2026"/>
      <c r="C3" s="2027" t="s">
        <v>1773</v>
      </c>
      <c r="D3" s="2026">
        <v>44012</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3056</v>
      </c>
      <c r="C8" s="2046"/>
      <c r="D8" s="3081" t="s">
        <v>1779</v>
      </c>
      <c r="E8" s="2047" t="s">
        <v>3057</v>
      </c>
      <c r="F8" s="2048"/>
      <c r="G8" s="2016"/>
      <c r="H8" s="2016"/>
      <c r="I8" s="2016"/>
      <c r="J8" s="2032"/>
      <c r="K8" s="2033"/>
      <c r="L8" s="2018"/>
      <c r="M8" s="2018"/>
      <c r="N8" s="2019"/>
      <c r="O8" s="2020"/>
      <c r="P8" s="2019"/>
      <c r="Q8" s="2019"/>
      <c r="R8" s="2019"/>
    </row>
    <row r="9" spans="1:19" ht="18" customHeight="1" thickBot="1">
      <c r="A9" s="2030" t="s">
        <v>1780</v>
      </c>
      <c r="B9" s="2049" t="s">
        <v>3057</v>
      </c>
      <c r="C9" s="2050"/>
      <c r="D9" s="3082"/>
      <c r="E9" s="2049"/>
      <c r="F9" s="2051"/>
      <c r="G9" s="2052"/>
      <c r="H9" s="2052"/>
      <c r="I9" s="2052"/>
      <c r="J9" s="2032"/>
      <c r="K9" s="2044"/>
      <c r="L9" s="2018"/>
      <c r="M9" s="2018"/>
      <c r="N9" s="2019"/>
      <c r="O9" s="2020"/>
      <c r="P9" s="2019"/>
      <c r="Q9" s="2019"/>
      <c r="R9" s="2019"/>
    </row>
    <row r="10" spans="1:19" ht="18" customHeight="1" thickTop="1">
      <c r="A10" s="2053" t="s">
        <v>1781</v>
      </c>
      <c r="B10" s="2054" t="s">
        <v>3058</v>
      </c>
      <c r="C10" s="2055"/>
      <c r="D10" s="2037"/>
      <c r="E10" s="2056" t="s">
        <v>1782</v>
      </c>
      <c r="F10" s="2057" t="s">
        <v>3095</v>
      </c>
      <c r="G10" s="2058"/>
      <c r="H10" s="2059"/>
      <c r="I10" s="2037"/>
      <c r="J10" s="2032"/>
      <c r="K10" s="2044"/>
      <c r="L10" s="2018"/>
      <c r="M10" s="2018"/>
      <c r="N10" s="2019"/>
      <c r="O10" s="2020"/>
      <c r="P10" s="2019"/>
      <c r="Q10" s="2019"/>
      <c r="R10" s="2019"/>
    </row>
    <row r="11" spans="1:19" ht="18" customHeight="1">
      <c r="A11" s="2060" t="s">
        <v>1783</v>
      </c>
      <c r="B11" s="2061" t="s">
        <v>3059</v>
      </c>
      <c r="C11" s="2967" t="s">
        <v>3094</v>
      </c>
      <c r="D11" s="2062"/>
      <c r="E11" s="2032"/>
      <c r="F11" s="2032"/>
      <c r="G11" s="2032"/>
      <c r="H11" s="2032"/>
      <c r="I11" s="2032"/>
      <c r="J11" s="2032"/>
      <c r="K11" s="2044"/>
      <c r="L11" s="2018"/>
      <c r="M11" s="2018"/>
      <c r="N11" s="2019"/>
      <c r="O11" s="2020"/>
      <c r="P11" s="2019"/>
      <c r="Q11" s="2019"/>
      <c r="R11" s="2019"/>
    </row>
    <row r="12" spans="1:19" ht="18" customHeight="1">
      <c r="A12" s="2063" t="s">
        <v>1784</v>
      </c>
      <c r="B12" s="2061" t="s">
        <v>3060</v>
      </c>
      <c r="C12" s="2064" t="s">
        <v>1785</v>
      </c>
      <c r="D12" s="2065" t="s">
        <v>1786</v>
      </c>
      <c r="E12" s="2065" t="s">
        <v>1787</v>
      </c>
      <c r="F12" s="2065" t="s">
        <v>1788</v>
      </c>
      <c r="G12" s="2065" t="s">
        <v>1789</v>
      </c>
      <c r="H12" s="2065" t="s">
        <v>1790</v>
      </c>
      <c r="I12" s="2065" t="s">
        <v>1791</v>
      </c>
      <c r="J12" s="2032"/>
      <c r="K12" s="2044"/>
      <c r="L12" s="2018"/>
      <c r="M12" s="2018"/>
      <c r="N12" s="2019"/>
      <c r="O12" s="2020"/>
      <c r="P12" s="2019"/>
      <c r="Q12" s="2019"/>
      <c r="R12" s="2019"/>
    </row>
    <row r="13" spans="1:19" ht="18" customHeight="1">
      <c r="A13" s="2066"/>
      <c r="B13" s="2067"/>
      <c r="C13" s="2068" t="s">
        <v>1792</v>
      </c>
      <c r="D13" s="2069"/>
      <c r="E13" s="2069">
        <v>56824</v>
      </c>
      <c r="F13" s="2069">
        <v>60477</v>
      </c>
      <c r="G13" s="2069">
        <v>60477</v>
      </c>
      <c r="H13" s="2069">
        <v>60477</v>
      </c>
      <c r="I13" s="1047"/>
      <c r="J13" s="2032"/>
      <c r="K13" s="2044"/>
      <c r="L13" s="2018"/>
      <c r="M13" s="2018"/>
      <c r="N13" s="2019"/>
      <c r="O13" s="2020"/>
      <c r="P13" s="2019"/>
      <c r="Q13" s="2019"/>
      <c r="R13" s="2019"/>
    </row>
    <row r="14" spans="1:19" ht="18" customHeight="1">
      <c r="A14" s="2066"/>
      <c r="B14" s="2067"/>
      <c r="C14" s="2068" t="s">
        <v>1793</v>
      </c>
      <c r="D14" s="1050"/>
      <c r="E14" s="1050">
        <v>40</v>
      </c>
      <c r="F14" s="1050">
        <v>50</v>
      </c>
      <c r="G14" s="1050">
        <v>50</v>
      </c>
      <c r="H14" s="1050">
        <v>50</v>
      </c>
      <c r="I14" s="1050"/>
      <c r="J14" s="2032"/>
      <c r="K14" s="2070"/>
      <c r="L14" s="2018"/>
      <c r="M14" s="2018"/>
      <c r="N14" s="2019"/>
      <c r="O14" s="2020"/>
      <c r="P14" s="2019"/>
      <c r="Q14" s="2019"/>
      <c r="R14" s="2019"/>
    </row>
    <row r="15" spans="1:19" ht="18" customHeight="1">
      <c r="A15" s="2053"/>
      <c r="B15" s="2071"/>
      <c r="C15" s="2068" t="s">
        <v>1794</v>
      </c>
      <c r="D15" s="1049" t="str">
        <f>IF(B12="出让",IF(D13="","",ROUNDDOWN(MIN((D13-$D$3)/365,D14),2)),D14)</f>
        <v/>
      </c>
      <c r="E15" s="1049">
        <f>IF(B12="出让",IF(E13="","",ROUNDDOWN(MIN((E13-$D$3)/365,E14),2)),E14)</f>
        <v>35.1</v>
      </c>
      <c r="F15" s="1049">
        <f>IF(B12="出让",IF(F13="","",ROUNDDOWN(MIN((F13-$D$3)/365,F14),2)),F14)</f>
        <v>45.1</v>
      </c>
      <c r="G15" s="1049">
        <f>IF(B12="出让",IF(G13="","",ROUNDDOWN(MIN((G13-$D$3)/365,G14),2)),G14)</f>
        <v>45.1</v>
      </c>
      <c r="H15" s="1049">
        <f>IF(B12="出让",IF(H13="","",ROUNDDOWN(MIN((H13-$D$3)/365,H14),2)),H14)</f>
        <v>45.1</v>
      </c>
      <c r="I15" s="1049" t="str">
        <f>IF(B12="出让",IF(I13="","",ROUNDDOWN(MIN((I13-$D$3)/365,I14),2)),I14)</f>
        <v/>
      </c>
      <c r="J15" s="2032"/>
      <c r="K15" s="2072"/>
      <c r="L15" s="2073"/>
      <c r="M15" s="2073"/>
      <c r="N15" s="2074"/>
      <c r="O15" s="2073"/>
      <c r="P15" s="2074"/>
      <c r="Q15" s="2019"/>
      <c r="R15" s="2019"/>
    </row>
    <row r="16" spans="1:19" ht="30.75" customHeight="1">
      <c r="A16" s="2056" t="s">
        <v>1795</v>
      </c>
      <c r="B16" s="3088"/>
      <c r="C16" s="3089"/>
      <c r="D16" s="3090"/>
      <c r="E16" s="2075" t="s">
        <v>1796</v>
      </c>
      <c r="F16" s="3091"/>
      <c r="G16" s="3092"/>
      <c r="H16" s="3092"/>
      <c r="I16" s="3093"/>
      <c r="J16" s="2019"/>
      <c r="K16" s="2072"/>
      <c r="L16" s="2073"/>
      <c r="M16" s="2073"/>
      <c r="N16" s="2074"/>
      <c r="O16" s="2073"/>
      <c r="P16" s="2074"/>
      <c r="Q16" s="2019"/>
      <c r="R16" s="2019"/>
    </row>
    <row r="17" spans="1:22" ht="18" customHeight="1">
      <c r="A17" s="2076" t="s">
        <v>1797</v>
      </c>
      <c r="B17" s="2025" t="s">
        <v>1798</v>
      </c>
      <c r="C17" s="1054">
        <f>'数据-汇总表'!E3</f>
        <v>85553.64</v>
      </c>
      <c r="D17" s="2077" t="s">
        <v>1799</v>
      </c>
      <c r="E17" s="3094" t="s">
        <v>1800</v>
      </c>
      <c r="F17" s="3095"/>
      <c r="G17" s="3095"/>
      <c r="H17" s="3095"/>
      <c r="I17" s="3096"/>
      <c r="J17" s="2019"/>
      <c r="K17" s="2078"/>
      <c r="L17" s="2073"/>
      <c r="M17" s="2073"/>
      <c r="N17" s="2074"/>
      <c r="O17" s="2073"/>
      <c r="P17" s="2074"/>
      <c r="Q17" s="2019"/>
      <c r="R17" s="2019"/>
      <c r="S17" s="2019"/>
      <c r="T17" s="2019"/>
      <c r="U17" s="2019"/>
      <c r="V17" s="2019"/>
    </row>
    <row r="18" spans="1:22" ht="36" customHeight="1" thickBot="1">
      <c r="A18" s="2079" t="s">
        <v>1801</v>
      </c>
      <c r="B18" s="2028" t="s">
        <v>1802</v>
      </c>
      <c r="C18" s="1444">
        <f>'数据-汇总表'!D3</f>
        <v>23247.07</v>
      </c>
      <c r="D18" s="2080" t="s">
        <v>1799</v>
      </c>
      <c r="E18" s="3097" t="s">
        <v>1803</v>
      </c>
      <c r="F18" s="3098"/>
      <c r="G18" s="3098"/>
      <c r="H18" s="3098"/>
      <c r="I18" s="3099"/>
      <c r="J18" s="2019"/>
      <c r="K18" s="2078"/>
      <c r="L18" s="2073"/>
      <c r="M18" s="2073"/>
      <c r="N18" s="2074"/>
      <c r="O18" s="2073"/>
      <c r="P18" s="2074"/>
      <c r="Q18" s="2019"/>
      <c r="R18" s="2019"/>
      <c r="S18" s="2019"/>
      <c r="T18" s="2019"/>
      <c r="U18" s="2019"/>
      <c r="V18" s="2019"/>
    </row>
    <row r="19" spans="1:22" ht="37.5" customHeight="1" thickTop="1" thickBot="1">
      <c r="A19" s="373" t="s">
        <v>1804</v>
      </c>
      <c r="B19" s="352" t="s">
        <v>1805</v>
      </c>
      <c r="C19" s="2081"/>
      <c r="D19" s="2082" t="s">
        <v>1806</v>
      </c>
      <c r="E19" s="2083"/>
      <c r="F19" s="2084" t="str">
        <f>IF(AND(C19="是",E19="否"),"是否提供他项权证或相关说明","")</f>
        <v/>
      </c>
      <c r="G19" s="2085"/>
      <c r="H19" s="2032"/>
      <c r="I19" s="2032"/>
      <c r="J19" s="2032"/>
      <c r="K19" s="2044"/>
      <c r="L19" s="2018"/>
      <c r="M19" s="2018"/>
      <c r="N19" s="2074"/>
      <c r="O19" s="2073"/>
      <c r="P19" s="2074"/>
      <c r="Q19" s="2019"/>
      <c r="R19" s="2019"/>
      <c r="S19" s="2019"/>
      <c r="T19" s="2019"/>
      <c r="U19" s="2019"/>
      <c r="V19" s="2019"/>
    </row>
    <row r="20" spans="1:22" ht="18" customHeight="1">
      <c r="A20" s="2086" t="s">
        <v>1807</v>
      </c>
      <c r="B20" s="3084" t="s">
        <v>1808</v>
      </c>
      <c r="C20" s="3085"/>
      <c r="D20" s="3086" t="s">
        <v>1809</v>
      </c>
      <c r="E20" s="3087"/>
      <c r="F20" s="2087" t="s">
        <v>1810</v>
      </c>
      <c r="G20" s="2032"/>
      <c r="H20" s="2032"/>
      <c r="I20" s="2032"/>
      <c r="J20" s="2032"/>
      <c r="K20" s="308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4"/>
      <c r="O20" s="2073"/>
      <c r="P20" s="2074"/>
      <c r="Q20" s="2019"/>
      <c r="R20" s="2019"/>
      <c r="S20" s="2019"/>
      <c r="T20" s="2019"/>
      <c r="U20" s="2019"/>
      <c r="V20" s="2019"/>
    </row>
    <row r="21" spans="1:22" ht="24.75" customHeight="1">
      <c r="A21" s="2086"/>
      <c r="B21" s="2088" t="s">
        <v>1812</v>
      </c>
      <c r="C21" s="2089" t="s">
        <v>1813</v>
      </c>
      <c r="D21" s="2090" t="s">
        <v>1814</v>
      </c>
      <c r="E21" s="2091" t="s">
        <v>1813</v>
      </c>
      <c r="F21" s="2092"/>
      <c r="G21" s="2032"/>
      <c r="H21" s="2032"/>
      <c r="I21" s="2032"/>
      <c r="J21" s="2032"/>
      <c r="K21" s="308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4"/>
      <c r="O21" s="2073"/>
      <c r="P21" s="2074"/>
      <c r="Q21" s="2019"/>
      <c r="R21" s="2019"/>
      <c r="S21" s="2019"/>
      <c r="T21" s="2019"/>
      <c r="U21" s="2019"/>
      <c r="V21" s="2019"/>
    </row>
    <row r="22" spans="1:22" ht="24.75" customHeight="1" thickBot="1">
      <c r="A22" s="2086"/>
      <c r="B22" s="2093" t="s">
        <v>1815</v>
      </c>
      <c r="C22" s="2089" t="s">
        <v>1816</v>
      </c>
      <c r="D22" s="2016"/>
      <c r="E22" s="2016"/>
      <c r="F22" s="2094"/>
      <c r="G22" s="2032"/>
      <c r="H22" s="2032"/>
      <c r="I22" s="2032"/>
      <c r="J22" s="2032"/>
      <c r="K22" s="308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4"/>
      <c r="O22" s="2073"/>
      <c r="P22" s="2074"/>
      <c r="Q22" s="2019"/>
      <c r="R22" s="2019"/>
      <c r="S22" s="2019"/>
      <c r="T22" s="2019"/>
      <c r="U22" s="2019"/>
      <c r="V22" s="2019"/>
    </row>
    <row r="23" spans="1:22" ht="18" customHeight="1">
      <c r="A23" s="2095" t="s">
        <v>1817</v>
      </c>
      <c r="B23" s="183" t="s">
        <v>1818</v>
      </c>
      <c r="C23" s="2096"/>
      <c r="D23" s="2097" t="s">
        <v>1818</v>
      </c>
      <c r="E23" s="2098"/>
      <c r="F23" s="2094"/>
      <c r="G23" s="2032"/>
      <c r="H23" s="2032"/>
      <c r="I23" s="2032"/>
      <c r="J23" s="2032"/>
      <c r="K23" s="2099"/>
      <c r="L23" s="748"/>
      <c r="M23" s="2018"/>
      <c r="N23" s="2074"/>
      <c r="O23" s="2073"/>
      <c r="P23" s="2074"/>
      <c r="Q23" s="2019"/>
      <c r="R23" s="2019"/>
      <c r="S23" s="2019"/>
      <c r="T23" s="2019"/>
      <c r="U23" s="2019"/>
      <c r="V23" s="2019"/>
    </row>
    <row r="24" spans="1:22" ht="18" customHeight="1">
      <c r="A24" s="2100"/>
      <c r="B24" s="183" t="s">
        <v>1819</v>
      </c>
      <c r="C24" s="2101"/>
      <c r="D24" s="2095" t="s">
        <v>1819</v>
      </c>
      <c r="E24" s="2102"/>
      <c r="F24" s="2094"/>
      <c r="G24" s="2032"/>
      <c r="H24" s="2032"/>
      <c r="I24" s="2032"/>
      <c r="J24" s="2032"/>
      <c r="K24" s="2099"/>
      <c r="L24" s="748"/>
      <c r="M24" s="2018"/>
      <c r="N24" s="2074"/>
      <c r="O24" s="2073"/>
      <c r="P24" s="2074"/>
      <c r="Q24" s="2019"/>
      <c r="R24" s="2019"/>
      <c r="S24" s="2019"/>
      <c r="T24" s="2019"/>
      <c r="U24" s="2019"/>
      <c r="V24" s="2019"/>
    </row>
    <row r="25" spans="1:22" ht="18" customHeight="1">
      <c r="A25" s="2100"/>
      <c r="B25" s="183" t="s">
        <v>1820</v>
      </c>
      <c r="C25" s="2101"/>
      <c r="D25" s="2095" t="s">
        <v>1820</v>
      </c>
      <c r="E25" s="2102"/>
      <c r="F25" s="2094"/>
      <c r="G25" s="2032"/>
      <c r="H25" s="2032"/>
      <c r="I25" s="2032"/>
      <c r="J25" s="2032"/>
      <c r="K25" s="2044"/>
      <c r="L25" s="2018"/>
      <c r="M25" s="2018"/>
      <c r="N25" s="2074"/>
      <c r="O25" s="2073"/>
      <c r="P25" s="2074"/>
      <c r="Q25" s="2019"/>
      <c r="R25" s="2019"/>
      <c r="S25" s="2019"/>
      <c r="T25" s="2019"/>
      <c r="U25" s="2019"/>
      <c r="V25" s="2019"/>
    </row>
    <row r="26" spans="1:22" ht="18" customHeight="1" thickBot="1">
      <c r="A26" s="2103"/>
      <c r="B26" s="2104" t="s">
        <v>1821</v>
      </c>
      <c r="C26" s="2105"/>
      <c r="D26" s="2106" t="s">
        <v>1822</v>
      </c>
      <c r="E26" s="2107"/>
      <c r="F26" s="2108"/>
      <c r="G26" s="2052"/>
      <c r="H26" s="2052"/>
      <c r="I26" s="2052"/>
      <c r="J26" s="2032"/>
      <c r="K26" s="2044"/>
      <c r="L26" s="2018"/>
      <c r="M26" s="2018"/>
      <c r="N26" s="2074"/>
      <c r="O26" s="2073"/>
      <c r="P26" s="2074"/>
      <c r="Q26" s="2019"/>
      <c r="R26" s="2019"/>
      <c r="S26" s="2019"/>
      <c r="T26" s="2019"/>
      <c r="U26" s="2019"/>
      <c r="V26" s="2019"/>
    </row>
    <row r="27" spans="1:22" ht="18" customHeight="1" thickTop="1">
      <c r="A27" s="3071" t="s">
        <v>1823</v>
      </c>
      <c r="B27" s="2053" t="s">
        <v>1824</v>
      </c>
      <c r="C27" s="2109"/>
      <c r="D27" s="2110"/>
      <c r="E27" s="2032"/>
      <c r="F27" s="2032"/>
      <c r="G27" s="2032"/>
      <c r="H27" s="2032"/>
      <c r="I27" s="2032"/>
      <c r="J27" s="2019"/>
      <c r="K27" s="2072"/>
      <c r="L27" s="2073"/>
      <c r="M27" s="2073"/>
      <c r="N27" s="2074"/>
      <c r="O27" s="2073"/>
      <c r="P27" s="2074"/>
      <c r="Q27" s="2019"/>
      <c r="R27" s="2019"/>
      <c r="S27" s="2019"/>
      <c r="T27" s="2019"/>
      <c r="U27" s="2019"/>
      <c r="V27" s="2019"/>
    </row>
    <row r="28" spans="1:22" ht="18" customHeight="1">
      <c r="A28" s="3071"/>
      <c r="B28" s="2025" t="s">
        <v>1825</v>
      </c>
      <c r="C28" s="2111"/>
      <c r="D28" s="2112"/>
      <c r="E28" s="2032"/>
      <c r="F28" s="2032"/>
      <c r="G28" s="2032"/>
      <c r="H28" s="2032"/>
      <c r="I28" s="2032"/>
      <c r="J28" s="2019"/>
      <c r="K28" s="2113"/>
      <c r="L28" s="2018"/>
      <c r="M28" s="2018"/>
      <c r="N28" s="2019"/>
      <c r="O28" s="2020"/>
      <c r="P28" s="2019"/>
      <c r="Q28" s="2019"/>
      <c r="R28" s="2019"/>
      <c r="S28" s="2019"/>
      <c r="T28" s="2019"/>
      <c r="U28" s="2019"/>
      <c r="V28" s="2019"/>
    </row>
    <row r="29" spans="1:22" ht="18" customHeight="1">
      <c r="A29" s="3071"/>
      <c r="B29" s="2025" t="s">
        <v>1826</v>
      </c>
      <c r="C29" s="2114"/>
      <c r="D29" s="2115"/>
      <c r="E29" s="2032"/>
      <c r="F29" s="2032"/>
      <c r="G29" s="2032"/>
      <c r="H29" s="2032"/>
      <c r="I29" s="2032"/>
      <c r="J29" s="2019"/>
      <c r="K29" s="2113"/>
      <c r="L29" s="2018"/>
      <c r="M29" s="2018"/>
      <c r="N29" s="2019"/>
      <c r="O29" s="2020"/>
      <c r="P29" s="2019"/>
      <c r="Q29" s="2019"/>
      <c r="R29" s="2019"/>
      <c r="S29" s="2019"/>
      <c r="T29" s="2019"/>
      <c r="U29" s="2019"/>
      <c r="V29" s="2019"/>
    </row>
    <row r="30" spans="1:22" ht="18" customHeight="1">
      <c r="A30" s="3072"/>
      <c r="B30" s="2025" t="s">
        <v>1827</v>
      </c>
      <c r="C30" s="3073"/>
      <c r="D30" s="3074"/>
      <c r="E30" s="2032"/>
      <c r="F30" s="2032"/>
      <c r="G30" s="2032"/>
      <c r="H30" s="2032"/>
      <c r="I30" s="2032"/>
      <c r="J30" s="2019"/>
      <c r="K30" s="2113"/>
      <c r="L30" s="2018"/>
      <c r="M30" s="2018"/>
      <c r="N30" s="2019"/>
      <c r="O30" s="2020"/>
      <c r="P30" s="2019"/>
      <c r="Q30" s="2019"/>
      <c r="R30" s="2019"/>
      <c r="S30" s="2019"/>
      <c r="T30" s="2019"/>
      <c r="U30" s="2019"/>
      <c r="V30" s="2019"/>
    </row>
    <row r="31" spans="1:22" ht="18" customHeight="1">
      <c r="A31" s="3075" t="s">
        <v>1828</v>
      </c>
      <c r="B31" s="2116"/>
      <c r="C31" s="2117" t="str">
        <f>IF(B31="现房","成新及维护状况正常否",IF(B31="在建","工程状态是否正常",IF(B31="土地","是否闲置","-")))</f>
        <v>-</v>
      </c>
      <c r="D31" s="2118"/>
      <c r="E31" s="2119"/>
      <c r="F31" s="2032"/>
      <c r="G31" s="2032"/>
      <c r="H31" s="2032"/>
      <c r="I31" s="2032"/>
      <c r="J31" s="2032"/>
      <c r="K31" s="2042"/>
      <c r="L31" s="2018"/>
      <c r="M31" s="2018"/>
      <c r="N31" s="2019"/>
      <c r="O31" s="2020"/>
      <c r="P31" s="2019"/>
      <c r="Q31" s="2019"/>
      <c r="R31" s="2019"/>
      <c r="S31" s="2019"/>
      <c r="T31" s="2019"/>
      <c r="U31" s="2019"/>
      <c r="V31" s="2019"/>
    </row>
    <row r="32" spans="1:22" ht="18" customHeight="1">
      <c r="A32" s="3076"/>
      <c r="B32" s="2116"/>
      <c r="C32" s="2117" t="str">
        <f>IF(B32="现房","成新及维护状况是否正常",IF(B32="在建","工程状态是否正常",IF(B32="土地","是否闲置","-")))</f>
        <v>-</v>
      </c>
      <c r="D32" s="2118"/>
      <c r="E32" s="2119"/>
      <c r="F32" s="2032"/>
      <c r="G32" s="2032"/>
      <c r="H32" s="2032"/>
      <c r="I32" s="2032"/>
      <c r="J32" s="2032"/>
      <c r="K32" s="2044"/>
      <c r="L32" s="2018"/>
      <c r="M32" s="2018"/>
      <c r="N32" s="2019"/>
      <c r="O32" s="2020"/>
      <c r="P32" s="2019"/>
      <c r="Q32" s="2019"/>
      <c r="R32" s="2019"/>
      <c r="S32" s="2019"/>
      <c r="T32" s="2019"/>
      <c r="U32" s="2019"/>
      <c r="V32" s="2019"/>
    </row>
    <row r="33" spans="1:22" ht="18" customHeight="1">
      <c r="A33" s="3076"/>
      <c r="B33" s="2120"/>
      <c r="C33" s="2060" t="str">
        <f>IF(B33="现房","成新及维护状况是否正常",IF(B33="在建","工程状态是否正常",IF(B33="土地","是否闲置","-")))</f>
        <v>-</v>
      </c>
      <c r="D33" s="2121"/>
      <c r="E33" s="2122"/>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3"/>
      <c r="C34" s="2123"/>
      <c r="D34" s="2123"/>
      <c r="E34" s="2123"/>
      <c r="F34" s="2123"/>
      <c r="G34" s="2123"/>
      <c r="H34" s="2123"/>
      <c r="I34" s="2032"/>
      <c r="J34" s="2032"/>
      <c r="K34" s="1786">
        <f>COUNTIF(B34:H34,"——")</f>
        <v>0</v>
      </c>
      <c r="L34" s="2064" t="s">
        <v>1830</v>
      </c>
      <c r="M34" s="2064" t="s">
        <v>1831</v>
      </c>
      <c r="N34" s="2064" t="s">
        <v>1832</v>
      </c>
      <c r="O34" s="2064" t="s">
        <v>1833</v>
      </c>
      <c r="P34" s="2064" t="s">
        <v>1834</v>
      </c>
      <c r="Q34" s="2064" t="s">
        <v>1835</v>
      </c>
      <c r="R34" s="2064" t="s">
        <v>1836</v>
      </c>
      <c r="S34" s="3070" t="s">
        <v>1837</v>
      </c>
      <c r="T34" s="2124" t="str">
        <f>NUMBERSTRING(7-K34,1)&amp;"通"</f>
        <v>七通</v>
      </c>
      <c r="U34" s="2019"/>
      <c r="V34" s="2019"/>
    </row>
    <row r="35" spans="1:22" ht="18" customHeight="1">
      <c r="A35" s="2125"/>
      <c r="B35" s="3077" t="s">
        <v>1838</v>
      </c>
      <c r="C35" s="3077"/>
      <c r="D35" s="3077"/>
      <c r="E35" s="3077"/>
      <c r="F35" s="2126">
        <f>C10</f>
        <v>0</v>
      </c>
      <c r="G35" s="2032"/>
      <c r="H35" s="2032"/>
      <c r="I35" s="2032"/>
      <c r="J35" s="2032"/>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0"/>
      <c r="T35" s="48" t="str">
        <f>IF(T34="一通",L35,IF(T34="二通",M35,IF(T34="三通",N35,IF(T34="四通",O35,IF(T34="五通",P35,IF(T34="六通",Q35,R35))))))</f>
        <v>、、、、、、</v>
      </c>
      <c r="U35" s="2019"/>
      <c r="V35" s="2019"/>
    </row>
    <row r="36" spans="1:22" ht="18" customHeight="1">
      <c r="A36" s="2127"/>
      <c r="B36" s="2126" t="s">
        <v>1839</v>
      </c>
      <c r="C36" s="2126" t="s">
        <v>1840</v>
      </c>
      <c r="D36" s="2126" t="s">
        <v>1841</v>
      </c>
      <c r="E36" s="2126" t="s">
        <v>1842</v>
      </c>
      <c r="F36" s="2128"/>
      <c r="G36" s="2032"/>
      <c r="H36" s="2032"/>
      <c r="I36" s="2032"/>
      <c r="J36" s="2032"/>
      <c r="K36" s="2044"/>
      <c r="L36" s="2018"/>
      <c r="M36" s="2018"/>
      <c r="N36" s="2019"/>
      <c r="O36" s="2020"/>
      <c r="P36" s="2019"/>
      <c r="Q36" s="2019"/>
      <c r="R36" s="2019"/>
      <c r="S36" s="2019"/>
      <c r="T36" s="2019"/>
      <c r="U36" s="2019"/>
      <c r="V36" s="2019"/>
    </row>
    <row r="37" spans="1:22" ht="18" customHeight="1">
      <c r="A37" s="2129" t="s">
        <v>1843</v>
      </c>
      <c r="B37" s="2130" t="s">
        <v>530</v>
      </c>
      <c r="C37" s="2130" t="s">
        <v>530</v>
      </c>
      <c r="D37" s="2130"/>
      <c r="E37" s="2130"/>
      <c r="F37" s="2128"/>
      <c r="G37" s="2032"/>
      <c r="H37" s="2032"/>
      <c r="I37" s="2032"/>
      <c r="J37" s="2032"/>
      <c r="K37" s="2044"/>
      <c r="L37" s="2018"/>
      <c r="M37" s="2018"/>
      <c r="N37" s="2019"/>
      <c r="O37" s="2020"/>
      <c r="P37" s="2019"/>
      <c r="Q37" s="2019"/>
      <c r="R37" s="2019"/>
      <c r="S37" s="2019"/>
      <c r="T37" s="2019"/>
      <c r="U37" s="2019"/>
      <c r="V37" s="2019"/>
    </row>
    <row r="38" spans="1:22" ht="18" customHeight="1" thickBot="1">
      <c r="A38" s="2131" t="s">
        <v>1844</v>
      </c>
      <c r="B38" s="2132" t="s">
        <v>398</v>
      </c>
      <c r="C38" s="2132" t="s">
        <v>398</v>
      </c>
      <c r="D38" s="2132"/>
      <c r="E38" s="2132"/>
      <c r="F38" s="2133"/>
      <c r="G38" s="2052"/>
      <c r="H38" s="2052"/>
      <c r="I38" s="2052"/>
      <c r="J38" s="2032"/>
      <c r="K38" s="2044"/>
      <c r="L38" s="2018"/>
      <c r="M38" s="2018"/>
      <c r="N38" s="2019"/>
      <c r="O38" s="2020"/>
      <c r="P38" s="2019"/>
      <c r="Q38" s="2019"/>
      <c r="R38" s="2019"/>
      <c r="S38" s="2019"/>
      <c r="T38" s="2019"/>
      <c r="U38" s="2019"/>
      <c r="V38" s="2019"/>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9"/>
      <c r="B40" s="2019"/>
      <c r="C40" s="2019"/>
      <c r="D40" s="2019"/>
      <c r="E40" s="2019"/>
      <c r="F40" s="2019"/>
      <c r="G40" s="2019"/>
      <c r="H40" s="2019"/>
      <c r="I40" s="2139"/>
      <c r="J40" s="2074"/>
      <c r="K40" s="666"/>
      <c r="L40" s="2073"/>
      <c r="M40" s="2073"/>
      <c r="N40" s="2074"/>
      <c r="O40" s="2073"/>
      <c r="P40" s="2019"/>
      <c r="Q40" s="2019"/>
      <c r="R40" s="2019"/>
      <c r="S40" s="2019"/>
      <c r="T40" s="2019"/>
      <c r="U40" s="2019"/>
      <c r="V40" s="2019"/>
    </row>
    <row r="41" spans="1:22" ht="18" customHeight="1">
      <c r="A41" s="8" t="s">
        <v>1846</v>
      </c>
      <c r="B41" s="2140"/>
      <c r="C41" s="2141"/>
      <c r="D41" s="2019"/>
      <c r="E41" s="2019"/>
      <c r="F41" s="2019"/>
      <c r="G41" s="2019"/>
      <c r="H41" s="2019"/>
      <c r="I41" s="2020"/>
      <c r="J41" s="2019"/>
      <c r="K41" s="2113"/>
      <c r="L41" s="2018"/>
      <c r="M41" s="2018"/>
      <c r="N41" s="2019"/>
      <c r="O41" s="2020"/>
      <c r="P41" s="2019"/>
      <c r="Q41" s="2019"/>
      <c r="R41" s="2019"/>
      <c r="S41" s="2019"/>
      <c r="T41" s="2019"/>
      <c r="U41" s="2019"/>
      <c r="V41" s="2019"/>
    </row>
    <row r="42" spans="1:22" ht="18" customHeight="1">
      <c r="A42" s="2064" t="s">
        <v>1847</v>
      </c>
      <c r="B42" s="1786" t="s">
        <v>1848</v>
      </c>
      <c r="C42" s="1786" t="s">
        <v>1849</v>
      </c>
      <c r="D42" s="1786" t="s">
        <v>1850</v>
      </c>
      <c r="E42" s="1786" t="s">
        <v>1851</v>
      </c>
      <c r="F42" s="1786" t="s">
        <v>1852</v>
      </c>
      <c r="G42" s="1786" t="s">
        <v>1853</v>
      </c>
      <c r="H42" s="1786" t="s">
        <v>1854</v>
      </c>
      <c r="I42" s="1786" t="s">
        <v>1855</v>
      </c>
      <c r="J42" s="2142" t="s">
        <v>1856</v>
      </c>
      <c r="K42" s="2065" t="s">
        <v>1857</v>
      </c>
      <c r="L42" s="2065" t="s">
        <v>1858</v>
      </c>
      <c r="M42" s="2065" t="s">
        <v>1859</v>
      </c>
      <c r="N42" s="1786" t="s">
        <v>1860</v>
      </c>
      <c r="O42" s="1786" t="s">
        <v>1861</v>
      </c>
      <c r="P42" s="1786" t="s">
        <v>1862</v>
      </c>
      <c r="Q42" s="2064" t="s">
        <v>1863</v>
      </c>
      <c r="R42" s="2064" t="s">
        <v>1864</v>
      </c>
      <c r="S42" s="2019"/>
      <c r="T42" s="2019"/>
      <c r="U42" s="2019"/>
      <c r="V42" s="2019"/>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6" sqref="K6:M6"/>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0" width="10.77734375" style="2149" customWidth="1"/>
    <col min="21" max="21" width="10.77734375" style="2149" hidden="1" customWidth="1"/>
    <col min="22" max="22" width="10.88671875" style="2149" hidden="1" customWidth="1"/>
    <col min="23" max="27" width="10.77734375" style="2149" hidden="1" customWidth="1"/>
    <col min="28" max="28" width="10.88671875" style="2149" hidden="1"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3"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1870</v>
      </c>
      <c r="AZ2" s="1270"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23247.07</v>
      </c>
      <c r="B3" s="14">
        <f>IF(C3="否",G5-AT5,G5)</f>
        <v>85553.640000000014</v>
      </c>
      <c r="C3" s="2158" t="s">
        <v>1873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1874</v>
      </c>
      <c r="B5" s="1794"/>
      <c r="C5" s="1794"/>
      <c r="D5" s="1797"/>
      <c r="E5" s="16" t="s">
        <v>1</v>
      </c>
      <c r="F5" s="16">
        <f>SUM(F13:F587)</f>
        <v>0</v>
      </c>
      <c r="G5" s="16">
        <f>SUM(G13:G587)</f>
        <v>85553.640000000014</v>
      </c>
      <c r="H5" s="16">
        <f t="shared" ref="H5:AT5" si="0">SUM(H13:H656)</f>
        <v>85084.6</v>
      </c>
      <c r="I5" s="16">
        <f t="shared" si="0"/>
        <v>49320.17</v>
      </c>
      <c r="J5" s="16">
        <f t="shared" si="0"/>
        <v>0</v>
      </c>
      <c r="K5" s="16">
        <f t="shared" si="0"/>
        <v>481.19</v>
      </c>
      <c r="L5" s="16">
        <f t="shared" si="0"/>
        <v>0</v>
      </c>
      <c r="M5" s="16">
        <f t="shared" si="0"/>
        <v>449.65999999999997</v>
      </c>
      <c r="N5" s="16">
        <f t="shared" si="0"/>
        <v>0</v>
      </c>
      <c r="O5" s="16">
        <f>SUM(O14:O656)</f>
        <v>21293.83</v>
      </c>
      <c r="P5" s="16">
        <f>SUM(P14:P656)</f>
        <v>0</v>
      </c>
      <c r="Q5" s="16">
        <f>SUM(Q14:Q656)</f>
        <v>3037.3700000000003</v>
      </c>
      <c r="R5" s="16">
        <f>SUM(R14:R656)</f>
        <v>0</v>
      </c>
      <c r="S5" s="16">
        <f>SUM(S14:S656)</f>
        <v>10502.379999999997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469.03999999999996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SUM(AN14:AN656)</f>
        <v>469.03999999999996</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85553.64</v>
      </c>
      <c r="BA5" s="18">
        <f t="shared" si="1"/>
        <v>85084.6</v>
      </c>
      <c r="BB5" s="18">
        <f t="shared" si="1"/>
        <v>49320.17</v>
      </c>
      <c r="BC5" s="18">
        <f t="shared" si="1"/>
        <v>481.19</v>
      </c>
      <c r="BD5" s="18">
        <f t="shared" si="1"/>
        <v>449.65999999999997</v>
      </c>
      <c r="BE5" s="18">
        <f t="shared" si="1"/>
        <v>21293.83</v>
      </c>
      <c r="BF5" s="18">
        <f t="shared" si="1"/>
        <v>3037.3700000000003</v>
      </c>
      <c r="BG5" s="18">
        <f t="shared" si="1"/>
        <v>10502.379999999997</v>
      </c>
      <c r="BH5" s="18">
        <f t="shared" si="1"/>
        <v>0</v>
      </c>
      <c r="BI5" s="18">
        <f t="shared" si="1"/>
        <v>0</v>
      </c>
      <c r="BJ5" s="18">
        <f t="shared" si="1"/>
        <v>0</v>
      </c>
      <c r="BK5" s="18">
        <f t="shared" si="1"/>
        <v>0</v>
      </c>
      <c r="BL5" s="18">
        <f t="shared" si="1"/>
        <v>469.03999999999996</v>
      </c>
      <c r="BM5" s="18">
        <f t="shared" si="1"/>
        <v>0</v>
      </c>
      <c r="BN5" s="18">
        <f t="shared" si="1"/>
        <v>0</v>
      </c>
      <c r="BO5" s="18">
        <f t="shared" si="1"/>
        <v>0</v>
      </c>
      <c r="BP5" s="18">
        <f t="shared" si="1"/>
        <v>0</v>
      </c>
      <c r="BQ5" s="18">
        <f t="shared" si="1"/>
        <v>0</v>
      </c>
      <c r="BR5" s="18">
        <f t="shared" si="1"/>
        <v>469.03999999999996</v>
      </c>
      <c r="BS5" s="18">
        <f t="shared" si="1"/>
        <v>0</v>
      </c>
      <c r="BT5" s="19">
        <f t="shared" si="1"/>
        <v>0</v>
      </c>
    </row>
    <row r="6" spans="1:72" s="2167" customFormat="1" ht="13.2">
      <c r="A6" s="15" t="s">
        <v>1875</v>
      </c>
      <c r="B6" s="2164"/>
      <c r="C6" s="2164"/>
      <c r="D6" s="2165"/>
      <c r="E6" s="16">
        <f>H6+AC6+AT6</f>
        <v>23247.070000000003</v>
      </c>
      <c r="F6" s="16" t="s">
        <v>1</v>
      </c>
      <c r="G6" s="16" t="s">
        <v>2</v>
      </c>
      <c r="H6" s="20">
        <f>SUMIF(I$12:AB$12,"总值",I6:AB6)</f>
        <v>23119.620000000003</v>
      </c>
      <c r="I6" s="16">
        <f t="shared" ref="I6:AB6" si="2">ROUND($A$3*I5/$B$3,2)</f>
        <v>13401.53</v>
      </c>
      <c r="J6" s="16">
        <f t="shared" si="2"/>
        <v>0</v>
      </c>
      <c r="K6" s="16">
        <f t="shared" si="2"/>
        <v>130.75</v>
      </c>
      <c r="L6" s="16">
        <f t="shared" si="2"/>
        <v>0</v>
      </c>
      <c r="M6" s="16">
        <f t="shared" si="2"/>
        <v>122.18</v>
      </c>
      <c r="N6" s="16">
        <f t="shared" si="2"/>
        <v>0</v>
      </c>
      <c r="O6" s="16">
        <f t="shared" si="2"/>
        <v>5786.07</v>
      </c>
      <c r="P6" s="16">
        <f t="shared" si="2"/>
        <v>0</v>
      </c>
      <c r="Q6" s="16">
        <f t="shared" si="2"/>
        <v>825.33</v>
      </c>
      <c r="R6" s="16">
        <f t="shared" si="2"/>
        <v>0</v>
      </c>
      <c r="S6" s="16">
        <f t="shared" si="2"/>
        <v>2853.76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127.45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127.45</v>
      </c>
      <c r="AO6" s="16">
        <f t="shared" si="3"/>
        <v>0</v>
      </c>
      <c r="AP6" s="16">
        <f t="shared" si="3"/>
        <v>0</v>
      </c>
      <c r="AQ6" s="16">
        <f t="shared" si="3"/>
        <v>0</v>
      </c>
      <c r="AR6" s="16">
        <f t="shared" si="3"/>
        <v>0</v>
      </c>
      <c r="AS6" s="16">
        <f t="shared" si="3"/>
        <v>0</v>
      </c>
      <c r="AT6" s="20">
        <f>IF(C3="是",ROUND($A$3*AT5/$B$3,2),0)</f>
        <v>0</v>
      </c>
      <c r="AU6" s="2166"/>
      <c r="AV6" s="15" t="s">
        <v>1875</v>
      </c>
      <c r="AW6" s="2164"/>
      <c r="AX6" s="2164"/>
      <c r="AY6" s="21">
        <f>IF(AY3&gt;0,AY3,ROUND($A$3*AZ5/$B$3,2))</f>
        <v>23247.07</v>
      </c>
      <c r="AZ6" s="16" t="s">
        <v>3</v>
      </c>
      <c r="BA6" s="16">
        <f>ROUND($AY$6*BA5/$AZ$5,2)</f>
        <v>23119.62</v>
      </c>
      <c r="BB6" s="16">
        <f>ROUND($AY$6*BB5/$AZ$5,2)</f>
        <v>13401.53</v>
      </c>
      <c r="BC6" s="16">
        <f t="shared" ref="BC6:BH6" si="4">ROUND($AY$6*BC5/$AZ$5,2)</f>
        <v>130.75</v>
      </c>
      <c r="BD6" s="16">
        <f t="shared" si="4"/>
        <v>122.18</v>
      </c>
      <c r="BE6" s="16">
        <f t="shared" si="4"/>
        <v>5786.07</v>
      </c>
      <c r="BF6" s="16">
        <f t="shared" si="4"/>
        <v>825.33</v>
      </c>
      <c r="BG6" s="16">
        <f t="shared" si="4"/>
        <v>2853.76</v>
      </c>
      <c r="BH6" s="16">
        <f t="shared" si="4"/>
        <v>0</v>
      </c>
      <c r="BI6" s="16">
        <f t="shared" ref="BI6:BT6" si="5">ROUND($AY$6*BI5/$AZ$5,2)</f>
        <v>0</v>
      </c>
      <c r="BJ6" s="16">
        <f t="shared" si="5"/>
        <v>0</v>
      </c>
      <c r="BK6" s="16">
        <f t="shared" si="5"/>
        <v>0</v>
      </c>
      <c r="BL6" s="16">
        <f t="shared" si="5"/>
        <v>127.45</v>
      </c>
      <c r="BM6" s="16">
        <f t="shared" si="5"/>
        <v>0</v>
      </c>
      <c r="BN6" s="16">
        <f t="shared" si="5"/>
        <v>0</v>
      </c>
      <c r="BO6" s="16">
        <f t="shared" si="5"/>
        <v>0</v>
      </c>
      <c r="BP6" s="16">
        <f t="shared" si="5"/>
        <v>0</v>
      </c>
      <c r="BQ6" s="16">
        <f t="shared" si="5"/>
        <v>0</v>
      </c>
      <c r="BR6" s="16">
        <f t="shared" si="5"/>
        <v>127.45</v>
      </c>
      <c r="BS6" s="16">
        <f t="shared" si="5"/>
        <v>0</v>
      </c>
      <c r="BT6" s="22">
        <f t="shared" si="5"/>
        <v>0</v>
      </c>
    </row>
    <row r="7" spans="1:72" s="2157" customFormat="1" ht="25.2">
      <c r="A7" s="2099" t="s">
        <v>1876</v>
      </c>
      <c r="B7" s="2099" t="s">
        <v>1877</v>
      </c>
      <c r="C7" s="2099" t="s">
        <v>1878</v>
      </c>
      <c r="D7" s="2099" t="s">
        <v>1879</v>
      </c>
      <c r="E7" s="2099" t="s">
        <v>1880</v>
      </c>
      <c r="F7" s="2099" t="s">
        <v>1881</v>
      </c>
      <c r="G7" s="2168" t="s">
        <v>1882</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7"/>
      <c r="AU7" s="2169" t="s">
        <v>1883</v>
      </c>
      <c r="AV7" s="23" t="s">
        <v>1884</v>
      </c>
      <c r="AW7" s="2156" t="s">
        <v>1885</v>
      </c>
      <c r="AX7" s="23" t="s">
        <v>1878</v>
      </c>
      <c r="AY7" s="1794" t="s">
        <v>1886</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1887</v>
      </c>
      <c r="H8" s="2174" t="s">
        <v>1888</v>
      </c>
      <c r="I8" s="2175"/>
      <c r="J8" s="1809"/>
      <c r="K8" s="1809"/>
      <c r="L8" s="1809"/>
      <c r="M8" s="1809"/>
      <c r="N8" s="1809"/>
      <c r="O8" s="1809"/>
      <c r="P8" s="1809"/>
      <c r="Q8" s="1809"/>
      <c r="R8" s="1809"/>
      <c r="S8" s="1809"/>
      <c r="T8" s="1809"/>
      <c r="U8" s="1809"/>
      <c r="V8" s="2176"/>
      <c r="W8" s="1809"/>
      <c r="X8" s="1809"/>
      <c r="Y8" s="1809"/>
      <c r="Z8" s="1809"/>
      <c r="AA8" s="2176"/>
      <c r="AB8" s="2177"/>
      <c r="AC8" s="981" t="s">
        <v>1889</v>
      </c>
      <c r="AD8" s="2178"/>
      <c r="AE8" s="2170"/>
      <c r="AF8" s="1809"/>
      <c r="AG8" s="1809"/>
      <c r="AH8" s="1809"/>
      <c r="AI8" s="1809"/>
      <c r="AJ8" s="1809"/>
      <c r="AK8" s="1809"/>
      <c r="AL8" s="1809"/>
      <c r="AM8" s="1809"/>
      <c r="AN8" s="1809"/>
      <c r="AO8" s="1809"/>
      <c r="AP8" s="1809"/>
      <c r="AQ8" s="1809"/>
      <c r="AR8" s="1809"/>
      <c r="AS8" s="1809"/>
      <c r="AT8" s="1292" t="s">
        <v>1890</v>
      </c>
      <c r="AU8" s="2172" t="s">
        <v>1891</v>
      </c>
      <c r="AV8" s="1292"/>
      <c r="AW8" s="2155"/>
      <c r="AX8" s="1292"/>
      <c r="AY8" s="2156"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9" customFormat="1" ht="13.2">
      <c r="A9" s="2172"/>
      <c r="B9" s="2172"/>
      <c r="C9" s="2172"/>
      <c r="D9" s="2172"/>
      <c r="E9" s="2172"/>
      <c r="F9" s="2172"/>
      <c r="G9" s="1292"/>
      <c r="H9" s="2180" t="s">
        <v>1894</v>
      </c>
      <c r="I9" s="2181" t="s">
        <v>3087</v>
      </c>
      <c r="J9" s="981"/>
      <c r="K9" s="2181" t="s">
        <v>3087</v>
      </c>
      <c r="L9" s="981"/>
      <c r="M9" s="2181" t="s">
        <v>3090</v>
      </c>
      <c r="N9" s="981"/>
      <c r="O9" s="2181" t="s">
        <v>3090</v>
      </c>
      <c r="P9" s="981"/>
      <c r="Q9" s="2181" t="s">
        <v>3090</v>
      </c>
      <c r="R9" s="981"/>
      <c r="S9" s="2181" t="s">
        <v>3090</v>
      </c>
      <c r="T9" s="981"/>
      <c r="U9" s="2181"/>
      <c r="V9" s="981"/>
      <c r="W9" s="2181"/>
      <c r="X9" s="2182"/>
      <c r="Y9" s="2181"/>
      <c r="Z9" s="981"/>
      <c r="AA9" s="2181"/>
      <c r="AB9" s="981"/>
      <c r="AC9" s="217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3"/>
      <c r="AT9" s="2172"/>
      <c r="AU9" s="2172" t="s">
        <v>1897</v>
      </c>
      <c r="AV9" s="1292"/>
      <c r="AW9" s="2155"/>
      <c r="AX9" s="1292"/>
      <c r="AY9" s="28"/>
      <c r="AZ9" s="28" t="s">
        <v>1887</v>
      </c>
      <c r="BA9" s="2184" t="s">
        <v>1898</v>
      </c>
      <c r="BB9" s="2185"/>
      <c r="BC9" s="1338"/>
      <c r="BD9" s="1338"/>
      <c r="BE9" s="1338"/>
      <c r="BF9" s="1338"/>
      <c r="BG9" s="1338"/>
      <c r="BH9" s="1338"/>
      <c r="BI9" s="1338"/>
      <c r="BJ9" s="1338"/>
      <c r="BK9" s="2186"/>
      <c r="BL9" s="15" t="s">
        <v>1899</v>
      </c>
      <c r="BM9" s="1809"/>
      <c r="BN9" s="2175"/>
      <c r="BO9" s="1809"/>
      <c r="BP9" s="1809"/>
      <c r="BQ9" s="1809"/>
      <c r="BR9" s="1809"/>
      <c r="BS9" s="1809"/>
      <c r="BT9" s="26"/>
    </row>
    <row r="10" spans="1:72" s="2179" customFormat="1" ht="13.2">
      <c r="A10" s="2172"/>
      <c r="B10" s="2172"/>
      <c r="C10" s="2172"/>
      <c r="D10" s="2172"/>
      <c r="E10" s="2172"/>
      <c r="F10" s="2172"/>
      <c r="G10" s="1292"/>
      <c r="H10" s="28"/>
      <c r="I10" s="2181" t="s">
        <v>27</v>
      </c>
      <c r="J10" s="981"/>
      <c r="K10" s="2187" t="s">
        <v>1372</v>
      </c>
      <c r="L10" s="981"/>
      <c r="M10" s="2187" t="s">
        <v>1372</v>
      </c>
      <c r="N10" s="981"/>
      <c r="O10" s="2187" t="s">
        <v>3092</v>
      </c>
      <c r="P10" s="981"/>
      <c r="Q10" s="2187" t="s">
        <v>3181</v>
      </c>
      <c r="R10" s="981"/>
      <c r="S10" s="2187" t="s">
        <v>3181</v>
      </c>
      <c r="T10" s="981"/>
      <c r="U10" s="2187"/>
      <c r="V10" s="981"/>
      <c r="W10" s="2187"/>
      <c r="X10" s="981"/>
      <c r="Y10" s="2187"/>
      <c r="Z10" s="981"/>
      <c r="AA10" s="2187"/>
      <c r="AB10" s="981"/>
      <c r="AC10" s="1292"/>
      <c r="AD10" s="15" t="s">
        <v>1900</v>
      </c>
      <c r="AE10" s="2188"/>
      <c r="AF10" s="15" t="s">
        <v>1900</v>
      </c>
      <c r="AG10" s="2188"/>
      <c r="AH10" s="15" t="s">
        <v>1901</v>
      </c>
      <c r="AI10" s="2188"/>
      <c r="AJ10" s="15" t="s">
        <v>1901</v>
      </c>
      <c r="AK10" s="2188"/>
      <c r="AL10" s="15" t="s">
        <v>1902</v>
      </c>
      <c r="AM10" s="1298"/>
      <c r="AN10" s="15" t="s">
        <v>1902</v>
      </c>
      <c r="AO10" s="1298"/>
      <c r="AP10" s="15" t="s">
        <v>1903</v>
      </c>
      <c r="AQ10" s="1298"/>
      <c r="AR10" s="15" t="s">
        <v>1903</v>
      </c>
      <c r="AS10" s="1298"/>
      <c r="AT10" s="2172"/>
      <c r="AU10" s="2172"/>
      <c r="AV10" s="1292"/>
      <c r="AW10" s="2155"/>
      <c r="AX10" s="1292"/>
      <c r="AY10" s="28"/>
      <c r="AZ10" s="28"/>
      <c r="BA10" s="2189" t="s">
        <v>1894</v>
      </c>
      <c r="BB10" s="2190"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1" t="str">
        <f>AR9</f>
        <v>地下</v>
      </c>
    </row>
    <row r="11" spans="1:72" s="2179" customFormat="1" ht="13.2">
      <c r="A11" s="2172"/>
      <c r="B11" s="2172"/>
      <c r="C11" s="2172"/>
      <c r="D11" s="2172"/>
      <c r="E11" s="2172"/>
      <c r="F11" s="2172"/>
      <c r="G11" s="1292"/>
      <c r="H11" s="2189"/>
      <c r="I11" s="2192" t="s">
        <v>3088</v>
      </c>
      <c r="J11" s="2193"/>
      <c r="K11" s="2192" t="s">
        <v>3089</v>
      </c>
      <c r="L11" s="2193"/>
      <c r="M11" s="2192"/>
      <c r="N11" s="2193"/>
      <c r="O11" s="2192"/>
      <c r="P11" s="2193"/>
      <c r="Q11" s="2192"/>
      <c r="R11" s="2193"/>
      <c r="S11" s="2192"/>
      <c r="T11" s="2193"/>
      <c r="U11" s="2192"/>
      <c r="V11" s="2193"/>
      <c r="W11" s="2192"/>
      <c r="X11" s="2193"/>
      <c r="Y11" s="2192"/>
      <c r="Z11" s="2193"/>
      <c r="AA11" s="2192"/>
      <c r="AB11" s="2193"/>
      <c r="AC11" s="1292"/>
      <c r="AD11" s="2194" t="s">
        <v>1904</v>
      </c>
      <c r="AE11" s="1810"/>
      <c r="AF11" s="2194" t="s">
        <v>1904</v>
      </c>
      <c r="AG11" s="1810"/>
      <c r="AH11" s="2194" t="s">
        <v>1905</v>
      </c>
      <c r="AI11" s="2195"/>
      <c r="AJ11" s="2194" t="s">
        <v>1905</v>
      </c>
      <c r="AK11" s="1810"/>
      <c r="AL11" s="1808"/>
      <c r="AM11" s="1810"/>
      <c r="AN11" s="1808"/>
      <c r="AO11" s="1810"/>
      <c r="AP11" s="1808"/>
      <c r="AQ11" s="1810"/>
      <c r="AR11" s="1808"/>
      <c r="AS11" s="1810"/>
      <c r="AT11" s="2155"/>
      <c r="AU11" s="2172"/>
      <c r="AV11" s="1292"/>
      <c r="AW11" s="2155"/>
      <c r="AX11" s="1292"/>
      <c r="AY11" s="28"/>
      <c r="AZ11" s="28"/>
      <c r="BA11" s="28"/>
      <c r="BB11" s="2177" t="str">
        <f>I10</f>
        <v>办公</v>
      </c>
      <c r="BC11" s="2177" t="str">
        <f>K10</f>
        <v>商业</v>
      </c>
      <c r="BD11" s="2177" t="str">
        <f>M10</f>
        <v>商业</v>
      </c>
      <c r="BE11" s="2177" t="str">
        <f>O10</f>
        <v>仓储</v>
      </c>
      <c r="BF11" s="2177" t="str">
        <f>Q10</f>
        <v>车库—办公</v>
      </c>
      <c r="BG11" s="2177" t="str">
        <f>S10</f>
        <v>车库—办公</v>
      </c>
      <c r="BH11" s="2177">
        <f>U10</f>
        <v>0</v>
      </c>
      <c r="BI11" s="2177">
        <f>W10</f>
        <v>0</v>
      </c>
      <c r="BJ11" s="2177">
        <f>Y10</f>
        <v>0</v>
      </c>
      <c r="BK11" s="2177">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9"/>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7" t="s">
        <v>1907</v>
      </c>
      <c r="AT12" s="2200"/>
      <c r="AU12" s="2197"/>
      <c r="AV12" s="31"/>
      <c r="AW12" s="2156"/>
      <c r="AX12" s="31"/>
      <c r="AY12" s="2201"/>
      <c r="AZ12" s="28"/>
      <c r="BA12" s="2189"/>
      <c r="BB12" s="24" t="str">
        <f>I11</f>
        <v>办公楼</v>
      </c>
      <c r="BC12" s="2202" t="str">
        <f>K11</f>
        <v>底商</v>
      </c>
      <c r="BD12" s="2202">
        <f>M11</f>
        <v>0</v>
      </c>
      <c r="BE12" s="2177">
        <f>O11</f>
        <v>0</v>
      </c>
      <c r="BF12" s="2177">
        <f>Q11</f>
        <v>0</v>
      </c>
      <c r="BG12" s="2177">
        <f>S11</f>
        <v>0</v>
      </c>
      <c r="BH12" s="2177">
        <f>U11</f>
        <v>0</v>
      </c>
      <c r="BI12" s="2177">
        <f>W11</f>
        <v>0</v>
      </c>
      <c r="BJ12" s="2177">
        <f>Y11</f>
        <v>0</v>
      </c>
      <c r="BK12" s="2177">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6">
        <f>AR11</f>
        <v>0</v>
      </c>
    </row>
    <row r="13" spans="1:72" s="2157" customFormat="1" ht="13.2">
      <c r="A13" s="1272"/>
      <c r="B13" s="1272"/>
      <c r="C13" s="1272"/>
      <c r="D13" s="2203" t="s">
        <v>3091</v>
      </c>
      <c r="E13" s="16">
        <f>IF($C$3="是",ROUND($A$3*G13/$B$3,2),ROUND($A$3*(G13-AT13)/$B$3,2))</f>
        <v>13654.46</v>
      </c>
      <c r="F13" s="32"/>
      <c r="G13" s="33">
        <f>H13+AC13+AT13</f>
        <v>50251.020000000004</v>
      </c>
      <c r="H13" s="20">
        <f>SUMIF(I$12:AB$12,"总值",I13:AB13)</f>
        <v>50251.020000000004</v>
      </c>
      <c r="I13" s="2204">
        <f>面积表!D12</f>
        <v>49320.17</v>
      </c>
      <c r="J13" s="2204"/>
      <c r="K13" s="2204">
        <f>面积表!E12</f>
        <v>481.19</v>
      </c>
      <c r="L13" s="2204"/>
      <c r="M13" s="2204">
        <f>面积表!F10</f>
        <v>449.65999999999997</v>
      </c>
      <c r="N13" s="2204"/>
      <c r="O13" s="12"/>
      <c r="P13" s="12"/>
      <c r="Q13" s="12"/>
      <c r="R13" s="12"/>
      <c r="S13" s="12"/>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12"/>
      <c r="AO13" s="2205"/>
      <c r="AP13" s="2205"/>
      <c r="AQ13" s="2205"/>
      <c r="AR13" s="2205"/>
      <c r="AS13" s="2205"/>
      <c r="AT13" s="2206"/>
      <c r="AU13" s="2207"/>
      <c r="AV13" s="11">
        <f t="shared" ref="AV13:AX17" si="6">A13</f>
        <v>0</v>
      </c>
      <c r="AW13" s="11">
        <f t="shared" si="6"/>
        <v>0</v>
      </c>
      <c r="AX13" s="11">
        <f t="shared" si="6"/>
        <v>0</v>
      </c>
      <c r="AY13" s="1797">
        <f>ROUND($AY$6*AZ13/$AZ$5,2)</f>
        <v>23247.07</v>
      </c>
      <c r="AZ13" s="16">
        <f>BA13+BL13</f>
        <v>85553.64</v>
      </c>
      <c r="BA13" s="16">
        <f>SUM(BB13:BK13)</f>
        <v>85084.6</v>
      </c>
      <c r="BB13" s="16">
        <f>IF($D13="是",I13-J13,0)</f>
        <v>49320.17</v>
      </c>
      <c r="BC13" s="16">
        <f>IF($D13="是",K13-L13,0)</f>
        <v>481.19</v>
      </c>
      <c r="BD13" s="16">
        <f>IF($D13="是",M13-N13,0)</f>
        <v>449.65999999999997</v>
      </c>
      <c r="BE13" s="16">
        <f>IF($D13="是",O14-P14,0)</f>
        <v>21293.83</v>
      </c>
      <c r="BF13" s="16">
        <f>IF($D13="是",Q14-R14,0)</f>
        <v>3037.3700000000003</v>
      </c>
      <c r="BG13" s="16">
        <f>IF($D13="是",S14-T13,0)</f>
        <v>10502.379999999997</v>
      </c>
      <c r="BH13" s="16">
        <f>IF($D13="是",U13-V13,0)</f>
        <v>0</v>
      </c>
      <c r="BI13" s="16">
        <f>IF($D13="是",W13-X13,0)</f>
        <v>0</v>
      </c>
      <c r="BJ13" s="16">
        <f>IF($D13="是",Y13-Z13,0)</f>
        <v>0</v>
      </c>
      <c r="BK13" s="16">
        <f>IF($D13="是",AA13-AB13,0)</f>
        <v>0</v>
      </c>
      <c r="BL13" s="16">
        <f>SUM(BM13:BT13)</f>
        <v>469.03999999999996</v>
      </c>
      <c r="BM13" s="16">
        <f>IF($D13="是",AD13-AE13,0)</f>
        <v>0</v>
      </c>
      <c r="BN13" s="16">
        <f>IF($D13="是",AF13-AG13,0)</f>
        <v>0</v>
      </c>
      <c r="BO13" s="16">
        <f>IF($D13="是",AH13-AI13,0)</f>
        <v>0</v>
      </c>
      <c r="BP13" s="16">
        <f>IF($D13="是",AJ13-AK13,0)</f>
        <v>0</v>
      </c>
      <c r="BQ13" s="16">
        <f>IF($D13="是",AL13-AM13,0)</f>
        <v>0</v>
      </c>
      <c r="BR13" s="16">
        <f>IF($D13="是",AN14-AO13,0)</f>
        <v>469.03999999999996</v>
      </c>
      <c r="BS13" s="16">
        <f>IF($D13="是",AP13-AQ13,0)</f>
        <v>0</v>
      </c>
      <c r="BT13" s="22">
        <f>IF($D13="是",AR13-AS13,0)</f>
        <v>0</v>
      </c>
    </row>
    <row r="14" spans="1:72" s="2157" customFormat="1" ht="13.2">
      <c r="A14" s="1272"/>
      <c r="B14" s="1272"/>
      <c r="C14" s="2143"/>
      <c r="D14" s="2203" t="s">
        <v>3113</v>
      </c>
      <c r="E14" s="16">
        <f>IF($C$3="是",ROUND($A$3*G14/$B$3,2),ROUND($A$3*(G14-AT14)/$B$3,2))</f>
        <v>9592.61</v>
      </c>
      <c r="F14" s="32"/>
      <c r="G14" s="33">
        <f>H14+AC14+AT14</f>
        <v>35302.620000000003</v>
      </c>
      <c r="H14" s="20">
        <f>SUMIF(I$12:AB$12,"总值",I14:AB14)</f>
        <v>34833.58</v>
      </c>
      <c r="I14" s="2204"/>
      <c r="J14" s="2204"/>
      <c r="K14" s="2204"/>
      <c r="L14" s="2204"/>
      <c r="M14" s="2204"/>
      <c r="N14" s="2204"/>
      <c r="O14" s="2204">
        <f>面积表!G12</f>
        <v>21293.83</v>
      </c>
      <c r="P14" s="2204"/>
      <c r="Q14" s="2204">
        <f>面积表!L10</f>
        <v>3037.3700000000003</v>
      </c>
      <c r="R14" s="2204"/>
      <c r="S14" s="2204">
        <f>面积表!L11</f>
        <v>10502.379999999997</v>
      </c>
      <c r="T14" s="2204"/>
      <c r="U14" s="2204"/>
      <c r="V14" s="2204"/>
      <c r="W14" s="2204"/>
      <c r="X14" s="2204"/>
      <c r="Y14" s="2204"/>
      <c r="Z14" s="2204"/>
      <c r="AA14" s="2204"/>
      <c r="AB14" s="2204"/>
      <c r="AC14" s="16">
        <f>SUMIF(AD$12:AS$12,"总值",AD14:AS14)</f>
        <v>469.03999999999996</v>
      </c>
      <c r="AD14" s="2205"/>
      <c r="AE14" s="2205"/>
      <c r="AF14" s="2205"/>
      <c r="AG14" s="2205"/>
      <c r="AH14" s="2205"/>
      <c r="AI14" s="2205"/>
      <c r="AJ14" s="2205"/>
      <c r="AK14" s="2205"/>
      <c r="AL14" s="2205"/>
      <c r="AM14" s="2205"/>
      <c r="AN14" s="2205">
        <f>面积表!H10</f>
        <v>469.03999999999996</v>
      </c>
      <c r="AO14" s="2205"/>
      <c r="AP14" s="2205"/>
      <c r="AQ14" s="2205"/>
      <c r="AR14" s="2205"/>
      <c r="AS14" s="2205"/>
      <c r="AT14" s="2206"/>
      <c r="AU14" s="2207"/>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IF($D14="是",#REF!-#REF!,0)</f>
        <v>0</v>
      </c>
      <c r="BF14" s="16">
        <f>IF($D14="是",#REF!-#REF!,0)</f>
        <v>0</v>
      </c>
      <c r="BG14" s="16">
        <f>IF($D14="是",#REF!-T14,0)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IF($D14="是",#REF!-AO14,0)</f>
        <v>0</v>
      </c>
      <c r="BS14" s="16">
        <f>IF($D14="是",AP14-AQ14,0)</f>
        <v>0</v>
      </c>
      <c r="BT14" s="22">
        <f>IF($D14="是",AR14-AS14,0)</f>
        <v>0</v>
      </c>
    </row>
    <row r="15" spans="1:72" s="2157" customFormat="1" ht="13.2">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46.8">
      <c r="A3" s="3100"/>
      <c r="B3" s="3100"/>
      <c r="C3" s="3100"/>
      <c r="D3" s="3101"/>
      <c r="E3" s="310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7"/>
  <sheetViews>
    <sheetView workbookViewId="0">
      <selection activeCell="D20" sqref="D20"/>
    </sheetView>
  </sheetViews>
  <sheetFormatPr defaultColWidth="9" defaultRowHeight="14.4"/>
  <cols>
    <col min="1" max="4" width="9" style="2965"/>
    <col min="5" max="6" width="11.6640625" style="2965" customWidth="1"/>
    <col min="7" max="7" width="9" style="2965"/>
    <col min="8" max="8" width="13.6640625" style="2965" customWidth="1"/>
    <col min="9" max="9" width="9" style="2965"/>
    <col min="10" max="12" width="10.21875" style="2965" customWidth="1"/>
    <col min="13" max="14" width="9" style="2965"/>
    <col min="15" max="15" width="10.77734375" style="2965" customWidth="1"/>
    <col min="16" max="16384" width="9" style="2965"/>
  </cols>
  <sheetData>
    <row r="2" spans="1:15">
      <c r="B2" s="2966" t="s">
        <v>3072</v>
      </c>
      <c r="C2" s="2966" t="s">
        <v>3064</v>
      </c>
      <c r="D2" s="2966" t="s">
        <v>3062</v>
      </c>
      <c r="E2" s="2966" t="s">
        <v>3063</v>
      </c>
      <c r="F2" s="2966" t="s">
        <v>3086</v>
      </c>
      <c r="G2" s="2966" t="s">
        <v>3083</v>
      </c>
      <c r="H2" s="2966" t="s">
        <v>3084</v>
      </c>
      <c r="I2" s="2966" t="s">
        <v>3085</v>
      </c>
      <c r="J2" s="2966"/>
      <c r="K2" s="2966"/>
      <c r="L2" s="2966"/>
    </row>
    <row r="3" spans="1:15">
      <c r="A3" s="2966" t="s">
        <v>3061</v>
      </c>
      <c r="B3" s="2966" t="s">
        <v>3074</v>
      </c>
      <c r="C3" s="2966">
        <v>24464</v>
      </c>
      <c r="D3" s="2965">
        <f>1104.99-(63.67+48.65+31.46+47.96+45.44)-(21.27+21.68+21.21*6+21.78)+1686.49-141.01-77.09-25.91+1626.22+1698.53+893.29</f>
        <v>6336.34</v>
      </c>
      <c r="E3" s="2965">
        <f>63.67+48.65+31.46+47.96+45.44+141.01+77.09+25.91</f>
        <v>481.19</v>
      </c>
      <c r="G3" s="2965">
        <f>641.58+648.72+21.27+21.68+21.21*6+21.78</f>
        <v>1482.2900000000002</v>
      </c>
      <c r="M3" s="2965">
        <f>D3+E3+G3</f>
        <v>8299.82</v>
      </c>
    </row>
    <row r="4" spans="1:15">
      <c r="A4" s="2966" t="s">
        <v>3065</v>
      </c>
      <c r="B4" s="2966" t="s">
        <v>3075</v>
      </c>
      <c r="C4" s="2965">
        <v>23247.07</v>
      </c>
      <c r="D4" s="2965">
        <f>89.64+53.35+35.44+106.85+70.88*2+71.43+36+1472.62+1490.34+1490.34+1490.34+938.16</f>
        <v>7416.2699999999995</v>
      </c>
      <c r="G4" s="2965">
        <f>629.37+639.13+995.6-(89.64+53.35+35.44+106.85+70.88*2+71.43+36)</f>
        <v>1729.6299999999999</v>
      </c>
      <c r="M4" s="2965">
        <f t="shared" ref="M4:M9" si="0">D4+G4</f>
        <v>9145.9</v>
      </c>
    </row>
    <row r="5" spans="1:15">
      <c r="A5" s="2966" t="s">
        <v>3066</v>
      </c>
      <c r="B5" s="2966" t="s">
        <v>3076</v>
      </c>
      <c r="C5" s="2966">
        <v>24464</v>
      </c>
      <c r="D5" s="2965">
        <f>70.93+35.21+52.83+35.21+35.24+35.73+70.43+70.62+1779.56+1726.25+1604.94+1621.48+229.61</f>
        <v>7368.04</v>
      </c>
      <c r="G5" s="2965">
        <f>629.03+639.24+868.09-(70.93+35.21+52.83+35.21+35.24+35.73+70.43+70.62)</f>
        <v>1730.16</v>
      </c>
      <c r="M5" s="2965">
        <f t="shared" si="0"/>
        <v>9098.2000000000007</v>
      </c>
    </row>
    <row r="6" spans="1:15">
      <c r="A6" s="2966" t="s">
        <v>3067</v>
      </c>
      <c r="B6" s="2966" t="s">
        <v>3077</v>
      </c>
      <c r="C6" s="2966">
        <v>24464</v>
      </c>
      <c r="D6" s="2965">
        <f>1390.15-(21.19*6+21.85+42.87+21.85)+1518.45+1660.71+1659.13+803.57</f>
        <v>6818.3</v>
      </c>
      <c r="G6" s="2965">
        <f>622.32+644.96+21.19*6+21.85+42.87+21.85</f>
        <v>1480.99</v>
      </c>
      <c r="M6" s="2965">
        <f t="shared" si="0"/>
        <v>8299.2900000000009</v>
      </c>
    </row>
    <row r="7" spans="1:15">
      <c r="A7" s="2966" t="s">
        <v>3068</v>
      </c>
      <c r="B7" s="2966" t="s">
        <v>3078</v>
      </c>
      <c r="C7" s="2966">
        <v>24464</v>
      </c>
      <c r="D7" s="2965">
        <f>90.51+35.97+35.78*3+36.31+35.82+35.78*3+72.09+54.16+35.78+1415.16+1343.1+1325.17+1361.48+1109.19</f>
        <v>7129.42</v>
      </c>
      <c r="G7" s="2965">
        <f>612.4+643.57+912.52-(90.51+35.97+35.78*3+36.31+35.82+35.78*3+72.09+54.16+35.78)</f>
        <v>1593.1699999999998</v>
      </c>
      <c r="M7" s="2965">
        <f t="shared" si="0"/>
        <v>8722.59</v>
      </c>
    </row>
    <row r="8" spans="1:15">
      <c r="A8" s="2966" t="s">
        <v>3069</v>
      </c>
      <c r="B8" s="2966" t="s">
        <v>3079</v>
      </c>
      <c r="C8" s="2966">
        <v>24464</v>
      </c>
      <c r="D8" s="2965">
        <f>90.5+35.97+35.78*5+36.29+35.81+1379.28+1361.35+1342.96+1361.38+1306.47</f>
        <v>7128.91</v>
      </c>
      <c r="G8" s="2965">
        <f>598.72+629.29+809.72-(90.5+35.97+35.78*5+36.29+35.81)</f>
        <v>1660.26</v>
      </c>
      <c r="M8" s="2965">
        <f t="shared" si="0"/>
        <v>8789.17</v>
      </c>
    </row>
    <row r="9" spans="1:15">
      <c r="A9" s="2966" t="s">
        <v>3070</v>
      </c>
      <c r="B9" s="2966" t="s">
        <v>3080</v>
      </c>
      <c r="C9" s="2966">
        <v>24464</v>
      </c>
      <c r="D9" s="2965">
        <f>36.26+35.75+71.5+53.67+54.16+35.75*3+35.93+90.43+1287.47+1360.23+1341.82+1360.2+1288.22</f>
        <v>7122.89</v>
      </c>
      <c r="G9" s="2965">
        <f>609.84+629.58+876.31-(36.26+35.75+71.5+53.67+54.16+35.75*3+35.93+90.43)</f>
        <v>1630.78</v>
      </c>
      <c r="M9" s="2965">
        <f t="shared" si="0"/>
        <v>8753.67</v>
      </c>
    </row>
    <row r="10" spans="1:15">
      <c r="A10" s="2966" t="s">
        <v>3071</v>
      </c>
      <c r="B10" s="2966" t="s">
        <v>3073</v>
      </c>
      <c r="F10" s="2965">
        <f>152.13+147.15+66.83+83.55</f>
        <v>449.65999999999997</v>
      </c>
      <c r="G10" s="2965">
        <f>725.44-(39.75+21.47+58.92+23.29+26.95+45.27+21.47+12.73+21.47*2+50.17)+574.97+638.82+593.11+612.5+641.04+575.68+649.38+594.07+631.32+611.94+630.42+631.58+573.78+650.36+573.2+871.56-F10</f>
        <v>9986.5500000000011</v>
      </c>
      <c r="H10" s="2965">
        <f>39.88+21.63*2+21.47*2+39.75+21.47+58.92+23.29+26.95+45.27+21.47+12.73+21.47*2+50.17</f>
        <v>469.03999999999996</v>
      </c>
      <c r="I10" s="2965">
        <f>2678.41+3387.73+2872.93+2422.46+2304.3-(39.88+21.63*2+21.47*2)</f>
        <v>13539.749999999998</v>
      </c>
      <c r="J10" s="2966" t="s">
        <v>3081</v>
      </c>
      <c r="K10" s="2966">
        <f>12+5+13+20+13</f>
        <v>63</v>
      </c>
      <c r="L10" s="2966">
        <f>48.82*10+46*38+35.22+39.5+37.4+50.92+45.72*2+45.84+44.67+69.6*3+45.03+112.86+47.41+42.08</f>
        <v>3037.3700000000003</v>
      </c>
      <c r="M10" s="2968">
        <f>F10+G10+H10+I10</f>
        <v>24445</v>
      </c>
    </row>
    <row r="11" spans="1:15">
      <c r="J11" s="2966" t="s">
        <v>3082</v>
      </c>
      <c r="K11" s="2966">
        <f>17+25+17+10+12</f>
        <v>81</v>
      </c>
      <c r="L11" s="2966">
        <f>I10-L10</f>
        <v>10502.379999999997</v>
      </c>
    </row>
    <row r="12" spans="1:15">
      <c r="D12" s="2965">
        <f>D3+D4+D5+D6+D7+D8+D9</f>
        <v>49320.17</v>
      </c>
      <c r="E12" s="2965">
        <f>E3</f>
        <v>481.19</v>
      </c>
      <c r="F12" s="2965">
        <f>F10</f>
        <v>449.65999999999997</v>
      </c>
      <c r="G12" s="2965">
        <f>G3+G4+G5+G6+G7+G8+G9+G10</f>
        <v>21293.83</v>
      </c>
      <c r="H12" s="2965">
        <f>H10</f>
        <v>469.03999999999996</v>
      </c>
      <c r="I12" s="2965">
        <f>I10</f>
        <v>13539.749999999998</v>
      </c>
      <c r="K12" s="2965">
        <f>492-K10</f>
        <v>429</v>
      </c>
    </row>
    <row r="15" spans="1:15">
      <c r="N15" s="2966" t="s">
        <v>3222</v>
      </c>
      <c r="O15" s="2966" t="s">
        <v>3224</v>
      </c>
    </row>
    <row r="16" spans="1:15">
      <c r="M16" s="2965">
        <v>1</v>
      </c>
      <c r="N16" s="2965">
        <v>107.65</v>
      </c>
      <c r="O16" s="2965">
        <v>48.82</v>
      </c>
    </row>
    <row r="17" spans="13:15">
      <c r="M17" s="2965">
        <v>2</v>
      </c>
      <c r="N17" s="2965">
        <v>107.65</v>
      </c>
      <c r="O17" s="2965">
        <v>35.22</v>
      </c>
    </row>
    <row r="18" spans="13:15">
      <c r="M18" s="2965">
        <v>3</v>
      </c>
      <c r="N18" s="2965">
        <v>166.08</v>
      </c>
      <c r="O18" s="2965">
        <v>39.5</v>
      </c>
    </row>
    <row r="19" spans="13:15">
      <c r="M19" s="2965">
        <v>4</v>
      </c>
      <c r="N19" s="2965">
        <v>107.65</v>
      </c>
      <c r="O19" s="2965">
        <v>37.4</v>
      </c>
    </row>
    <row r="20" spans="13:15">
      <c r="M20" s="2965">
        <v>5</v>
      </c>
      <c r="N20" s="2965">
        <v>166.08</v>
      </c>
      <c r="O20" s="2965">
        <v>50.92</v>
      </c>
    </row>
    <row r="21" spans="13:15">
      <c r="M21" s="2965">
        <v>6</v>
      </c>
      <c r="N21" s="2965">
        <v>107.65</v>
      </c>
      <c r="O21" s="2965">
        <v>48.82</v>
      </c>
    </row>
    <row r="22" spans="13:15">
      <c r="M22" s="2965">
        <v>7</v>
      </c>
      <c r="N22" s="2965">
        <v>107.65</v>
      </c>
      <c r="O22" s="2965">
        <v>45.72</v>
      </c>
    </row>
    <row r="23" spans="13:15">
      <c r="M23" s="2965">
        <v>8</v>
      </c>
      <c r="N23" s="2965">
        <v>107.65</v>
      </c>
      <c r="O23" s="2965">
        <v>45.72</v>
      </c>
    </row>
    <row r="24" spans="13:15">
      <c r="M24" s="2965">
        <v>9</v>
      </c>
      <c r="N24" s="2965">
        <v>107.65</v>
      </c>
      <c r="O24" s="2965">
        <v>45.84</v>
      </c>
    </row>
    <row r="25" spans="13:15">
      <c r="M25" s="2965">
        <v>10</v>
      </c>
      <c r="N25" s="2965">
        <v>166.08</v>
      </c>
      <c r="O25" s="2965">
        <v>44.67</v>
      </c>
    </row>
    <row r="26" spans="13:15">
      <c r="M26" s="2965">
        <v>11</v>
      </c>
      <c r="N26" s="2965">
        <v>107.65</v>
      </c>
      <c r="O26" s="2965">
        <v>46</v>
      </c>
    </row>
    <row r="27" spans="13:15">
      <c r="M27" s="2965">
        <v>12</v>
      </c>
      <c r="N27" s="2965">
        <v>107.65</v>
      </c>
      <c r="O27" s="2965">
        <v>69.599999999999994</v>
      </c>
    </row>
    <row r="28" spans="13:15">
      <c r="M28" s="2965">
        <v>13</v>
      </c>
      <c r="N28" s="2965">
        <v>107.65</v>
      </c>
      <c r="O28" s="2965">
        <v>46</v>
      </c>
    </row>
    <row r="29" spans="13:15">
      <c r="M29" s="2965">
        <v>14</v>
      </c>
      <c r="N29" s="2965">
        <v>166.08</v>
      </c>
      <c r="O29" s="2965">
        <v>48.82</v>
      </c>
    </row>
    <row r="30" spans="13:15">
      <c r="M30" s="2965">
        <v>15</v>
      </c>
      <c r="N30" s="2965">
        <v>166.08</v>
      </c>
      <c r="O30" s="2965">
        <v>48.82</v>
      </c>
    </row>
    <row r="31" spans="13:15">
      <c r="M31" s="2965">
        <v>16</v>
      </c>
      <c r="N31" s="2965">
        <v>106.64</v>
      </c>
      <c r="O31" s="2965">
        <v>48.82</v>
      </c>
    </row>
    <row r="32" spans="13:15">
      <c r="M32" s="2965">
        <v>17</v>
      </c>
      <c r="N32" s="2965">
        <v>106.64</v>
      </c>
      <c r="O32" s="2965">
        <v>48.82</v>
      </c>
    </row>
    <row r="33" spans="13:15">
      <c r="M33" s="2965">
        <v>18</v>
      </c>
      <c r="N33" s="2965">
        <v>106.64</v>
      </c>
      <c r="O33" s="2965">
        <v>48.82</v>
      </c>
    </row>
    <row r="34" spans="13:15">
      <c r="M34" s="2965">
        <v>19</v>
      </c>
      <c r="N34" s="2965">
        <v>106.64</v>
      </c>
      <c r="O34" s="2965">
        <v>46</v>
      </c>
    </row>
    <row r="35" spans="13:15">
      <c r="M35" s="2965">
        <v>20</v>
      </c>
      <c r="N35" s="2965">
        <v>106.64</v>
      </c>
      <c r="O35" s="2965">
        <v>46</v>
      </c>
    </row>
    <row r="36" spans="13:15">
      <c r="M36" s="2965">
        <v>21</v>
      </c>
      <c r="N36" s="2965">
        <v>106.64</v>
      </c>
      <c r="O36" s="2965">
        <v>48.82</v>
      </c>
    </row>
    <row r="37" spans="13:15">
      <c r="M37" s="2965">
        <v>22</v>
      </c>
      <c r="N37" s="2965">
        <v>166.08</v>
      </c>
      <c r="O37" s="2965">
        <v>48.82</v>
      </c>
    </row>
    <row r="38" spans="13:15">
      <c r="M38" s="2965">
        <v>23</v>
      </c>
      <c r="N38" s="2965">
        <v>166.08</v>
      </c>
      <c r="O38" s="2965">
        <v>48.82</v>
      </c>
    </row>
    <row r="39" spans="13:15">
      <c r="M39" s="2965">
        <v>24</v>
      </c>
      <c r="N39" s="2965">
        <v>107.65</v>
      </c>
      <c r="O39" s="2965">
        <v>69.599999999999994</v>
      </c>
    </row>
    <row r="40" spans="13:15">
      <c r="M40" s="2965">
        <v>25</v>
      </c>
      <c r="N40" s="2965">
        <v>166.08</v>
      </c>
      <c r="O40" s="2965">
        <v>46</v>
      </c>
    </row>
    <row r="41" spans="13:15">
      <c r="M41" s="2965">
        <v>26</v>
      </c>
      <c r="N41" s="2965">
        <v>107.65</v>
      </c>
      <c r="O41" s="2965">
        <v>46</v>
      </c>
    </row>
    <row r="42" spans="13:15">
      <c r="M42" s="2965">
        <v>27</v>
      </c>
      <c r="N42" s="2965">
        <v>107.65</v>
      </c>
      <c r="O42" s="2965">
        <v>69.599999999999994</v>
      </c>
    </row>
    <row r="43" spans="13:15">
      <c r="M43" s="2965">
        <v>28</v>
      </c>
      <c r="N43" s="2965">
        <v>107.65</v>
      </c>
      <c r="O43" s="2965">
        <v>46</v>
      </c>
    </row>
    <row r="44" spans="13:15">
      <c r="M44" s="2965">
        <v>29</v>
      </c>
      <c r="N44" s="2965">
        <v>107.65</v>
      </c>
      <c r="O44" s="2965">
        <v>45.03</v>
      </c>
    </row>
    <row r="45" spans="13:15">
      <c r="M45" s="2965">
        <v>30</v>
      </c>
      <c r="N45" s="2965">
        <v>166.08</v>
      </c>
      <c r="O45" s="2965">
        <v>46</v>
      </c>
    </row>
    <row r="46" spans="13:15">
      <c r="M46" s="2965">
        <v>31</v>
      </c>
      <c r="N46" s="2965">
        <v>107.65</v>
      </c>
      <c r="O46" s="2965">
        <v>46</v>
      </c>
    </row>
    <row r="47" spans="13:15">
      <c r="M47" s="2965">
        <v>32</v>
      </c>
      <c r="N47" s="2965">
        <v>166.08</v>
      </c>
      <c r="O47" s="2965">
        <v>46</v>
      </c>
    </row>
    <row r="48" spans="13:15">
      <c r="M48" s="2965">
        <v>33</v>
      </c>
      <c r="N48" s="2965">
        <v>166.08</v>
      </c>
      <c r="O48" s="2965">
        <v>46</v>
      </c>
    </row>
    <row r="49" spans="13:15">
      <c r="M49" s="2965">
        <v>34</v>
      </c>
      <c r="N49" s="2965">
        <v>107.65</v>
      </c>
      <c r="O49" s="2965">
        <v>46</v>
      </c>
    </row>
    <row r="50" spans="13:15">
      <c r="M50" s="2965">
        <v>35</v>
      </c>
      <c r="N50" s="2965">
        <v>105.67</v>
      </c>
      <c r="O50" s="2965">
        <v>46</v>
      </c>
    </row>
    <row r="51" spans="13:15">
      <c r="M51" s="2965">
        <v>36</v>
      </c>
      <c r="N51" s="2965">
        <v>106.64</v>
      </c>
      <c r="O51" s="2965">
        <v>46</v>
      </c>
    </row>
    <row r="52" spans="13:15">
      <c r="M52" s="2965">
        <v>37</v>
      </c>
      <c r="N52" s="2965">
        <v>106.64</v>
      </c>
      <c r="O52" s="2965">
        <v>46</v>
      </c>
    </row>
    <row r="53" spans="13:15">
      <c r="M53" s="2965">
        <v>38</v>
      </c>
      <c r="N53" s="2965">
        <v>105.55</v>
      </c>
      <c r="O53" s="2965">
        <v>46</v>
      </c>
    </row>
    <row r="54" spans="13:15">
      <c r="M54" s="2965">
        <v>39</v>
      </c>
      <c r="N54" s="2965">
        <v>105.55</v>
      </c>
      <c r="O54" s="2965">
        <v>46</v>
      </c>
    </row>
    <row r="55" spans="13:15">
      <c r="M55" s="2965">
        <v>40</v>
      </c>
      <c r="N55" s="2965">
        <v>166.08</v>
      </c>
      <c r="O55" s="2965">
        <v>46</v>
      </c>
    </row>
    <row r="56" spans="13:15">
      <c r="M56" s="2965">
        <v>41</v>
      </c>
      <c r="N56" s="2965">
        <v>166.08</v>
      </c>
      <c r="O56" s="2965">
        <v>46</v>
      </c>
    </row>
    <row r="57" spans="13:15">
      <c r="M57" s="2965">
        <v>42</v>
      </c>
      <c r="N57" s="2965">
        <v>107.65</v>
      </c>
      <c r="O57" s="2965">
        <v>46</v>
      </c>
    </row>
    <row r="58" spans="13:15">
      <c r="M58" s="2965">
        <v>43</v>
      </c>
      <c r="N58" s="2965">
        <v>107.65</v>
      </c>
      <c r="O58" s="2965">
        <v>46</v>
      </c>
    </row>
    <row r="59" spans="13:15">
      <c r="M59" s="2965">
        <v>44</v>
      </c>
      <c r="N59" s="2965">
        <v>166.08</v>
      </c>
      <c r="O59" s="2965">
        <v>46</v>
      </c>
    </row>
    <row r="60" spans="13:15">
      <c r="M60" s="2965">
        <v>45</v>
      </c>
      <c r="N60" s="2965">
        <v>166.08</v>
      </c>
      <c r="O60" s="2965">
        <v>46</v>
      </c>
    </row>
    <row r="61" spans="13:15">
      <c r="M61" s="2965">
        <v>46</v>
      </c>
      <c r="N61" s="2965">
        <v>111.85</v>
      </c>
      <c r="O61" s="2965">
        <v>46</v>
      </c>
    </row>
    <row r="62" spans="13:15">
      <c r="M62" s="2965">
        <v>47</v>
      </c>
      <c r="N62" s="2965">
        <v>111.85</v>
      </c>
      <c r="O62" s="2965">
        <v>46</v>
      </c>
    </row>
    <row r="63" spans="13:15">
      <c r="M63" s="2965">
        <v>48</v>
      </c>
      <c r="N63" s="2965">
        <v>111.85</v>
      </c>
      <c r="O63" s="2965">
        <v>46</v>
      </c>
    </row>
    <row r="64" spans="13:15">
      <c r="M64" s="2965">
        <v>49</v>
      </c>
      <c r="N64" s="2965">
        <v>112.98</v>
      </c>
      <c r="O64" s="2965">
        <v>46</v>
      </c>
    </row>
    <row r="65" spans="13:15">
      <c r="M65" s="2965">
        <v>50</v>
      </c>
      <c r="N65" s="2965">
        <v>166.08</v>
      </c>
      <c r="O65" s="2965">
        <v>112.86</v>
      </c>
    </row>
    <row r="66" spans="13:15">
      <c r="M66" s="2965">
        <v>51</v>
      </c>
      <c r="N66" s="2965">
        <v>166.08</v>
      </c>
      <c r="O66" s="2965">
        <v>46</v>
      </c>
    </row>
    <row r="67" spans="13:15">
      <c r="M67" s="2965">
        <v>52</v>
      </c>
      <c r="N67" s="2965">
        <v>111.85</v>
      </c>
      <c r="O67" s="2965">
        <v>47.41</v>
      </c>
    </row>
    <row r="68" spans="13:15">
      <c r="M68" s="2965">
        <v>53</v>
      </c>
      <c r="N68" s="2965">
        <v>111.85</v>
      </c>
      <c r="O68" s="2965">
        <v>46</v>
      </c>
    </row>
    <row r="69" spans="13:15">
      <c r="M69" s="2965">
        <v>54</v>
      </c>
      <c r="N69" s="2965">
        <v>111.85</v>
      </c>
      <c r="O69" s="2965">
        <v>46</v>
      </c>
    </row>
    <row r="70" spans="13:15">
      <c r="M70" s="2965">
        <v>55</v>
      </c>
      <c r="N70" s="2965">
        <v>111.85</v>
      </c>
      <c r="O70" s="2965">
        <v>46</v>
      </c>
    </row>
    <row r="71" spans="13:15">
      <c r="M71" s="2965">
        <v>56</v>
      </c>
      <c r="N71" s="2965">
        <v>106.64</v>
      </c>
      <c r="O71" s="2965">
        <v>46</v>
      </c>
    </row>
    <row r="72" spans="13:15">
      <c r="M72" s="2965">
        <v>57</v>
      </c>
      <c r="N72" s="2965">
        <v>111.85</v>
      </c>
      <c r="O72" s="2965">
        <v>46</v>
      </c>
    </row>
    <row r="73" spans="13:15">
      <c r="M73" s="2965">
        <v>58</v>
      </c>
      <c r="N73" s="2965">
        <v>164.95</v>
      </c>
      <c r="O73" s="2965">
        <v>46</v>
      </c>
    </row>
    <row r="74" spans="13:15">
      <c r="M74" s="2965">
        <v>59</v>
      </c>
      <c r="N74" s="2965">
        <v>166.08</v>
      </c>
      <c r="O74" s="2965">
        <v>46</v>
      </c>
    </row>
    <row r="75" spans="13:15">
      <c r="M75" s="2965">
        <v>60</v>
      </c>
      <c r="N75" s="2965">
        <v>104.7</v>
      </c>
      <c r="O75" s="2965">
        <v>46</v>
      </c>
    </row>
    <row r="76" spans="13:15">
      <c r="M76" s="2965">
        <v>61</v>
      </c>
      <c r="N76" s="2965">
        <v>164.95</v>
      </c>
      <c r="O76" s="2965">
        <v>42.08</v>
      </c>
    </row>
    <row r="77" spans="13:15">
      <c r="M77" s="2965">
        <v>62</v>
      </c>
      <c r="N77" s="2965">
        <v>111.85</v>
      </c>
      <c r="O77" s="2965">
        <v>46</v>
      </c>
    </row>
    <row r="78" spans="13:15">
      <c r="M78" s="3006">
        <v>63</v>
      </c>
      <c r="N78" s="2965">
        <v>111.85</v>
      </c>
      <c r="O78" s="2965">
        <v>46</v>
      </c>
    </row>
    <row r="79" spans="13:15">
      <c r="M79" s="2965">
        <v>64</v>
      </c>
      <c r="N79" s="2965">
        <v>166.08</v>
      </c>
    </row>
    <row r="80" spans="13:15">
      <c r="M80" s="2965">
        <v>65</v>
      </c>
      <c r="N80" s="2965">
        <v>166.08</v>
      </c>
    </row>
    <row r="81" spans="13:14">
      <c r="M81" s="2965">
        <v>66</v>
      </c>
      <c r="N81" s="2965">
        <v>166.08</v>
      </c>
    </row>
    <row r="82" spans="13:14">
      <c r="M82" s="2965">
        <v>67</v>
      </c>
      <c r="N82" s="2965">
        <v>166.08</v>
      </c>
    </row>
    <row r="83" spans="13:14">
      <c r="M83" s="2965">
        <v>68</v>
      </c>
      <c r="N83" s="2965">
        <v>111.85</v>
      </c>
    </row>
    <row r="84" spans="13:14">
      <c r="M84" s="2965">
        <v>69</v>
      </c>
      <c r="N84" s="2965">
        <v>166.08</v>
      </c>
    </row>
    <row r="85" spans="13:14">
      <c r="M85" s="2965">
        <v>70</v>
      </c>
      <c r="N85" s="2965">
        <v>167.57</v>
      </c>
    </row>
    <row r="86" spans="13:14">
      <c r="M86" s="2965">
        <v>71</v>
      </c>
      <c r="N86" s="2965">
        <v>111.85</v>
      </c>
    </row>
    <row r="87" spans="13:14">
      <c r="M87" s="2965">
        <v>72</v>
      </c>
      <c r="N87" s="2965">
        <v>166.08</v>
      </c>
    </row>
    <row r="88" spans="13:14">
      <c r="M88" s="2965">
        <v>73</v>
      </c>
      <c r="N88" s="2965">
        <v>111.85</v>
      </c>
    </row>
    <row r="89" spans="13:14">
      <c r="M89" s="2965">
        <v>74</v>
      </c>
      <c r="N89" s="2965">
        <v>107.65</v>
      </c>
    </row>
    <row r="90" spans="13:14">
      <c r="M90" s="2965">
        <v>75</v>
      </c>
      <c r="N90" s="2965">
        <v>107.65</v>
      </c>
    </row>
    <row r="91" spans="13:14">
      <c r="M91" s="2965">
        <v>76</v>
      </c>
      <c r="N91" s="2965">
        <v>107.65</v>
      </c>
    </row>
    <row r="92" spans="13:14">
      <c r="M92" s="2965">
        <v>77</v>
      </c>
      <c r="N92" s="2965">
        <v>107.65</v>
      </c>
    </row>
    <row r="93" spans="13:14">
      <c r="M93" s="2965">
        <v>78</v>
      </c>
      <c r="N93" s="2965">
        <v>159.78</v>
      </c>
    </row>
    <row r="94" spans="13:14">
      <c r="M94" s="2965">
        <v>79</v>
      </c>
      <c r="N94" s="2965">
        <v>107.65</v>
      </c>
    </row>
    <row r="95" spans="13:14">
      <c r="M95" s="2965">
        <v>80</v>
      </c>
      <c r="N95" s="2965">
        <v>167.57</v>
      </c>
    </row>
    <row r="96" spans="13:14">
      <c r="M96" s="2965">
        <v>81</v>
      </c>
      <c r="N96" s="2965">
        <v>159.78</v>
      </c>
    </row>
    <row r="97" spans="14:16">
      <c r="N97" s="2965">
        <f>SUM(N16:N96)</f>
        <v>10502.380000000003</v>
      </c>
      <c r="O97" s="2965">
        <f>SUM(O16:O96)</f>
        <v>3037.37</v>
      </c>
      <c r="P97" s="2965">
        <f>N97+O97</f>
        <v>13539.750000000004</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R30" sqref="R30"/>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1933</v>
      </c>
      <c r="B1" s="1392"/>
      <c r="C1" s="1392"/>
      <c r="D1" s="1392"/>
      <c r="E1" s="1392"/>
      <c r="F1" s="1392"/>
      <c r="G1" s="1392"/>
      <c r="H1" s="1392"/>
      <c r="I1" s="1392"/>
      <c r="J1" s="1392"/>
      <c r="K1" s="1392"/>
      <c r="L1" s="1392"/>
      <c r="M1" s="1392"/>
      <c r="N1" s="1392"/>
      <c r="O1" s="1392"/>
      <c r="P1" s="1392"/>
    </row>
    <row r="2" spans="1:16" ht="14.4">
      <c r="A2" s="3111" t="s">
        <v>1934</v>
      </c>
      <c r="B2" s="3111"/>
      <c r="C2" s="3111"/>
      <c r="D2" s="967" t="s">
        <v>1910</v>
      </c>
      <c r="E2" s="2217" t="s">
        <v>1911</v>
      </c>
      <c r="F2" s="1392"/>
      <c r="G2" s="2218"/>
      <c r="H2" s="2219"/>
      <c r="I2" s="2220" t="s">
        <v>1935</v>
      </c>
      <c r="J2" s="1392"/>
      <c r="K2" s="1392"/>
      <c r="L2" s="1392"/>
      <c r="M2" s="1392"/>
      <c r="N2" s="1427"/>
      <c r="O2" s="1392"/>
      <c r="P2" s="1392"/>
    </row>
    <row r="3" spans="1:16" ht="15" thickBot="1">
      <c r="A3" s="3112" t="s">
        <v>1908</v>
      </c>
      <c r="B3" s="3112"/>
      <c r="C3" s="3112"/>
      <c r="D3" s="46">
        <f>'数据-基础表'!AY6</f>
        <v>23247.07</v>
      </c>
      <c r="E3" s="46">
        <f>'数据-基础表'!AZ5</f>
        <v>85553.64</v>
      </c>
      <c r="F3" s="1392"/>
      <c r="G3" s="1399"/>
      <c r="H3" s="1247" t="s">
        <v>1909</v>
      </c>
      <c r="I3" s="55">
        <f>ROUND('数据-基础表'!B3/'数据-基础表'!A3,2)</f>
        <v>3.68</v>
      </c>
      <c r="J3" s="1392"/>
      <c r="K3" s="1392"/>
      <c r="L3" s="1392"/>
      <c r="M3" s="1392"/>
      <c r="N3" s="1427"/>
      <c r="O3" s="1392"/>
      <c r="P3" s="1392"/>
    </row>
    <row r="4" spans="1:16" ht="14.4">
      <c r="A4" s="3113"/>
      <c r="B4" s="3114"/>
      <c r="C4" s="3115"/>
      <c r="D4" s="2221" t="s">
        <v>1910</v>
      </c>
      <c r="E4" s="2222" t="s">
        <v>1911</v>
      </c>
      <c r="F4" s="1392"/>
      <c r="G4" s="2223" t="s">
        <v>1936</v>
      </c>
      <c r="H4" s="1247" t="s">
        <v>1916</v>
      </c>
      <c r="I4" s="55">
        <f>ROUND(SUMIF('数据-基础表'!I9:AS9,"地上",'数据-基础表'!I5:AS5)/'数据-基础表'!A3,2)</f>
        <v>2.14</v>
      </c>
      <c r="J4" s="1392"/>
      <c r="K4" s="1392"/>
      <c r="L4" s="1392"/>
      <c r="M4" s="1392"/>
      <c r="N4" s="1427"/>
      <c r="O4" s="1392"/>
      <c r="P4" s="1392"/>
    </row>
    <row r="5" spans="1:16" ht="14.4">
      <c r="A5" s="47" t="s">
        <v>1912</v>
      </c>
      <c r="B5" s="3116" t="s">
        <v>1913</v>
      </c>
      <c r="C5" s="3116"/>
      <c r="D5" s="48">
        <f>ROUND($D$3*E5/$E$3,2)</f>
        <v>0</v>
      </c>
      <c r="E5" s="49">
        <f>SUMIF('数据-基础表'!$11:$11,"住宅",'数据-基础表'!$5:$5)</f>
        <v>0</v>
      </c>
      <c r="F5" s="1392"/>
      <c r="G5" s="1399"/>
      <c r="H5" s="1247" t="s">
        <v>1909</v>
      </c>
      <c r="I5" s="55">
        <f>ROUND(E31/D31,2)</f>
        <v>3.68</v>
      </c>
      <c r="J5" s="1392"/>
      <c r="K5" s="1392"/>
      <c r="L5" s="1392"/>
      <c r="M5" s="1392"/>
      <c r="N5" s="1392"/>
      <c r="O5" s="1392"/>
      <c r="P5" s="1392"/>
    </row>
    <row r="6" spans="1:16" ht="15" thickBot="1">
      <c r="A6" s="2224"/>
      <c r="B6" s="3116" t="s">
        <v>1914</v>
      </c>
      <c r="C6" s="3116"/>
      <c r="D6" s="48">
        <f>ROUND($D$3*E6/$E$3,2)</f>
        <v>23247.07</v>
      </c>
      <c r="E6" s="49">
        <f>E3-E5</f>
        <v>85553.64</v>
      </c>
      <c r="F6" s="1392"/>
      <c r="G6" s="2225" t="s">
        <v>1915</v>
      </c>
      <c r="H6" s="1399" t="s">
        <v>1916</v>
      </c>
      <c r="I6" s="939">
        <f>ROUND(F31/D31,2)</f>
        <v>2.14</v>
      </c>
      <c r="J6" s="1392"/>
      <c r="K6" s="1392"/>
      <c r="L6" s="1392"/>
      <c r="M6" s="1392"/>
      <c r="N6" s="1392"/>
      <c r="O6" s="1392"/>
      <c r="P6" s="1392"/>
    </row>
    <row r="7" spans="1:16" ht="14.4">
      <c r="A7" s="3108"/>
      <c r="B7" s="3109"/>
      <c r="C7" s="3110"/>
      <c r="D7" s="2221" t="s">
        <v>1910</v>
      </c>
      <c r="E7" s="2226" t="s">
        <v>1917</v>
      </c>
      <c r="F7" s="1392"/>
      <c r="G7" s="2218" t="s">
        <v>1918</v>
      </c>
      <c r="H7" s="64"/>
      <c r="I7" s="420"/>
      <c r="J7" s="1392"/>
      <c r="K7" s="1392"/>
      <c r="L7" s="1392"/>
      <c r="M7" s="1392"/>
      <c r="N7" s="1392"/>
      <c r="O7" s="1392"/>
      <c r="P7" s="1392"/>
    </row>
    <row r="8" spans="1:16" ht="14.4">
      <c r="A8" s="47" t="s">
        <v>1919</v>
      </c>
      <c r="B8" s="50" t="s">
        <v>1920</v>
      </c>
      <c r="C8" s="48" t="s">
        <v>1921</v>
      </c>
      <c r="D8" s="48">
        <f t="shared" ref="D8:D15" si="0">ROUND($D$3*E8/$E$3,2)</f>
        <v>13532.28</v>
      </c>
      <c r="E8" s="51">
        <f>SUMIF('数据-基础表'!BB10:BK10,"地上",'数据-基础表'!BB5:BK5)</f>
        <v>49801.36</v>
      </c>
      <c r="F8" s="1392"/>
      <c r="G8" s="2227"/>
      <c r="H8" s="2227"/>
      <c r="I8" s="1392"/>
      <c r="J8" s="1392"/>
      <c r="K8" s="1392"/>
      <c r="L8" s="1392"/>
      <c r="M8" s="1392"/>
      <c r="N8" s="1392"/>
      <c r="O8" s="1392"/>
      <c r="P8" s="1392"/>
    </row>
    <row r="9" spans="1:16" ht="14.4">
      <c r="A9" s="2228"/>
      <c r="B9" s="2229"/>
      <c r="C9" s="48" t="s">
        <v>1922</v>
      </c>
      <c r="D9" s="48">
        <f t="shared" si="0"/>
        <v>0</v>
      </c>
      <c r="E9" s="52">
        <v>0</v>
      </c>
      <c r="F9" s="1392"/>
      <c r="G9" s="2227"/>
      <c r="H9" s="2227"/>
      <c r="I9" s="1392"/>
      <c r="J9" s="1392"/>
      <c r="K9" s="1392"/>
      <c r="L9" s="1392"/>
      <c r="M9" s="1392"/>
      <c r="N9" s="1392"/>
      <c r="O9" s="1392"/>
      <c r="P9" s="1392"/>
    </row>
    <row r="10" spans="1:16" ht="14.4">
      <c r="A10" s="2228"/>
      <c r="B10" s="2229"/>
      <c r="C10" s="48" t="s">
        <v>1931</v>
      </c>
      <c r="D10" s="48">
        <f t="shared" si="0"/>
        <v>122.18</v>
      </c>
      <c r="E10" s="51">
        <f>SUMPRODUCT(('数据-基础表'!BB10:BK10="地下")*('数据-基础表'!BB11:BK11="商业")*('数据-基础表'!BB5:BK5))</f>
        <v>449.65999999999997</v>
      </c>
      <c r="F10" s="1392"/>
      <c r="G10" s="2227"/>
      <c r="H10" s="2227"/>
      <c r="I10" s="1392"/>
      <c r="J10" s="1392"/>
      <c r="K10" s="1392"/>
      <c r="L10" s="1392"/>
      <c r="M10" s="1392"/>
      <c r="N10" s="1392"/>
      <c r="O10" s="1392"/>
      <c r="P10" s="1392"/>
    </row>
    <row r="11" spans="1:16" ht="14.4">
      <c r="A11" s="2228"/>
      <c r="B11" s="2229"/>
      <c r="C11" s="48" t="s">
        <v>1923</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ht="14.4">
      <c r="A12" s="2228"/>
      <c r="B12" s="2229"/>
      <c r="C12" s="48" t="s">
        <v>1924</v>
      </c>
      <c r="D12" s="48">
        <f t="shared" si="0"/>
        <v>5786.07</v>
      </c>
      <c r="E12" s="51">
        <f>SUMPRODUCT(('数据-基础表'!BB10:BK10="地下")*('数据-基础表'!BB11:BK11="仓储")*('数据-基础表'!BB5:BK5))</f>
        <v>21293.83</v>
      </c>
      <c r="F12" s="1392"/>
      <c r="G12" s="2227"/>
      <c r="H12" s="2227"/>
      <c r="I12" s="1392"/>
      <c r="J12" s="1392"/>
      <c r="K12" s="1392"/>
      <c r="L12" s="1392"/>
      <c r="M12" s="1392"/>
      <c r="N12" s="1392"/>
      <c r="O12" s="1392"/>
      <c r="P12" s="1392"/>
    </row>
    <row r="13" spans="1:16" ht="14.4">
      <c r="A13" s="2228"/>
      <c r="B13" s="2229"/>
      <c r="C13" s="48" t="s">
        <v>1925</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ht="14.4">
      <c r="A14" s="2228"/>
      <c r="B14" s="2229"/>
      <c r="C14" s="48" t="s">
        <v>1937</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1932</v>
      </c>
      <c r="D15" s="48">
        <f t="shared" si="0"/>
        <v>3679.09</v>
      </c>
      <c r="E15" s="51">
        <f>SUMPRODUCT(('数据-基础表'!BB10:BK10="地下")*('数据-基础表'!BB11:BK11="车库—办公")*('数据-基础表'!BB5:BK5))</f>
        <v>13539.749999999998</v>
      </c>
      <c r="F15" s="1392"/>
      <c r="G15" s="2227"/>
      <c r="H15" s="2227"/>
      <c r="I15" s="1392"/>
      <c r="J15" s="1392"/>
      <c r="K15" s="1392"/>
      <c r="L15" s="1392"/>
      <c r="M15" s="1392"/>
      <c r="N15" s="1392"/>
      <c r="O15" s="1392"/>
      <c r="P15" s="1392"/>
    </row>
    <row r="16" spans="1:16" ht="15" thickBot="1">
      <c r="A16" s="2224"/>
      <c r="B16" s="2229"/>
      <c r="C16" s="50" t="s">
        <v>1926</v>
      </c>
      <c r="D16" s="50">
        <f>SUM(D8:D15)</f>
        <v>23119.62</v>
      </c>
      <c r="E16" s="53">
        <f>SUM(E8:E15)</f>
        <v>85084.6</v>
      </c>
      <c r="F16" s="1392"/>
      <c r="G16" s="2227"/>
      <c r="H16" s="2230" t="s">
        <v>1938</v>
      </c>
      <c r="I16" s="2231"/>
      <c r="J16" s="1392"/>
      <c r="K16" s="3105" t="s">
        <v>1938</v>
      </c>
      <c r="L16" s="3106"/>
      <c r="M16" s="3106"/>
      <c r="N16" s="3106"/>
      <c r="O16" s="3106"/>
      <c r="P16" s="3107"/>
    </row>
    <row r="17" spans="1:19" ht="14.4">
      <c r="A17" s="2232" t="s">
        <v>1939</v>
      </c>
      <c r="B17" s="2233" t="s">
        <v>1940</v>
      </c>
      <c r="C17" s="2234" t="s">
        <v>1941</v>
      </c>
      <c r="D17" s="2235" t="s">
        <v>1929</v>
      </c>
      <c r="E17" s="2236" t="s">
        <v>1930</v>
      </c>
      <c r="F17" s="2237"/>
      <c r="G17" s="2238"/>
      <c r="H17" s="2239" t="s">
        <v>1942</v>
      </c>
      <c r="I17" s="2240" t="s">
        <v>1927</v>
      </c>
      <c r="J17" s="1392"/>
      <c r="K17" s="3102" t="s">
        <v>1943</v>
      </c>
      <c r="L17" s="3103"/>
      <c r="M17" s="3104"/>
      <c r="N17" s="3102" t="s">
        <v>1944</v>
      </c>
      <c r="O17" s="3103"/>
      <c r="P17" s="3104"/>
      <c r="R17" s="2218" t="s">
        <v>1945</v>
      </c>
      <c r="S17" s="64"/>
    </row>
    <row r="18" spans="1:19" ht="14.4">
      <c r="A18" s="2228"/>
      <c r="B18" s="2241"/>
      <c r="C18" s="2242"/>
      <c r="D18" s="2243"/>
      <c r="E18" s="2244" t="s">
        <v>1946</v>
      </c>
      <c r="F18" s="2245" t="s">
        <v>1947</v>
      </c>
      <c r="G18" s="2246" t="s">
        <v>1948</v>
      </c>
      <c r="H18" s="1262" t="s">
        <v>1949</v>
      </c>
      <c r="I18" s="2247" t="s">
        <v>1950</v>
      </c>
      <c r="J18" s="1392"/>
      <c r="K18" s="1262" t="s">
        <v>1951</v>
      </c>
      <c r="L18" s="2248" t="s">
        <v>1952</v>
      </c>
      <c r="M18" s="1046" t="s">
        <v>1953</v>
      </c>
      <c r="N18" s="1262" t="s">
        <v>1951</v>
      </c>
      <c r="O18" s="2248" t="s">
        <v>1952</v>
      </c>
      <c r="P18" s="1046" t="s">
        <v>1953</v>
      </c>
      <c r="R18" s="1247" t="s">
        <v>1954</v>
      </c>
      <c r="S18" s="1247" t="s">
        <v>1955</v>
      </c>
    </row>
    <row r="19" spans="1:19" ht="14.4">
      <c r="A19" s="2249"/>
      <c r="B19" s="50" t="s">
        <v>1928</v>
      </c>
      <c r="C19" s="2969" t="s">
        <v>3096</v>
      </c>
      <c r="D19" s="48">
        <f>ROUND($D$3*E19/$E$3,2)</f>
        <v>13401.53</v>
      </c>
      <c r="E19" s="56">
        <f t="shared" ref="E19:E26" si="1">SUM(F19:G19)</f>
        <v>49320.17</v>
      </c>
      <c r="F19" s="57">
        <f>'数据-基础表'!I13</f>
        <v>49320.17</v>
      </c>
      <c r="G19" s="58"/>
      <c r="H19" s="723">
        <f>ROUND($D$3*I19/$E$3,2)</f>
        <v>73.88</v>
      </c>
      <c r="I19" s="51">
        <f t="shared" ref="I19:I26" si="2">IF($I$17="自定义",P19,M19)</f>
        <v>271.88</v>
      </c>
      <c r="J19" s="1392"/>
      <c r="K19" s="1391">
        <f t="shared" ref="K19:K26" si="3">ROUND(E$28*E19/E$27,2)</f>
        <v>271.88</v>
      </c>
      <c r="L19" s="1247">
        <f t="shared" ref="L19:L26" si="4">ROUND(IF(COUNTIF(C19,"*住宅*")&gt;0,E$29*E19/E$32,0),2)</f>
        <v>0</v>
      </c>
      <c r="M19" s="1403">
        <f>K19+L19</f>
        <v>271.88</v>
      </c>
      <c r="N19" s="2250"/>
      <c r="O19" s="2251"/>
      <c r="P19" s="1403">
        <f>N19+O19</f>
        <v>0</v>
      </c>
      <c r="R19" s="1247">
        <f t="shared" ref="R19:S26" si="5">D19+H19</f>
        <v>13475.41</v>
      </c>
      <c r="S19" s="1248">
        <f t="shared" si="5"/>
        <v>49592.049999999996</v>
      </c>
    </row>
    <row r="20" spans="1:19" ht="14.4">
      <c r="A20" s="2252"/>
      <c r="B20" s="50" t="s">
        <v>1956</v>
      </c>
      <c r="C20" s="2969" t="s">
        <v>3097</v>
      </c>
      <c r="D20" s="48">
        <f t="shared" ref="D20:D26" si="6">ROUND($D$3*E20/$E$3,2)</f>
        <v>252.94</v>
      </c>
      <c r="E20" s="56">
        <f t="shared" si="1"/>
        <v>930.84999999999991</v>
      </c>
      <c r="F20" s="57">
        <f>'数据-基础表'!K13</f>
        <v>481.19</v>
      </c>
      <c r="G20" s="58">
        <f>'数据-基础表'!M13</f>
        <v>449.65999999999997</v>
      </c>
      <c r="H20" s="723">
        <f t="shared" ref="H20:H26" si="7">ROUND($D$3*I20/$E$3,2)</f>
        <v>1.39</v>
      </c>
      <c r="I20" s="51">
        <f t="shared" si="2"/>
        <v>5.13</v>
      </c>
      <c r="J20" s="1392"/>
      <c r="K20" s="1391">
        <f t="shared" si="3"/>
        <v>5.13</v>
      </c>
      <c r="L20" s="1247">
        <f t="shared" si="4"/>
        <v>0</v>
      </c>
      <c r="M20" s="1403">
        <f t="shared" ref="M20:M26" si="8">K20+L20</f>
        <v>5.13</v>
      </c>
      <c r="N20" s="2250"/>
      <c r="O20" s="2251"/>
      <c r="P20" s="1403">
        <f t="shared" ref="P20:P26" si="9">N20+O20</f>
        <v>0</v>
      </c>
      <c r="R20" s="1247">
        <f t="shared" si="5"/>
        <v>254.32999999999998</v>
      </c>
      <c r="S20" s="1248">
        <f t="shared" si="5"/>
        <v>935.9799999999999</v>
      </c>
    </row>
    <row r="21" spans="1:19" ht="14.4">
      <c r="A21" s="2252"/>
      <c r="B21" s="50" t="s">
        <v>1956</v>
      </c>
      <c r="C21" s="2969" t="s">
        <v>3098</v>
      </c>
      <c r="D21" s="48">
        <f t="shared" si="6"/>
        <v>5786.07</v>
      </c>
      <c r="E21" s="56">
        <f t="shared" si="1"/>
        <v>21293.83</v>
      </c>
      <c r="F21" s="57"/>
      <c r="G21" s="58">
        <f>'数据-基础表'!O14</f>
        <v>21293.83</v>
      </c>
      <c r="H21" s="723">
        <f t="shared" si="7"/>
        <v>31.9</v>
      </c>
      <c r="I21" s="51">
        <f t="shared" si="2"/>
        <v>117.39</v>
      </c>
      <c r="J21" s="1392"/>
      <c r="K21" s="1391">
        <f t="shared" si="3"/>
        <v>117.39</v>
      </c>
      <c r="L21" s="1247">
        <f t="shared" si="4"/>
        <v>0</v>
      </c>
      <c r="M21" s="1403">
        <f t="shared" si="8"/>
        <v>117.39</v>
      </c>
      <c r="N21" s="2250"/>
      <c r="O21" s="2251"/>
      <c r="P21" s="1403">
        <f t="shared" si="9"/>
        <v>0</v>
      </c>
      <c r="R21" s="1247">
        <f t="shared" si="5"/>
        <v>5817.9699999999993</v>
      </c>
      <c r="S21" s="1248">
        <f t="shared" si="5"/>
        <v>21411.22</v>
      </c>
    </row>
    <row r="22" spans="1:19" ht="14.4">
      <c r="A22" s="2252"/>
      <c r="B22" s="50" t="s">
        <v>1956</v>
      </c>
      <c r="C22" s="2970" t="s">
        <v>3225</v>
      </c>
      <c r="D22" s="48">
        <f t="shared" si="6"/>
        <v>825.33</v>
      </c>
      <c r="E22" s="56">
        <f t="shared" si="1"/>
        <v>3037.37</v>
      </c>
      <c r="F22" s="61"/>
      <c r="G22" s="62">
        <f>面积表!O97</f>
        <v>3037.37</v>
      </c>
      <c r="H22" s="723">
        <f t="shared" si="7"/>
        <v>4.55</v>
      </c>
      <c r="I22" s="51">
        <f t="shared" si="2"/>
        <v>16.739999999999998</v>
      </c>
      <c r="J22" s="1392"/>
      <c r="K22" s="1391">
        <f t="shared" si="3"/>
        <v>16.739999999999998</v>
      </c>
      <c r="L22" s="1247">
        <f t="shared" si="4"/>
        <v>0</v>
      </c>
      <c r="M22" s="1403">
        <f t="shared" si="8"/>
        <v>16.739999999999998</v>
      </c>
      <c r="N22" s="2250"/>
      <c r="O22" s="2251"/>
      <c r="P22" s="1403">
        <f t="shared" si="9"/>
        <v>0</v>
      </c>
      <c r="R22" s="1247">
        <f t="shared" si="5"/>
        <v>829.88</v>
      </c>
      <c r="S22" s="1248">
        <f t="shared" si="5"/>
        <v>3054.1099999999997</v>
      </c>
    </row>
    <row r="23" spans="1:19" ht="14.4">
      <c r="A23" s="2252"/>
      <c r="B23" s="50" t="s">
        <v>1956</v>
      </c>
      <c r="C23" s="2970" t="s">
        <v>3226</v>
      </c>
      <c r="D23" s="48">
        <f>ROUND($D$3*E23/$E$3,2)</f>
        <v>2853.76</v>
      </c>
      <c r="E23" s="56">
        <f>SUM(F23:G23)</f>
        <v>10502.380000000003</v>
      </c>
      <c r="F23" s="61"/>
      <c r="G23" s="62">
        <f>面积表!N97</f>
        <v>10502.380000000003</v>
      </c>
      <c r="H23" s="723">
        <f>ROUND($D$3*I23/$E$3,2)</f>
        <v>15.73</v>
      </c>
      <c r="I23" s="51">
        <f t="shared" si="2"/>
        <v>57.9</v>
      </c>
      <c r="J23" s="1392"/>
      <c r="K23" s="1391">
        <f t="shared" si="3"/>
        <v>57.9</v>
      </c>
      <c r="L23" s="1247">
        <f t="shared" si="4"/>
        <v>0</v>
      </c>
      <c r="M23" s="1403">
        <f t="shared" si="8"/>
        <v>57.9</v>
      </c>
      <c r="N23" s="2250"/>
      <c r="O23" s="2251"/>
      <c r="P23" s="1403">
        <f t="shared" si="9"/>
        <v>0</v>
      </c>
      <c r="R23" s="1247">
        <f t="shared" si="5"/>
        <v>2869.4900000000002</v>
      </c>
      <c r="S23" s="1248">
        <f t="shared" si="5"/>
        <v>10560.280000000002</v>
      </c>
    </row>
    <row r="24" spans="1:19" ht="14.4">
      <c r="A24" s="225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ht="14.4">
      <c r="A25" s="225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ht="14.4">
      <c r="A26" s="225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8.2" thickBot="1">
      <c r="A27" s="2252"/>
      <c r="B27" s="48"/>
      <c r="C27" s="2255" t="s">
        <v>1957</v>
      </c>
      <c r="D27" s="1393">
        <f>SUM(D19:D26)</f>
        <v>23119.630000000005</v>
      </c>
      <c r="E27" s="1394">
        <f>IF(SUM(E19:E26)='数据-基础表'!BA5,SUM(E19:E26),IF(F27="地上面积有误","面积有误","地下面积有误"))</f>
        <v>85084.6</v>
      </c>
      <c r="F27" s="1393">
        <f>IF(SUM(F19:F26)=E8,SUM(F19:F26),"地上面积有误")</f>
        <v>49801.36</v>
      </c>
      <c r="G27" s="1395">
        <f>SUM(G19:G26)</f>
        <v>35283.240000000005</v>
      </c>
      <c r="H27" s="1396">
        <f>SUM(H19:H26)</f>
        <v>127.44999999999999</v>
      </c>
      <c r="I27" s="1397">
        <f>SUM(I19:I26)</f>
        <v>469.03999999999996</v>
      </c>
      <c r="J27" s="1392"/>
      <c r="K27" s="1400">
        <f>SUM(K19:K26)</f>
        <v>469.03999999999996</v>
      </c>
      <c r="L27" s="1401">
        <f>SUM(L19:L26)</f>
        <v>0</v>
      </c>
      <c r="M27" s="1404">
        <f>SUM(M19:M26)</f>
        <v>469.03999999999996</v>
      </c>
      <c r="N27" s="1400">
        <f t="shared" ref="N27:O27" si="10">SUM(N19:N26)</f>
        <v>0</v>
      </c>
      <c r="O27" s="1401">
        <f t="shared" si="10"/>
        <v>0</v>
      </c>
      <c r="P27" s="1402">
        <f>SUM(P19:P26)</f>
        <v>0</v>
      </c>
      <c r="R27" s="1249" t="str">
        <f>IF(SUM(R19:R26)=$D$3,SUM(R19:R26),SUM(R19:R26)&amp;"误差"&amp;ROUND(SUM(R19:R26)-$D$3,2))</f>
        <v>23247.08误差0.01</v>
      </c>
      <c r="S27" s="1247">
        <f>IF(SUM(S19:S26)=$E$3,SUM(S19:S26),SUM(S19:S26)&amp;"误差"&amp;ROUND(SUM(S19:S26)-E3,2))</f>
        <v>85553.64</v>
      </c>
    </row>
    <row r="28" spans="1:19" ht="14.4">
      <c r="A28" s="2252"/>
      <c r="B28" s="50" t="s">
        <v>1958</v>
      </c>
      <c r="C28" s="1259" t="s">
        <v>1959</v>
      </c>
      <c r="D28" s="48">
        <f>ROUND($D$3*E28/$E$3,2)</f>
        <v>127.45</v>
      </c>
      <c r="E28" s="56">
        <f>SUM(F28:G28)</f>
        <v>469.03999999999996</v>
      </c>
      <c r="F28" s="64">
        <f>'数据-基础表'!BQ5+'数据-基础表'!BS5</f>
        <v>0</v>
      </c>
      <c r="G28" s="65">
        <f>'数据-基础表'!BR5+'数据-基础表'!BT5</f>
        <v>469.03999999999996</v>
      </c>
      <c r="H28" s="1392"/>
      <c r="I28" s="1392"/>
      <c r="J28" s="1392"/>
      <c r="K28" s="1392"/>
      <c r="L28" s="1392"/>
      <c r="M28" s="1392"/>
      <c r="N28" s="1392"/>
      <c r="O28" s="1392"/>
      <c r="P28" s="1392"/>
    </row>
    <row r="29" spans="1:19" ht="14.4">
      <c r="A29" s="2252"/>
      <c r="B29" s="50" t="s">
        <v>1958</v>
      </c>
      <c r="C29" s="225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2"/>
      <c r="B30" s="50"/>
      <c r="C30" s="2257" t="s">
        <v>1957</v>
      </c>
      <c r="D30" s="1393">
        <f>SUM(D28:D29)</f>
        <v>127.45</v>
      </c>
      <c r="E30" s="1393">
        <f>SUM(E28:E29)</f>
        <v>469.03999999999996</v>
      </c>
      <c r="F30" s="1393">
        <f>SUM(F28:F29)</f>
        <v>0</v>
      </c>
      <c r="G30" s="1395">
        <f>SUM(G28:G29)</f>
        <v>469.03999999999996</v>
      </c>
      <c r="H30" s="1392"/>
      <c r="I30" s="1392"/>
      <c r="J30" s="1392"/>
      <c r="K30" s="1392"/>
      <c r="L30" s="1392"/>
      <c r="M30" s="1392"/>
      <c r="N30" s="1392"/>
      <c r="O30" s="1392"/>
      <c r="P30" s="1392"/>
    </row>
    <row r="31" spans="1:19" ht="15" thickBot="1">
      <c r="A31" s="2258"/>
      <c r="B31" s="2259"/>
      <c r="C31" s="1007" t="s">
        <v>1961</v>
      </c>
      <c r="D31" s="729">
        <f>D27+D30</f>
        <v>23247.080000000005</v>
      </c>
      <c r="E31" s="729">
        <f>E27+E30</f>
        <v>85553.64</v>
      </c>
      <c r="F31" s="730">
        <f>F27+F30</f>
        <v>49801.36</v>
      </c>
      <c r="G31" s="731">
        <f>G27+G30</f>
        <v>35752.280000000006</v>
      </c>
      <c r="H31" s="1392"/>
      <c r="I31" s="1392"/>
      <c r="J31" s="1392"/>
      <c r="K31" s="1392"/>
      <c r="L31" s="1392"/>
      <c r="M31" s="1392"/>
      <c r="N31" s="1392"/>
      <c r="O31" s="1392"/>
      <c r="P31" s="1392"/>
    </row>
    <row r="32" spans="1:19" ht="14.4">
      <c r="A32" s="2223"/>
      <c r="B32" s="2223" t="s">
        <v>1962</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P22" sqref="P22"/>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9"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7.33203125" style="2264" customWidth="1"/>
    <col min="23" max="23" width="9.6640625" style="2264" customWidth="1"/>
    <col min="24"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1963</v>
      </c>
      <c r="B1" s="732"/>
      <c r="C1" s="1580"/>
      <c r="D1" s="226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5" t="s">
        <v>1964</v>
      </c>
      <c r="B2" s="1266">
        <f>项目基本情况!D3</f>
        <v>44012</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1" customFormat="1" ht="14.4" thickBot="1">
      <c r="A3" s="2019"/>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1"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4" t="s">
        <v>1969</v>
      </c>
      <c r="AA4" s="2234"/>
      <c r="AB4" s="2234"/>
      <c r="AC4" s="2234"/>
      <c r="AD4" s="2234"/>
      <c r="AE4" s="2232" t="s">
        <v>1970</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2" customFormat="1" ht="57.6">
      <c r="A5" s="2278" t="s">
        <v>1971</v>
      </c>
      <c r="B5" s="2279" t="s">
        <v>1972</v>
      </c>
      <c r="C5" s="2280" t="s">
        <v>1973</v>
      </c>
      <c r="D5" s="2281" t="s">
        <v>1974</v>
      </c>
      <c r="E5" s="1268" t="s">
        <v>1975</v>
      </c>
      <c r="F5" s="2282" t="s">
        <v>1976</v>
      </c>
      <c r="G5" s="1268" t="s">
        <v>1977</v>
      </c>
      <c r="H5" s="1268" t="s">
        <v>1978</v>
      </c>
      <c r="I5" s="1268" t="s">
        <v>1979</v>
      </c>
      <c r="J5" s="2283" t="s">
        <v>1980</v>
      </c>
      <c r="K5" s="2284" t="s">
        <v>1981</v>
      </c>
      <c r="L5" s="2285" t="s">
        <v>1982</v>
      </c>
      <c r="M5" s="2286" t="s">
        <v>1983</v>
      </c>
      <c r="N5" s="2287" t="s">
        <v>3099</v>
      </c>
      <c r="O5" s="2285" t="s">
        <v>1984</v>
      </c>
      <c r="P5" s="2288" t="s">
        <v>1985</v>
      </c>
      <c r="Q5" s="69" t="s">
        <v>1986</v>
      </c>
      <c r="R5" s="2289" t="s">
        <v>1987</v>
      </c>
      <c r="S5" s="2290" t="s">
        <v>1988</v>
      </c>
      <c r="T5" s="2291" t="s">
        <v>1989</v>
      </c>
      <c r="U5" s="1267" t="s">
        <v>1990</v>
      </c>
      <c r="V5" s="1268" t="s">
        <v>1991</v>
      </c>
      <c r="W5" s="1268" t="s">
        <v>1992</v>
      </c>
      <c r="X5" s="71"/>
      <c r="Y5" s="70" t="s">
        <v>1993</v>
      </c>
      <c r="Z5" s="2292" t="s">
        <v>1990</v>
      </c>
      <c r="AA5" s="1268" t="s">
        <v>1991</v>
      </c>
      <c r="AB5" s="1268" t="s">
        <v>1992</v>
      </c>
      <c r="AC5" s="71"/>
      <c r="AD5" s="71" t="s">
        <v>1993</v>
      </c>
      <c r="AE5" s="1267" t="s">
        <v>1994</v>
      </c>
      <c r="AF5" s="1268" t="s">
        <v>1995</v>
      </c>
      <c r="AG5" s="70" t="s">
        <v>1996</v>
      </c>
      <c r="AH5" s="1267" t="s">
        <v>1997</v>
      </c>
      <c r="AI5" s="2292" t="s">
        <v>1998</v>
      </c>
      <c r="AJ5" s="2292" t="s">
        <v>1999</v>
      </c>
      <c r="AK5" s="1268" t="s">
        <v>2000</v>
      </c>
      <c r="AL5" s="1268" t="s">
        <v>2001</v>
      </c>
      <c r="AM5" s="70" t="s">
        <v>2002</v>
      </c>
      <c r="AN5" s="2293" t="s">
        <v>2003</v>
      </c>
      <c r="AO5" s="2064" t="s">
        <v>2004</v>
      </c>
      <c r="AP5" s="1249"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1" customFormat="1" ht="13.8">
      <c r="A6" s="2295" t="str">
        <f>'数据-汇总表'!C19</f>
        <v>办公</v>
      </c>
      <c r="B6" s="2296" t="str">
        <f>IF(A6=0,"","经营性")</f>
        <v>经营性</v>
      </c>
      <c r="C6" s="2297" t="s">
        <v>27</v>
      </c>
      <c r="D6" s="1051">
        <f>SUMIF(项目基本情况!D$12:I$12,C6,项目基本情况!D$14:I$14)</f>
        <v>50</v>
      </c>
      <c r="E6" s="1048">
        <f>IF(B6="","",SUMIF(项目基本情况!D$12:I$12,C6,项目基本情况!D$13:I$13))</f>
        <v>60477</v>
      </c>
      <c r="F6" s="72">
        <f>SUMIF(项目基本情况!D$12:I$12,C6,项目基本情况!D$15:I$15)</f>
        <v>45.1</v>
      </c>
      <c r="G6" s="73">
        <f ca="1">IF(ISERROR(ROUND(POWER(1+H6,D6-F6)*(POWER(1+H6,F6)-1)/(POWER(1+H6,D6)-1),3)),0,ROUND(POWER(1+H6,D6-F6)*(POWER(1+H6,F6)-1)/(POWER(1+H6,D6)-1),3))</f>
        <v>0.97599999999999998</v>
      </c>
      <c r="H6" s="802">
        <f ca="1">基准地价修正!G20</f>
        <v>5.1999999999999998E-2</v>
      </c>
      <c r="I6" s="802">
        <v>5.5E-2</v>
      </c>
      <c r="J6" s="74">
        <v>0.08</v>
      </c>
      <c r="K6" s="1251">
        <f>SUMIF('数据-汇总表'!C$19:C$33,A6,'数据-汇总表'!E$19:E$33)</f>
        <v>49320.17</v>
      </c>
      <c r="L6" s="803">
        <v>3000</v>
      </c>
      <c r="M6" s="75">
        <f t="shared" ref="M6:M14" si="0">ROUND(K6*L6/10000,0)</f>
        <v>14796</v>
      </c>
      <c r="N6" s="801">
        <f>ROUND(1-(2020-N18)/60,2)</f>
        <v>0.95</v>
      </c>
      <c r="O6" s="75" t="str">
        <f>IF($N$5="成新度","——",ROUND(M6*N6,0))</f>
        <v>——</v>
      </c>
      <c r="P6" s="76" t="str">
        <f>IF($N$5="成新度","——",M6-O6)</f>
        <v>——</v>
      </c>
      <c r="Q6" s="804">
        <v>0.15</v>
      </c>
      <c r="R6" s="77">
        <f ca="1">SUMIF('数据-汇总表'!C$19:C$33,A6,'数据-汇总表'!R$19:R$27)</f>
        <v>13475.41</v>
      </c>
      <c r="S6" s="54">
        <f>IF('数据-汇总表'!$I$17="按面积比例",SUMIF('数据-汇总表'!C$19:C$33,A6,'数据-汇总表'!K$19:K$33),SUMIF('数据-汇总表'!C$19:C$33,A6,'数据-汇总表'!N$19:N$33))</f>
        <v>271.88</v>
      </c>
      <c r="T6" s="1443">
        <f>ROUND($L$14*S6/10000,0)</f>
        <v>76</v>
      </c>
      <c r="U6" s="78">
        <v>2.6</v>
      </c>
      <c r="V6" s="79">
        <v>0.03</v>
      </c>
      <c r="W6" s="79">
        <v>0.1</v>
      </c>
      <c r="X6" s="1261"/>
      <c r="Y6" s="80">
        <f>N6</f>
        <v>0.95</v>
      </c>
      <c r="Z6" s="81"/>
      <c r="AA6" s="74"/>
      <c r="AB6" s="74"/>
      <c r="AC6" s="1261"/>
      <c r="AD6" s="82"/>
      <c r="AE6" s="1262">
        <f ca="1">IF(AN6="",0,SUMIF(INDIRECT("'"&amp;AN6&amp;"'"&amp;"!E:E"),$AE$5,INDIRECT("'"&amp;AN6&amp;"'"&amp;"!F:F")))</f>
        <v>45.1</v>
      </c>
      <c r="AF6" s="1795"/>
      <c r="AG6" s="147">
        <f>IF(AF6="",0,AE6-AF6)</f>
        <v>0</v>
      </c>
      <c r="AH6" s="83"/>
      <c r="AI6" s="85">
        <v>365</v>
      </c>
      <c r="AJ6" s="86"/>
      <c r="AK6" s="87">
        <v>1.4999999999999999E-2</v>
      </c>
      <c r="AL6" s="88">
        <v>1.5E-3</v>
      </c>
      <c r="AM6" s="89">
        <v>1.4999999999999999E-2</v>
      </c>
      <c r="AN6" s="2298" t="s">
        <v>3100</v>
      </c>
      <c r="AO6" s="55">
        <f ca="1">SUMIF(INDIRECT("'"&amp;AN6&amp;"'"&amp;"!A:A"),"总价",INDIRECT("'"&amp;AN6&amp;"'"&amp;"!B:B"))</f>
        <v>81759</v>
      </c>
      <c r="AP6" s="2299">
        <f>IF(C6="住宅",K6*L6,0)</f>
        <v>0</v>
      </c>
      <c r="AQ6" s="55">
        <f>ROUND($L$14*$N$14*S6/10000,0)</f>
        <v>72</v>
      </c>
      <c r="AR6" s="55">
        <f>ROUND($L$14*(1-$N$14)*S6/10000,0)</f>
        <v>4</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1" customFormat="1" ht="13.8">
      <c r="A7" s="2295" t="str">
        <f>'数据-汇总表'!C20</f>
        <v>商业</v>
      </c>
      <c r="B7" s="2296" t="str">
        <f t="shared" ref="B7:B13" si="1">IF(A7=0,"","经营性")</f>
        <v>经营性</v>
      </c>
      <c r="C7" s="2297" t="s">
        <v>1372</v>
      </c>
      <c r="D7" s="1051">
        <f>SUMIF(项目基本情况!D$12:I$12,C7,项目基本情况!D$14:I$14)</f>
        <v>40</v>
      </c>
      <c r="E7" s="1048">
        <f>IF(B7="","",SUMIF(项目基本情况!D$12:I$12,C7,项目基本情况!D$13:I$13))</f>
        <v>56824</v>
      </c>
      <c r="F7" s="72">
        <f>SUMIF(项目基本情况!D$12:I$12,C7,项目基本情况!D$15:I$15)</f>
        <v>35.1</v>
      </c>
      <c r="G7" s="73">
        <f t="shared" ref="G7:G11" ca="1" si="2">IF(ISERROR(ROUND(POWER(1+H7,D7-F7)*(POWER(1+H7,F7)-1)/(POWER(1+H7,D7)-1),3)),0,ROUND(POWER(1+H7,D7-F7)*(POWER(1+H7,F7)-1)/(POWER(1+H7,D7)-1),3))</f>
        <v>0.95899999999999996</v>
      </c>
      <c r="H7" s="802">
        <f ca="1">'基准地价修正 (2)'!G20</f>
        <v>5.3999999999999999E-2</v>
      </c>
      <c r="I7" s="802">
        <v>5.5E-2</v>
      </c>
      <c r="J7" s="74">
        <v>0.08</v>
      </c>
      <c r="K7" s="1251">
        <f>SUMIF('数据-汇总表'!C$19:C$33,A7,'数据-汇总表'!E$19:E$33)</f>
        <v>930.84999999999991</v>
      </c>
      <c r="L7" s="803">
        <f>L6</f>
        <v>3000</v>
      </c>
      <c r="M7" s="75">
        <f t="shared" si="0"/>
        <v>279</v>
      </c>
      <c r="N7" s="801">
        <f>N6</f>
        <v>0.95</v>
      </c>
      <c r="O7" s="75" t="str">
        <f t="shared" ref="O7:O14" si="3">IF($N$5="成新度","——",ROUND(M7*N7,0))</f>
        <v>——</v>
      </c>
      <c r="P7" s="76" t="str">
        <f t="shared" ref="P7:P14" si="4">IF($N$5="成新度","——",M7-O7)</f>
        <v>——</v>
      </c>
      <c r="Q7" s="804">
        <v>0.2</v>
      </c>
      <c r="R7" s="77">
        <f ca="1">SUMIF('数据-汇总表'!C$19:C$33,A7,'数据-汇总表'!R$19:R$27)</f>
        <v>254.32999999999998</v>
      </c>
      <c r="S7" s="54">
        <f>IF('数据-汇总表'!$I$17="按面积比例",SUMIF('数据-汇总表'!C$19:C$33,A7,'数据-汇总表'!K$19:K$33),SUMIF('数据-汇总表'!C$19:C$33,A7,'数据-汇总表'!N$19:N$33))</f>
        <v>5.13</v>
      </c>
      <c r="T7" s="1443">
        <f t="shared" ref="T7:T13" si="5">ROUND($L$14*S7/10000,0)</f>
        <v>1</v>
      </c>
      <c r="U7" s="78">
        <v>2.2999999999999998</v>
      </c>
      <c r="V7" s="79">
        <v>0.03</v>
      </c>
      <c r="W7" s="79">
        <v>0.1</v>
      </c>
      <c r="X7" s="1261"/>
      <c r="Y7" s="80">
        <f>Y6</f>
        <v>0.95</v>
      </c>
      <c r="Z7" s="81"/>
      <c r="AA7" s="74"/>
      <c r="AB7" s="74"/>
      <c r="AC7" s="1261"/>
      <c r="AD7" s="82"/>
      <c r="AE7" s="1262">
        <f t="shared" ref="AE7:AE13" ca="1" si="6">IF(AN7="",0,SUMIF(INDIRECT("'"&amp;AN7&amp;"'"&amp;"!E:E"),$AE$5,INDIRECT("'"&amp;AN7&amp;"'"&amp;"!F:F")))</f>
        <v>35.1</v>
      </c>
      <c r="AF7" s="1795"/>
      <c r="AG7" s="147">
        <f t="shared" ref="AG7:AG13" si="7">IF(AF7="",0,AE7-AF7)</f>
        <v>0</v>
      </c>
      <c r="AH7" s="83"/>
      <c r="AI7" s="85">
        <v>365</v>
      </c>
      <c r="AJ7" s="86"/>
      <c r="AK7" s="87">
        <v>1.4999999999999999E-2</v>
      </c>
      <c r="AL7" s="88">
        <v>1.5E-3</v>
      </c>
      <c r="AM7" s="89">
        <v>1.4999999999999999E-2</v>
      </c>
      <c r="AN7" s="2298" t="s">
        <v>3102</v>
      </c>
      <c r="AO7" s="55">
        <f t="shared" ref="AO7:AO13" ca="1" si="8">SUMIF(INDIRECT("'"&amp;AN7&amp;"'"&amp;"!A:A"),"总价",INDIRECT("'"&amp;AN7&amp;"'"&amp;"!B:B"))</f>
        <v>1148</v>
      </c>
      <c r="AP7" s="2299">
        <f t="shared" ref="AP7:AP13" si="9">IF(C7="住宅",K7*L7,0)</f>
        <v>0</v>
      </c>
      <c r="AQ7" s="55">
        <f t="shared" ref="AQ7:AQ13" si="10">ROUND($L$14*$N$14*S7/10000,0)</f>
        <v>1</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1" customFormat="1" ht="13.8">
      <c r="A8" s="2295" t="str">
        <f>'数据-汇总表'!C21</f>
        <v>仓储</v>
      </c>
      <c r="B8" s="2296" t="str">
        <f t="shared" si="1"/>
        <v>经营性</v>
      </c>
      <c r="C8" s="2297" t="s">
        <v>3092</v>
      </c>
      <c r="D8" s="1051">
        <f>SUMIF(项目基本情况!D$12:I$12,C8,项目基本情况!D$14:I$14)</f>
        <v>50</v>
      </c>
      <c r="E8" s="1048">
        <f>IF(B8="","",SUMIF(项目基本情况!D$12:I$12,C8,项目基本情况!D$13:I$13))</f>
        <v>60477</v>
      </c>
      <c r="F8" s="72">
        <f>SUMIF(项目基本情况!D$12:I$12,C8,项目基本情况!D$15:I$15)</f>
        <v>45.1</v>
      </c>
      <c r="G8" s="73">
        <f t="shared" ca="1" si="2"/>
        <v>0.97599999999999998</v>
      </c>
      <c r="H8" s="802">
        <f ca="1">H6</f>
        <v>5.1999999999999998E-2</v>
      </c>
      <c r="I8" s="802">
        <v>5.5E-2</v>
      </c>
      <c r="J8" s="74">
        <v>0.08</v>
      </c>
      <c r="K8" s="1251">
        <f>SUMIF('数据-汇总表'!C$19:C$33,A8,'数据-汇总表'!E$19:E$33)</f>
        <v>21293.83</v>
      </c>
      <c r="L8" s="803">
        <v>2800</v>
      </c>
      <c r="M8" s="75">
        <f>ROUND(K8*L8/10000,0)</f>
        <v>5962</v>
      </c>
      <c r="N8" s="801">
        <f>N6</f>
        <v>0.95</v>
      </c>
      <c r="O8" s="75" t="str">
        <f t="shared" si="3"/>
        <v>——</v>
      </c>
      <c r="P8" s="76" t="str">
        <f t="shared" si="4"/>
        <v>——</v>
      </c>
      <c r="Q8" s="804">
        <v>0.05</v>
      </c>
      <c r="R8" s="77">
        <f ca="1">SUMIF('数据-汇总表'!C$19:C$33,A8,'数据-汇总表'!R$19:R$27)</f>
        <v>5817.9699999999993</v>
      </c>
      <c r="S8" s="54">
        <f>IF('数据-汇总表'!$I$17="按面积比例",SUMIF('数据-汇总表'!C$19:C$33,A8,'数据-汇总表'!K$19:K$33),SUMIF('数据-汇总表'!C$19:C$33,A8,'数据-汇总表'!N$19:N$33))</f>
        <v>117.39</v>
      </c>
      <c r="T8" s="1443">
        <f t="shared" si="5"/>
        <v>33</v>
      </c>
      <c r="U8" s="805">
        <v>1</v>
      </c>
      <c r="V8" s="806">
        <v>1.4999999999999999E-2</v>
      </c>
      <c r="W8" s="806">
        <v>0.1</v>
      </c>
      <c r="X8" s="1261"/>
      <c r="Y8" s="807">
        <f>Y6</f>
        <v>0.95</v>
      </c>
      <c r="Z8" s="81"/>
      <c r="AA8" s="74"/>
      <c r="AB8" s="74"/>
      <c r="AC8" s="1261"/>
      <c r="AD8" s="82"/>
      <c r="AE8" s="1262">
        <f t="shared" ca="1" si="6"/>
        <v>45.1</v>
      </c>
      <c r="AF8" s="1795"/>
      <c r="AG8" s="147">
        <f t="shared" si="7"/>
        <v>0</v>
      </c>
      <c r="AH8" s="808"/>
      <c r="AI8" s="85">
        <v>365</v>
      </c>
      <c r="AJ8" s="86"/>
      <c r="AK8" s="809">
        <v>1.4999999999999999E-2</v>
      </c>
      <c r="AL8" s="810">
        <v>1.5E-3</v>
      </c>
      <c r="AM8" s="811">
        <v>0.01</v>
      </c>
      <c r="AN8" s="2298" t="s">
        <v>3104</v>
      </c>
      <c r="AO8" s="55">
        <f t="shared" ca="1" si="8"/>
        <v>9158</v>
      </c>
      <c r="AP8" s="2299">
        <f t="shared" si="9"/>
        <v>0</v>
      </c>
      <c r="AQ8" s="55">
        <f t="shared" si="10"/>
        <v>31</v>
      </c>
      <c r="AR8" s="55">
        <f t="shared" si="11"/>
        <v>2</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1" customFormat="1" ht="13.8">
      <c r="A9" s="2295" t="str">
        <f>'数据-汇总表'!C22</f>
        <v>普通车位</v>
      </c>
      <c r="B9" s="2296" t="str">
        <f t="shared" si="1"/>
        <v>经营性</v>
      </c>
      <c r="C9" s="2297" t="s">
        <v>3093</v>
      </c>
      <c r="D9" s="1051">
        <f>SUMIF(项目基本情况!D$12:I$12,C9,项目基本情况!D$14:I$14)</f>
        <v>50</v>
      </c>
      <c r="E9" s="1048">
        <f>IF(B9="","",SUMIF(项目基本情况!D$12:I$12,C9,项目基本情况!D$13:I$13))</f>
        <v>60477</v>
      </c>
      <c r="F9" s="72">
        <f>SUMIF(项目基本情况!D$12:I$12,C9,项目基本情况!D$15:I$15)</f>
        <v>45.1</v>
      </c>
      <c r="G9" s="73">
        <f t="shared" ca="1" si="2"/>
        <v>0.97599999999999998</v>
      </c>
      <c r="H9" s="74">
        <f ca="1">H6</f>
        <v>5.1999999999999998E-2</v>
      </c>
      <c r="I9" s="74">
        <v>5.5E-2</v>
      </c>
      <c r="J9" s="74">
        <v>0.08</v>
      </c>
      <c r="K9" s="1251">
        <f>SUMIF('数据-汇总表'!C$19:C$33,A9,'数据-汇总表'!E$19:E$33)</f>
        <v>3037.37</v>
      </c>
      <c r="L9" s="803">
        <f>L8</f>
        <v>2800</v>
      </c>
      <c r="M9" s="75">
        <f t="shared" si="0"/>
        <v>850</v>
      </c>
      <c r="N9" s="801">
        <f>N6</f>
        <v>0.95</v>
      </c>
      <c r="O9" s="75" t="str">
        <f t="shared" si="3"/>
        <v>——</v>
      </c>
      <c r="P9" s="76" t="str">
        <f t="shared" si="4"/>
        <v>——</v>
      </c>
      <c r="Q9" s="90">
        <v>0.05</v>
      </c>
      <c r="R9" s="77">
        <f ca="1">SUMIF('数据-汇总表'!C$19:C$33,A9,'数据-汇总表'!R$19:R$27)</f>
        <v>829.88</v>
      </c>
      <c r="S9" s="54">
        <f>IF('数据-汇总表'!$I$17="按面积比例",SUMIF('数据-汇总表'!C$19:C$33,A9,'数据-汇总表'!K$19:K$33),SUMIF('数据-汇总表'!C$19:C$33,A9,'数据-汇总表'!N$19:N$33))</f>
        <v>16.739999999999998</v>
      </c>
      <c r="T9" s="1443">
        <f t="shared" si="5"/>
        <v>5</v>
      </c>
      <c r="U9" s="78">
        <v>500</v>
      </c>
      <c r="V9" s="79">
        <v>1.4999999999999999E-2</v>
      </c>
      <c r="W9" s="79">
        <v>0.1</v>
      </c>
      <c r="X9" s="1261"/>
      <c r="Y9" s="80">
        <f>Y6</f>
        <v>0.95</v>
      </c>
      <c r="Z9" s="81"/>
      <c r="AA9" s="74"/>
      <c r="AB9" s="74"/>
      <c r="AC9" s="1261"/>
      <c r="AD9" s="82"/>
      <c r="AE9" s="1262">
        <f t="shared" ca="1" si="6"/>
        <v>45.1</v>
      </c>
      <c r="AF9" s="1795"/>
      <c r="AG9" s="147">
        <f t="shared" si="7"/>
        <v>0</v>
      </c>
      <c r="AH9" s="83">
        <v>63</v>
      </c>
      <c r="AI9" s="85">
        <v>12</v>
      </c>
      <c r="AJ9" s="86"/>
      <c r="AK9" s="3004">
        <v>0.01</v>
      </c>
      <c r="AL9" s="95">
        <v>1.5E-3</v>
      </c>
      <c r="AM9" s="96">
        <v>0.01</v>
      </c>
      <c r="AN9" s="2298" t="s">
        <v>3106</v>
      </c>
      <c r="AO9" s="55">
        <f t="shared" ca="1" si="8"/>
        <v>301</v>
      </c>
      <c r="AP9" s="2299">
        <f t="shared" si="9"/>
        <v>0</v>
      </c>
      <c r="AQ9" s="55">
        <f t="shared" si="10"/>
        <v>4</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1" customFormat="1" ht="13.8">
      <c r="A10" s="2295" t="str">
        <f>'数据-汇总表'!C23</f>
        <v>机械车位</v>
      </c>
      <c r="B10" s="2296" t="str">
        <f t="shared" si="1"/>
        <v>经营性</v>
      </c>
      <c r="C10" s="2297" t="s">
        <v>3093</v>
      </c>
      <c r="D10" s="1051">
        <f>SUMIF(项目基本情况!D$12:I$12,C10,项目基本情况!D$14:I$14)</f>
        <v>50</v>
      </c>
      <c r="E10" s="1048">
        <f>IF(B10="","",SUMIF(项目基本情况!D$12:I$12,C10,项目基本情况!D$13:I$13))</f>
        <v>60477</v>
      </c>
      <c r="F10" s="72">
        <f>SUMIF(项目基本情况!D$12:I$12,C10,项目基本情况!D$15:I$15)</f>
        <v>45.1</v>
      </c>
      <c r="G10" s="73">
        <f t="shared" si="2"/>
        <v>0.97599999999999998</v>
      </c>
      <c r="H10" s="74">
        <v>5.1999999999999998E-2</v>
      </c>
      <c r="I10" s="74">
        <v>5.5E-2</v>
      </c>
      <c r="J10" s="74">
        <v>0.08</v>
      </c>
      <c r="K10" s="1251">
        <f>SUMIF('数据-汇总表'!C$19:C$33,A10,'数据-汇总表'!E$19:E$33)</f>
        <v>10502.380000000003</v>
      </c>
      <c r="L10" s="3005">
        <v>3500</v>
      </c>
      <c r="M10" s="75">
        <f t="shared" si="0"/>
        <v>3676</v>
      </c>
      <c r="N10" s="801">
        <f>N6</f>
        <v>0.95</v>
      </c>
      <c r="O10" s="75" t="str">
        <f t="shared" si="3"/>
        <v>——</v>
      </c>
      <c r="P10" s="76" t="str">
        <f t="shared" si="4"/>
        <v>——</v>
      </c>
      <c r="Q10" s="90">
        <v>0.05</v>
      </c>
      <c r="R10" s="77">
        <f ca="1">SUMIF('数据-汇总表'!C$19:C$33,A10,'数据-汇总表'!R$19:R$27)</f>
        <v>2869.4900000000002</v>
      </c>
      <c r="S10" s="54">
        <f>IF('数据-汇总表'!$I$17="按面积比例",SUMIF('数据-汇总表'!C$19:C$33,A10,'数据-汇总表'!K$19:K$33),SUMIF('数据-汇总表'!C$19:C$33,A10,'数据-汇总表'!N$19:N$33))</f>
        <v>57.9</v>
      </c>
      <c r="T10" s="1443">
        <f t="shared" si="5"/>
        <v>16</v>
      </c>
      <c r="U10" s="78">
        <v>400</v>
      </c>
      <c r="V10" s="79">
        <v>1.4999999999999999E-2</v>
      </c>
      <c r="W10" s="3007">
        <v>0.2</v>
      </c>
      <c r="X10" s="1261"/>
      <c r="Y10" s="80">
        <f>Y6</f>
        <v>0.95</v>
      </c>
      <c r="Z10" s="81"/>
      <c r="AA10" s="74"/>
      <c r="AB10" s="74"/>
      <c r="AC10" s="1261"/>
      <c r="AD10" s="82"/>
      <c r="AE10" s="1262">
        <f t="shared" ca="1" si="6"/>
        <v>45.1</v>
      </c>
      <c r="AF10" s="1795"/>
      <c r="AG10" s="147">
        <f t="shared" si="7"/>
        <v>0</v>
      </c>
      <c r="AH10" s="83">
        <v>429</v>
      </c>
      <c r="AI10" s="85">
        <v>12</v>
      </c>
      <c r="AJ10" s="86"/>
      <c r="AK10" s="3001">
        <v>0.02</v>
      </c>
      <c r="AL10" s="3002">
        <v>1.5E-3</v>
      </c>
      <c r="AM10" s="3003">
        <v>0.02</v>
      </c>
      <c r="AN10" s="2298" t="s">
        <v>3227</v>
      </c>
      <c r="AO10" s="55">
        <f t="shared" ca="1" si="8"/>
        <v>587</v>
      </c>
      <c r="AP10" s="2299">
        <f t="shared" si="9"/>
        <v>0</v>
      </c>
      <c r="AQ10" s="55">
        <f t="shared" si="10"/>
        <v>15</v>
      </c>
      <c r="AR10" s="55">
        <f t="shared" si="11"/>
        <v>1</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1" customFormat="1" ht="13.8">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1" customFormat="1" ht="13.8">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1" customFormat="1" ht="13.8">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1" customFormat="1" ht="14.4">
      <c r="A14" s="2300" t="s">
        <v>2008</v>
      </c>
      <c r="B14" s="2296" t="s">
        <v>2009</v>
      </c>
      <c r="C14" s="2301" t="s">
        <v>2008</v>
      </c>
      <c r="D14" s="1051"/>
      <c r="E14" s="1048"/>
      <c r="F14" s="72"/>
      <c r="G14" s="73"/>
      <c r="H14" s="1250"/>
      <c r="I14" s="1250"/>
      <c r="J14" s="1250"/>
      <c r="K14" s="1251">
        <f>SUMIF('数据-汇总表'!C$19:C$33,A14,'数据-汇总表'!E$19:E$33)</f>
        <v>469.03999999999996</v>
      </c>
      <c r="L14" s="91">
        <f>L8</f>
        <v>2800</v>
      </c>
      <c r="M14" s="75">
        <f t="shared" si="0"/>
        <v>131</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1" customFormat="1" ht="28.8">
      <c r="A15" s="2300" t="s">
        <v>2010</v>
      </c>
      <c r="B15" s="2296" t="s">
        <v>2009</v>
      </c>
      <c r="C15" s="230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1" customFormat="1" ht="15" thickBot="1">
      <c r="A16" s="2302" t="s">
        <v>2012</v>
      </c>
      <c r="B16" s="97"/>
      <c r="C16" s="1005"/>
      <c r="D16" s="2303"/>
      <c r="E16" s="97"/>
      <c r="F16" s="97"/>
      <c r="G16" s="98">
        <f ca="1">ROUND(SUMPRODUCT(G6:G13,K6:K13)/SUMPRODUCT((G6:G13&gt;0)*(K6:K13)),3)</f>
        <v>0.97599999999999998</v>
      </c>
      <c r="H16" s="99">
        <f ca="1">ROUND(SUMPRODUCT(H6:H13,K6:K13)/SUMPRODUCT((H6:H13&gt;0)*(K6:K13)),3)</f>
        <v>5.1999999999999998E-2</v>
      </c>
      <c r="I16" s="100"/>
      <c r="J16" s="100"/>
      <c r="K16" s="101">
        <f>SUM(K6:K15)</f>
        <v>85553.64</v>
      </c>
      <c r="L16" s="102">
        <f>ROUND(M16*10000/SUM(K6:K14),0)</f>
        <v>3003</v>
      </c>
      <c r="M16" s="102">
        <f>SUM(M6:M14)</f>
        <v>25694</v>
      </c>
      <c r="N16" s="103">
        <f>ROUND(SUMPRODUCT(M6:M14,N6:N14)/M16,3)</f>
        <v>0.95</v>
      </c>
      <c r="O16" s="102">
        <f>SUM(O6:O14)</f>
        <v>0</v>
      </c>
      <c r="P16" s="102">
        <f>SUM(P6:P14)</f>
        <v>0</v>
      </c>
      <c r="Q16" s="104">
        <f>ROUND(SUMPRODUCT(Q6:Q13,K6:K13)/SUMPRODUCT((Q6:Q13&gt;0)*(K6:K13)),2)</f>
        <v>0.11</v>
      </c>
      <c r="R16" s="1255">
        <f ca="1">SUM(R6:R13)</f>
        <v>23247.08</v>
      </c>
      <c r="S16" s="105">
        <f>SUM(S6:S13)</f>
        <v>469.03999999999996</v>
      </c>
      <c r="T16" s="106">
        <f>IF(SUMIF(T6:T13,"&lt;9E307")=M14,SUMIF(T6:T13,"&lt;9E307"),"有误，请检查")</f>
        <v>131</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32"/>
      <c r="C17" s="1580"/>
      <c r="D17" s="2262"/>
      <c r="E17" s="226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69"/>
      <c r="C18" s="2266"/>
      <c r="D18" s="2267"/>
      <c r="E18" s="2266"/>
      <c r="F18" s="2266"/>
      <c r="G18" s="2266"/>
      <c r="H18" s="2266"/>
      <c r="I18" s="2266"/>
      <c r="J18" s="2266"/>
      <c r="K18" s="168"/>
      <c r="L18" s="168"/>
      <c r="M18" s="1580"/>
      <c r="N18" s="1580">
        <v>2017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05" t="s">
        <v>2014</v>
      </c>
      <c r="B19" s="112">
        <v>0</v>
      </c>
      <c r="C19" s="2266" t="s">
        <v>2015</v>
      </c>
      <c r="D19" s="2267"/>
      <c r="E19" s="2266"/>
      <c r="F19" s="2266"/>
      <c r="G19" s="2266"/>
      <c r="H19" s="2266"/>
      <c r="I19" s="2266"/>
      <c r="J19" s="226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06" t="s">
        <v>2016</v>
      </c>
      <c r="B20" s="113">
        <v>2</v>
      </c>
      <c r="C20" s="2266" t="s">
        <v>2017</v>
      </c>
      <c r="D20" s="2267"/>
      <c r="E20" s="2266"/>
      <c r="F20" s="2266"/>
      <c r="G20" s="2266"/>
      <c r="H20" s="2266"/>
      <c r="I20" s="2266"/>
      <c r="J20" s="2266"/>
      <c r="K20" s="168"/>
      <c r="L20" s="168"/>
      <c r="M20" s="1580"/>
      <c r="N20" s="1580"/>
      <c r="O20" s="1580"/>
      <c r="P20" s="1580"/>
      <c r="Q20" s="1580"/>
      <c r="R20" s="1580"/>
      <c r="S20" s="1580"/>
      <c r="T20" s="2971" t="s">
        <v>3108</v>
      </c>
      <c r="U20" s="1580">
        <v>1</v>
      </c>
      <c r="V20" s="1580">
        <f>'数据-基础表'!K13</f>
        <v>481.19</v>
      </c>
      <c r="W20" s="1580">
        <v>1</v>
      </c>
      <c r="X20" s="1580">
        <v>3</v>
      </c>
      <c r="Y20" s="1580"/>
      <c r="Z20" s="1580"/>
      <c r="AA20" s="1580"/>
      <c r="AB20" s="1580"/>
      <c r="AC20" s="1580"/>
      <c r="AD20" s="1580"/>
      <c r="AE20" s="1580"/>
      <c r="AF20" s="1580"/>
      <c r="AG20" s="1580"/>
      <c r="AH20" s="1580"/>
      <c r="AI20" s="1580"/>
      <c r="AJ20" s="1580"/>
      <c r="AK20" s="1580"/>
      <c r="AL20" s="1580"/>
      <c r="AM20" s="1580"/>
    </row>
    <row r="21" spans="1:67" ht="14.4">
      <c r="A21" s="2307" t="s">
        <v>2018</v>
      </c>
      <c r="B21" s="113">
        <v>2</v>
      </c>
      <c r="C21" s="2266"/>
      <c r="D21" s="2267"/>
      <c r="E21" s="2266"/>
      <c r="F21" s="2266"/>
      <c r="G21" s="2266"/>
      <c r="H21" s="2266"/>
      <c r="I21" s="2266"/>
      <c r="J21" s="2266"/>
      <c r="K21" s="168"/>
      <c r="L21" s="168"/>
      <c r="M21" s="1580"/>
      <c r="N21" s="1580"/>
      <c r="O21" s="1580"/>
      <c r="P21" s="1580"/>
      <c r="Q21" s="1580"/>
      <c r="R21" s="1580"/>
      <c r="S21" s="1580"/>
      <c r="T21" s="1580"/>
      <c r="U21" s="1580">
        <v>-1</v>
      </c>
      <c r="V21" s="1580">
        <f>'数据-基础表'!M13</f>
        <v>449.65999999999997</v>
      </c>
      <c r="W21" s="1580">
        <v>0.5</v>
      </c>
      <c r="X21" s="1580">
        <f>X20*W21</f>
        <v>1.5</v>
      </c>
      <c r="Y21" s="1580"/>
      <c r="Z21" s="1580"/>
      <c r="AA21" s="1580"/>
      <c r="AB21" s="1580"/>
      <c r="AC21" s="1580"/>
      <c r="AD21" s="1580"/>
      <c r="AE21" s="1580"/>
      <c r="AF21" s="1580"/>
      <c r="AG21" s="1580"/>
      <c r="AH21" s="1580"/>
      <c r="AI21" s="1580"/>
      <c r="AJ21" s="1580"/>
      <c r="AK21" s="1580"/>
      <c r="AL21" s="1580"/>
      <c r="AM21" s="1580"/>
    </row>
    <row r="22" spans="1:67" ht="14.4">
      <c r="A22" s="2306" t="s">
        <v>2019</v>
      </c>
      <c r="B22" s="114">
        <f>B19+B20</f>
        <v>2</v>
      </c>
      <c r="C22" s="2266"/>
      <c r="D22" s="2267"/>
      <c r="E22" s="2266"/>
      <c r="F22" s="2266"/>
      <c r="G22" s="2266"/>
      <c r="H22" s="2266"/>
      <c r="I22" s="2266"/>
      <c r="J22" s="2266"/>
      <c r="K22" s="168"/>
      <c r="L22" s="168"/>
      <c r="M22" s="1580"/>
      <c r="N22" s="1580"/>
      <c r="O22" s="1580"/>
      <c r="P22" s="1580"/>
      <c r="Q22" s="1580"/>
      <c r="R22" s="1580"/>
      <c r="S22" s="1580"/>
      <c r="T22" s="1580"/>
      <c r="U22" s="1580"/>
      <c r="V22" s="1580"/>
      <c r="W22" s="1580">
        <f>(V20*X20+V21*X21)/(V20+V21)</f>
        <v>2.2754042004619435</v>
      </c>
      <c r="X22" s="1580"/>
      <c r="Y22" s="1580"/>
      <c r="Z22" s="1580"/>
      <c r="AA22" s="1580"/>
      <c r="AB22" s="1580"/>
      <c r="AC22" s="1580"/>
      <c r="AD22" s="1580"/>
      <c r="AE22" s="1580"/>
      <c r="AF22" s="1580"/>
      <c r="AG22" s="1580"/>
      <c r="AH22" s="1580"/>
      <c r="AI22" s="1580"/>
      <c r="AJ22" s="1580"/>
      <c r="AK22" s="1580"/>
      <c r="AL22" s="1580"/>
      <c r="AM22" s="1580"/>
    </row>
    <row r="23" spans="1:67" ht="14.4">
      <c r="A23" s="2307" t="s">
        <v>2020</v>
      </c>
      <c r="B23" s="114">
        <f>B19+B21</f>
        <v>2</v>
      </c>
      <c r="C23" s="2266"/>
      <c r="D23" s="2267"/>
      <c r="E23" s="2266"/>
      <c r="F23" s="2266"/>
      <c r="G23" s="2266"/>
      <c r="H23" s="2266"/>
      <c r="I23" s="2266"/>
      <c r="J23" s="226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8" t="s">
        <v>2021</v>
      </c>
      <c r="B24" s="115">
        <f>B20-B21</f>
        <v>0</v>
      </c>
      <c r="C24" s="2266"/>
      <c r="D24" s="2267"/>
      <c r="E24" s="2266"/>
      <c r="F24" s="2266"/>
      <c r="G24" s="2266"/>
      <c r="H24" s="2266"/>
      <c r="I24" s="2266"/>
      <c r="J24" s="226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19"/>
      <c r="B25" s="2269"/>
      <c r="C25" s="2266"/>
      <c r="D25" s="2267"/>
      <c r="E25" s="2266"/>
      <c r="F25" s="2266"/>
      <c r="G25" s="2266"/>
      <c r="H25" s="2266"/>
      <c r="I25" s="2266"/>
      <c r="J25" s="2266"/>
      <c r="K25" s="168"/>
      <c r="L25" s="168"/>
      <c r="M25" s="1580"/>
      <c r="N25" s="1580"/>
      <c r="O25" s="1580"/>
      <c r="P25" s="1580"/>
      <c r="Q25" s="1580"/>
      <c r="R25" s="1580"/>
      <c r="S25" s="1580"/>
      <c r="T25" s="2971" t="s">
        <v>3215</v>
      </c>
      <c r="U25" s="2971" t="s">
        <v>3216</v>
      </c>
      <c r="V25" s="1580">
        <f>面积表!K10</f>
        <v>63</v>
      </c>
      <c r="W25" s="1580">
        <f>面积表!L10</f>
        <v>3037.3700000000003</v>
      </c>
      <c r="X25" s="1580"/>
      <c r="Y25" s="1580"/>
      <c r="Z25" s="1580"/>
      <c r="AA25" s="1580"/>
      <c r="AB25" s="1580"/>
      <c r="AC25" s="1580"/>
      <c r="AD25" s="1580"/>
      <c r="AE25" s="1580"/>
      <c r="AF25" s="1580"/>
      <c r="AG25" s="1580"/>
      <c r="AH25" s="1580"/>
      <c r="AI25" s="1580"/>
      <c r="AJ25" s="1580"/>
      <c r="AK25" s="1580"/>
      <c r="AL25" s="1580"/>
      <c r="AM25" s="1580"/>
    </row>
    <row r="26" spans="1:67" ht="15" thickBot="1">
      <c r="A26" s="2265" t="s">
        <v>2022</v>
      </c>
      <c r="B26" s="2309" t="s">
        <v>2023</v>
      </c>
      <c r="C26" s="2310" t="s">
        <v>2024</v>
      </c>
      <c r="D26" s="2267"/>
      <c r="E26" s="2266"/>
      <c r="F26" s="2266"/>
      <c r="G26" s="2266"/>
      <c r="H26" s="2266"/>
      <c r="I26" s="2266"/>
      <c r="J26" s="2266"/>
      <c r="K26" s="168"/>
      <c r="L26" s="168"/>
      <c r="M26" s="1580"/>
      <c r="N26" s="1580"/>
      <c r="O26" s="1580"/>
      <c r="P26" s="1580"/>
      <c r="Q26" s="1580"/>
      <c r="R26" s="1580"/>
      <c r="S26" s="1580"/>
      <c r="T26" s="1580"/>
      <c r="U26" s="2971" t="s">
        <v>3217</v>
      </c>
      <c r="V26" s="1580">
        <f>面积表!K11</f>
        <v>81</v>
      </c>
      <c r="W26" s="1580">
        <f>面积表!L11</f>
        <v>10502.379999999997</v>
      </c>
      <c r="X26" s="1580"/>
      <c r="Y26" s="1580"/>
      <c r="Z26" s="1580"/>
      <c r="AA26" s="1580"/>
      <c r="AB26" s="1580"/>
      <c r="AC26" s="1580"/>
      <c r="AD26" s="1580"/>
      <c r="AE26" s="1580"/>
      <c r="AF26" s="1580"/>
      <c r="AG26" s="1580"/>
      <c r="AH26" s="1580"/>
      <c r="AI26" s="1580"/>
      <c r="AJ26" s="1580"/>
      <c r="AK26" s="1580"/>
      <c r="AL26" s="1580"/>
      <c r="AM26" s="1580"/>
    </row>
    <row r="27" spans="1:67" s="2313" customFormat="1" ht="28.8">
      <c r="A27" s="2311" t="s">
        <v>2025</v>
      </c>
      <c r="B27" s="116">
        <v>150</v>
      </c>
      <c r="C27" s="1755" t="s">
        <v>2026</v>
      </c>
      <c r="D27" s="2312"/>
      <c r="E27" s="1427"/>
      <c r="F27" s="1427"/>
      <c r="G27" s="2266"/>
      <c r="H27" s="2266"/>
      <c r="I27" s="2266"/>
      <c r="J27" s="2266"/>
      <c r="K27" s="168"/>
      <c r="L27" s="168"/>
      <c r="M27" s="1580"/>
      <c r="N27" s="1580"/>
      <c r="O27" s="1580"/>
      <c r="P27" s="1580"/>
      <c r="Q27" s="1580"/>
      <c r="R27" s="1580"/>
      <c r="S27" s="1580"/>
      <c r="T27" s="1580" t="s">
        <v>3229</v>
      </c>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8.8">
      <c r="A28" s="2314" t="s">
        <v>2027</v>
      </c>
      <c r="B28" s="119">
        <v>190</v>
      </c>
      <c r="C28" s="2315"/>
      <c r="D28" s="2312"/>
      <c r="E28" s="1427"/>
      <c r="F28" s="1427"/>
      <c r="G28" s="2266"/>
      <c r="H28" s="2266"/>
      <c r="I28" s="2266"/>
      <c r="J28" s="226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9.4" thickBot="1">
      <c r="A29" s="2316" t="s">
        <v>2028</v>
      </c>
      <c r="B29" s="121"/>
      <c r="C29" s="1755" t="s">
        <v>2029</v>
      </c>
      <c r="D29" s="2312"/>
      <c r="E29" s="1427"/>
      <c r="F29" s="1427"/>
      <c r="G29" s="2266"/>
      <c r="H29" s="2266"/>
      <c r="I29" s="2266"/>
      <c r="J29" s="226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8.8">
      <c r="A30" s="2317" t="s">
        <v>2030</v>
      </c>
      <c r="B30" s="724">
        <v>200</v>
      </c>
      <c r="C30" s="2315"/>
      <c r="D30" s="2312"/>
      <c r="E30" s="1427"/>
      <c r="F30" s="1427"/>
      <c r="G30" s="2266"/>
      <c r="H30" s="2266"/>
      <c r="I30" s="2266"/>
      <c r="J30" s="226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8.8">
      <c r="A31" s="2314" t="s">
        <v>2031</v>
      </c>
      <c r="B31" s="120">
        <f>B30-B32</f>
        <v>200</v>
      </c>
      <c r="C31" s="1755"/>
      <c r="D31" s="2312"/>
      <c r="E31" s="1427"/>
      <c r="F31" s="1427"/>
      <c r="G31" s="2266"/>
      <c r="H31" s="2266"/>
      <c r="I31" s="2266"/>
      <c r="J31" s="226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9.4" thickBot="1">
      <c r="A32" s="2318" t="s">
        <v>2032</v>
      </c>
      <c r="B32" s="725">
        <v>0</v>
      </c>
      <c r="C32" s="2315"/>
      <c r="D32" s="2267"/>
      <c r="E32" s="2266"/>
      <c r="F32" s="2266"/>
      <c r="G32" s="2266"/>
      <c r="H32" s="2266"/>
      <c r="I32" s="2266"/>
      <c r="J32" s="226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4">
      <c r="A33" s="2311" t="s">
        <v>2033</v>
      </c>
      <c r="B33" s="726">
        <v>0.05</v>
      </c>
      <c r="C33" s="1754" t="s">
        <v>2034</v>
      </c>
      <c r="D33" s="2267"/>
      <c r="E33" s="2266"/>
      <c r="F33" s="2266"/>
      <c r="G33" s="2266"/>
      <c r="H33" s="2266"/>
      <c r="I33" s="2266"/>
      <c r="J33" s="226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4">
      <c r="A34" s="2314" t="s">
        <v>2035</v>
      </c>
      <c r="B34" s="122">
        <v>0</v>
      </c>
      <c r="C34" s="1754" t="s">
        <v>2036</v>
      </c>
      <c r="D34" s="2267" t="s">
        <v>2037</v>
      </c>
      <c r="E34" s="732"/>
      <c r="F34" s="2266"/>
      <c r="G34" s="2266"/>
      <c r="H34" s="2266"/>
      <c r="I34" s="2266"/>
      <c r="J34" s="226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4">
      <c r="A35" s="2314" t="s">
        <v>2038</v>
      </c>
      <c r="B35" s="119">
        <v>200</v>
      </c>
      <c r="C35" s="1754" t="s">
        <v>2039</v>
      </c>
      <c r="D35" s="2312"/>
      <c r="E35" s="1427"/>
      <c r="F35" s="1427"/>
      <c r="G35" s="2266"/>
      <c r="H35" s="2266"/>
      <c r="I35" s="2266"/>
      <c r="J35" s="226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2040</v>
      </c>
      <c r="B36" s="123">
        <v>1.4999999999999999E-2</v>
      </c>
      <c r="C36" s="1754" t="s">
        <v>2041</v>
      </c>
      <c r="D36" s="2267"/>
      <c r="E36" s="2266"/>
      <c r="F36" s="2266"/>
      <c r="G36" s="2266"/>
      <c r="H36" s="2266"/>
      <c r="I36" s="2266"/>
      <c r="J36" s="226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17" t="s">
        <v>2042</v>
      </c>
      <c r="B37" s="124">
        <v>0.02</v>
      </c>
      <c r="C37" s="1754" t="s">
        <v>2043</v>
      </c>
      <c r="D37" s="2267"/>
      <c r="E37" s="2266"/>
      <c r="F37" s="2266"/>
      <c r="G37" s="2266"/>
      <c r="H37" s="2266"/>
      <c r="I37" s="2266"/>
      <c r="J37" s="226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4" t="s">
        <v>2044</v>
      </c>
      <c r="B38" s="122">
        <v>0.02</v>
      </c>
      <c r="C38" s="1754" t="s">
        <v>2043</v>
      </c>
      <c r="D38" s="2267"/>
      <c r="E38" s="2266"/>
      <c r="F38" s="2266"/>
      <c r="G38" s="2266"/>
      <c r="H38" s="2266"/>
      <c r="I38" s="2266"/>
      <c r="J38" s="226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18" t="s">
        <v>2045</v>
      </c>
      <c r="B39" s="362">
        <f ca="1">存贷款利率!I1</f>
        <v>1.4999999999999999E-2</v>
      </c>
      <c r="C39" s="1754"/>
      <c r="D39" s="2267"/>
      <c r="E39" s="2266"/>
      <c r="F39" s="2266"/>
      <c r="G39" s="2266"/>
      <c r="H39" s="2266"/>
      <c r="I39" s="2266"/>
      <c r="J39" s="226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8" t="s">
        <v>2046</v>
      </c>
      <c r="B40" s="1300">
        <f ca="1">存贷款利率!G1</f>
        <v>4.7500000000000001E-2</v>
      </c>
      <c r="C40" s="1754" t="s">
        <v>2047</v>
      </c>
      <c r="D40" s="1580"/>
      <c r="E40" s="2267"/>
      <c r="F40" s="2266"/>
      <c r="G40" s="2266"/>
      <c r="H40" s="2266"/>
      <c r="I40" s="2266"/>
      <c r="J40" s="226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1" t="s">
        <v>2048</v>
      </c>
      <c r="B41" s="125">
        <f>B42+B43</f>
        <v>5.5000000000000007E-2</v>
      </c>
      <c r="C41" s="1755"/>
      <c r="D41" s="1580"/>
      <c r="E41" s="2267"/>
      <c r="F41" s="2266"/>
      <c r="G41" s="2266"/>
      <c r="H41" s="2266"/>
      <c r="I41" s="2266"/>
      <c r="J41" s="226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19" t="s">
        <v>2049</v>
      </c>
      <c r="B42" s="126">
        <v>0.05</v>
      </c>
      <c r="C42" s="2320">
        <f>IF(B2&lt;DATE(2016,5,1),0,B42)</f>
        <v>0.05</v>
      </c>
      <c r="D42" s="2267"/>
      <c r="E42" s="2266"/>
      <c r="F42" s="2266"/>
      <c r="G42" s="2266"/>
      <c r="H42" s="2266"/>
      <c r="I42" s="2266"/>
      <c r="J42" s="226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19" t="s">
        <v>2050</v>
      </c>
      <c r="B43" s="127">
        <f>B42*(B44+B45+B46)+B47</f>
        <v>5.000000000000001E-3</v>
      </c>
      <c r="C43" s="1755"/>
      <c r="D43" s="2267"/>
      <c r="E43" s="2266"/>
      <c r="F43" s="2266"/>
      <c r="G43" s="2266"/>
      <c r="H43" s="2266"/>
      <c r="I43" s="2266"/>
      <c r="J43" s="226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1" t="s">
        <v>2051</v>
      </c>
      <c r="B44" s="128">
        <v>0.05</v>
      </c>
      <c r="C44" s="1754" t="s">
        <v>2052</v>
      </c>
      <c r="D44" s="2267"/>
      <c r="E44" s="2266"/>
      <c r="F44" s="2266"/>
      <c r="G44" s="2266"/>
      <c r="H44" s="2266"/>
      <c r="I44" s="2266"/>
      <c r="J44" s="226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1" t="s">
        <v>2053</v>
      </c>
      <c r="B45" s="126">
        <v>0.03</v>
      </c>
      <c r="C45" s="1755" t="s">
        <v>2054</v>
      </c>
      <c r="D45" s="2267"/>
      <c r="E45" s="2266"/>
      <c r="F45" s="2266"/>
      <c r="G45" s="2266"/>
      <c r="H45" s="2266"/>
      <c r="I45" s="2266"/>
      <c r="J45" s="226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1" t="s">
        <v>2055</v>
      </c>
      <c r="B46" s="126">
        <v>0.02</v>
      </c>
      <c r="C46" s="1755" t="s">
        <v>2056</v>
      </c>
      <c r="D46" s="2267"/>
      <c r="E46" s="2266"/>
      <c r="F46" s="2266"/>
      <c r="G46" s="2266"/>
      <c r="H46" s="2266"/>
      <c r="I46" s="2266"/>
      <c r="J46" s="226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2" t="s">
        <v>2057</v>
      </c>
      <c r="B47" s="129"/>
      <c r="C47" s="1755" t="s">
        <v>2058</v>
      </c>
      <c r="D47" s="2267"/>
      <c r="E47" s="2266"/>
      <c r="F47" s="2266"/>
      <c r="G47" s="2266"/>
      <c r="H47" s="2266"/>
      <c r="I47" s="2266"/>
      <c r="J47" s="226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3" t="s">
        <v>2059</v>
      </c>
      <c r="B48" s="130">
        <v>0.03</v>
      </c>
      <c r="C48" s="1762" t="s">
        <v>2060</v>
      </c>
      <c r="D48" s="2267"/>
      <c r="E48" s="2266"/>
      <c r="F48" s="2266"/>
      <c r="G48" s="2266"/>
      <c r="H48" s="2266"/>
      <c r="I48" s="2266"/>
      <c r="J48" s="226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8" t="s">
        <v>2061</v>
      </c>
      <c r="B49" s="126">
        <v>5.0000000000000001E-4</v>
      </c>
      <c r="C49" s="1762" t="s">
        <v>2062</v>
      </c>
      <c r="D49" s="2267"/>
      <c r="E49" s="2266"/>
      <c r="F49" s="2266"/>
      <c r="G49" s="2266"/>
      <c r="H49" s="2266"/>
      <c r="I49" s="2266"/>
      <c r="J49" s="226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4" t="s">
        <v>2063</v>
      </c>
      <c r="B50" s="131">
        <v>1.2E-2</v>
      </c>
      <c r="C50" s="1427"/>
      <c r="D50" s="2267"/>
      <c r="E50" s="2266"/>
      <c r="F50" s="2266"/>
      <c r="G50" s="2266"/>
      <c r="H50" s="2266"/>
      <c r="I50" s="2266"/>
      <c r="J50" s="226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6" t="s">
        <v>2064</v>
      </c>
      <c r="B51" s="132">
        <v>0.12</v>
      </c>
      <c r="C51" s="1427"/>
      <c r="D51" s="2267"/>
      <c r="E51" s="2266"/>
      <c r="F51" s="2266"/>
      <c r="G51" s="2266"/>
      <c r="H51" s="2266"/>
      <c r="I51" s="2266"/>
      <c r="J51" s="226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4" t="s">
        <v>2065</v>
      </c>
      <c r="B52" s="133">
        <f>SUMIF(A54:A63,B53,B54:B63)</f>
        <v>1.5</v>
      </c>
      <c r="C52" s="1427"/>
      <c r="D52" s="2267"/>
      <c r="E52" s="2266"/>
      <c r="F52" s="2266"/>
      <c r="G52" s="2266"/>
      <c r="H52" s="2266"/>
      <c r="I52" s="2266"/>
      <c r="J52" s="226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4" t="s">
        <v>2066</v>
      </c>
      <c r="B53" s="2325" t="s">
        <v>56</v>
      </c>
      <c r="C53" s="1427" t="s">
        <v>2067</v>
      </c>
      <c r="D53" s="2326" t="s">
        <v>2068</v>
      </c>
      <c r="E53" s="2266"/>
      <c r="F53" s="2266"/>
      <c r="G53" s="2266"/>
      <c r="H53" s="2266"/>
      <c r="I53" s="2266"/>
      <c r="J53" s="226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27" t="s">
        <v>2069</v>
      </c>
      <c r="B54" s="84"/>
      <c r="C54" s="1427">
        <v>30</v>
      </c>
      <c r="D54" s="2267"/>
      <c r="E54" s="2266"/>
      <c r="F54" s="2266"/>
      <c r="G54" s="2266"/>
      <c r="H54" s="2266"/>
      <c r="I54" s="2266"/>
      <c r="J54" s="226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27" t="s">
        <v>2070</v>
      </c>
      <c r="B55" s="84"/>
      <c r="C55" s="1427">
        <v>24</v>
      </c>
      <c r="D55" s="2267"/>
      <c r="E55" s="2266"/>
      <c r="F55" s="2266"/>
      <c r="G55" s="2266"/>
      <c r="H55" s="2266"/>
      <c r="I55" s="2328"/>
      <c r="J55" s="226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27" t="s">
        <v>2071</v>
      </c>
      <c r="B56" s="84"/>
      <c r="C56" s="1427">
        <v>18</v>
      </c>
      <c r="D56" s="2267"/>
      <c r="E56" s="2266"/>
      <c r="F56" s="2266"/>
      <c r="G56" s="2266"/>
      <c r="H56" s="2266"/>
      <c r="I56" s="2266"/>
      <c r="J56" s="226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27" t="s">
        <v>2072</v>
      </c>
      <c r="B57" s="84"/>
      <c r="C57" s="1427">
        <v>12</v>
      </c>
      <c r="D57" s="2267"/>
      <c r="E57" s="2266"/>
      <c r="F57" s="2266"/>
      <c r="G57" s="2266"/>
      <c r="H57" s="2266"/>
      <c r="I57" s="2266"/>
      <c r="J57" s="226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27" t="s">
        <v>2073</v>
      </c>
      <c r="B58" s="84"/>
      <c r="C58" s="1427">
        <v>3</v>
      </c>
      <c r="D58" s="2267"/>
      <c r="E58" s="2266"/>
      <c r="F58" s="2266"/>
      <c r="G58" s="2266"/>
      <c r="H58" s="2266"/>
      <c r="I58" s="2266"/>
      <c r="J58" s="226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27" t="s">
        <v>2074</v>
      </c>
      <c r="B59" s="84">
        <v>1.5</v>
      </c>
      <c r="C59" s="1427">
        <v>1.5</v>
      </c>
      <c r="D59" s="2267"/>
      <c r="E59" s="2266"/>
      <c r="F59" s="2266"/>
      <c r="G59" s="2266"/>
      <c r="H59" s="2266"/>
      <c r="I59" s="2266"/>
      <c r="J59" s="226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27" t="s">
        <v>2075</v>
      </c>
      <c r="B60" s="84"/>
      <c r="C60" s="2266"/>
      <c r="D60" s="2267"/>
      <c r="E60" s="2266"/>
      <c r="F60" s="2266"/>
      <c r="G60" s="2266"/>
      <c r="H60" s="2266"/>
      <c r="I60" s="2266"/>
      <c r="J60" s="226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27" t="s">
        <v>2076</v>
      </c>
      <c r="B61" s="84"/>
      <c r="C61" s="2266"/>
      <c r="D61" s="2267"/>
      <c r="E61" s="2266"/>
      <c r="F61" s="2266"/>
      <c r="G61" s="2266"/>
      <c r="H61" s="2266"/>
      <c r="I61" s="2266"/>
      <c r="J61" s="226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27" t="s">
        <v>2077</v>
      </c>
      <c r="B62" s="84"/>
      <c r="C62" s="2266"/>
      <c r="D62" s="2267"/>
      <c r="E62" s="2266"/>
      <c r="F62" s="2266"/>
      <c r="G62" s="2266"/>
      <c r="H62" s="2266"/>
      <c r="I62" s="2266"/>
      <c r="J62" s="226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9" t="s">
        <v>2078</v>
      </c>
      <c r="B63" s="134"/>
      <c r="C63" s="2266"/>
      <c r="D63" s="2267"/>
      <c r="E63" s="2266"/>
      <c r="F63" s="2266"/>
      <c r="G63" s="2266"/>
      <c r="H63" s="2266"/>
      <c r="I63" s="2266"/>
      <c r="J63" s="226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7"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6"/>
    <col min="30" max="16384" width="9" style="2357"/>
  </cols>
  <sheetData>
    <row r="1" spans="1:29" s="2350" customFormat="1" ht="18" thickBot="1">
      <c r="A1" s="3117" t="s">
        <v>2079</v>
      </c>
      <c r="B1" s="3118"/>
      <c r="C1" s="3118"/>
      <c r="D1" s="3118"/>
      <c r="E1" s="3118"/>
      <c r="F1" s="3118"/>
      <c r="G1" s="3118"/>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2080</v>
      </c>
      <c r="D2" s="2354"/>
      <c r="E2" s="2355"/>
      <c r="F2" s="2275"/>
      <c r="G2" s="2353" t="s">
        <v>2081</v>
      </c>
      <c r="H2" s="2356"/>
      <c r="I2" s="2356"/>
      <c r="J2" s="2356"/>
      <c r="K2" s="2356"/>
      <c r="L2" s="2356"/>
      <c r="M2" s="2356"/>
      <c r="N2" s="2356"/>
      <c r="O2" s="2356"/>
      <c r="P2" s="2356"/>
      <c r="Q2" s="2356"/>
      <c r="R2" s="2356"/>
    </row>
    <row r="3" spans="1:29" ht="57.6">
      <c r="A3" s="415" t="s">
        <v>2082</v>
      </c>
      <c r="B3" s="1268" t="s">
        <v>2083</v>
      </c>
      <c r="C3" s="2358" t="s">
        <v>2084</v>
      </c>
      <c r="D3" s="2359"/>
      <c r="E3" s="431" t="s">
        <v>2082</v>
      </c>
      <c r="F3" s="2360" t="s">
        <v>2085</v>
      </c>
      <c r="G3" s="2361" t="s">
        <v>2086</v>
      </c>
      <c r="H3" s="2356"/>
      <c r="I3" s="2356"/>
      <c r="J3" s="2356"/>
      <c r="K3" s="2356"/>
      <c r="L3" s="2356"/>
      <c r="M3" s="2356"/>
      <c r="N3" s="2356"/>
      <c r="O3" s="2356"/>
      <c r="P3" s="2356"/>
      <c r="Q3" s="2356"/>
      <c r="R3" s="2356"/>
    </row>
    <row r="4" spans="1:29" ht="43.2">
      <c r="A4" s="431"/>
      <c r="B4" s="1786" t="s">
        <v>2087</v>
      </c>
      <c r="C4" s="2362" t="s">
        <v>2088</v>
      </c>
      <c r="D4" s="2359"/>
      <c r="E4" s="2363"/>
      <c r="F4" s="42" t="s">
        <v>2089</v>
      </c>
      <c r="G4" s="2364" t="s">
        <v>2090</v>
      </c>
      <c r="H4" s="2356"/>
      <c r="I4" s="2356"/>
      <c r="J4" s="2356"/>
      <c r="K4" s="2356"/>
      <c r="L4" s="2356"/>
      <c r="M4" s="2356"/>
      <c r="N4" s="2356"/>
      <c r="O4" s="2356"/>
      <c r="P4" s="2356"/>
      <c r="Q4" s="2356"/>
      <c r="R4" s="2356"/>
    </row>
    <row r="5" spans="1:29" ht="43.2">
      <c r="A5" s="431"/>
      <c r="B5" s="1786" t="s">
        <v>2091</v>
      </c>
      <c r="C5" s="2362" t="s">
        <v>2092</v>
      </c>
      <c r="D5" s="2359"/>
      <c r="E5" s="2363"/>
      <c r="F5" s="1786" t="s">
        <v>2093</v>
      </c>
      <c r="G5" s="2364" t="s">
        <v>2094</v>
      </c>
      <c r="H5" s="2356"/>
      <c r="I5" s="2356"/>
      <c r="J5" s="2356"/>
      <c r="K5" s="2356"/>
      <c r="L5" s="2356"/>
      <c r="M5" s="2356"/>
      <c r="N5" s="2356"/>
      <c r="O5" s="2356"/>
      <c r="P5" s="2356"/>
      <c r="Q5" s="2356"/>
      <c r="R5" s="2356"/>
    </row>
    <row r="6" spans="1:29" ht="57.6">
      <c r="A6" s="431"/>
      <c r="B6" s="1786" t="s">
        <v>2095</v>
      </c>
      <c r="C6" s="2364" t="s">
        <v>2090</v>
      </c>
      <c r="D6" s="2359"/>
      <c r="E6" s="2363"/>
      <c r="F6" s="1786" t="s">
        <v>2096</v>
      </c>
      <c r="G6" s="2364" t="s">
        <v>2097</v>
      </c>
      <c r="H6" s="2356"/>
      <c r="I6" s="2356"/>
      <c r="J6" s="2356"/>
      <c r="K6" s="2356"/>
      <c r="L6" s="2356"/>
      <c r="M6" s="2356"/>
      <c r="N6" s="2356"/>
      <c r="O6" s="2356"/>
      <c r="P6" s="2356"/>
      <c r="Q6" s="2356"/>
      <c r="R6" s="2356"/>
    </row>
    <row r="7" spans="1:29" ht="43.8" thickBot="1">
      <c r="A7" s="431"/>
      <c r="B7" s="1786" t="s">
        <v>2093</v>
      </c>
      <c r="C7" s="2364" t="s">
        <v>2094</v>
      </c>
      <c r="D7" s="2365"/>
      <c r="E7" s="2366"/>
      <c r="F7" s="2367" t="s">
        <v>2098</v>
      </c>
      <c r="G7" s="2368" t="s">
        <v>2099</v>
      </c>
      <c r="H7" s="2356"/>
      <c r="I7" s="2356"/>
      <c r="J7" s="2356"/>
      <c r="K7" s="2356"/>
      <c r="L7" s="2356"/>
      <c r="M7" s="2356"/>
      <c r="N7" s="2356"/>
      <c r="O7" s="2356"/>
      <c r="P7" s="2356"/>
      <c r="Q7" s="2356"/>
      <c r="R7" s="2356"/>
    </row>
    <row r="8" spans="1:29" ht="28.8">
      <c r="A8" s="431"/>
      <c r="B8" s="1786" t="s">
        <v>2096</v>
      </c>
      <c r="C8" s="2364" t="s">
        <v>2097</v>
      </c>
      <c r="D8" s="2365"/>
      <c r="E8" s="2365"/>
      <c r="F8" s="1133"/>
      <c r="G8" s="1133"/>
      <c r="H8" s="2356"/>
      <c r="I8" s="2356"/>
      <c r="J8" s="2356"/>
      <c r="K8" s="2356"/>
      <c r="L8" s="2356"/>
      <c r="M8" s="2356"/>
      <c r="N8" s="2356"/>
      <c r="O8" s="2356"/>
      <c r="P8" s="2356"/>
      <c r="Q8" s="2356"/>
      <c r="R8" s="2356"/>
    </row>
    <row r="9" spans="1:29" ht="43.2">
      <c r="A9" s="431"/>
      <c r="B9" s="1786" t="s">
        <v>2100</v>
      </c>
      <c r="C9" s="2362" t="s">
        <v>2101</v>
      </c>
      <c r="D9" s="2359"/>
      <c r="E9" s="2365"/>
      <c r="F9" s="1133"/>
      <c r="G9" s="1133"/>
      <c r="H9" s="2356"/>
      <c r="I9" s="2356"/>
      <c r="J9" s="2356"/>
      <c r="K9" s="2356"/>
      <c r="L9" s="2356"/>
      <c r="M9" s="2356"/>
      <c r="N9" s="2356"/>
      <c r="O9" s="2356"/>
      <c r="P9" s="2356"/>
      <c r="Q9" s="2356"/>
      <c r="R9" s="2356"/>
    </row>
    <row r="10" spans="1:29" s="117" customFormat="1" ht="15" thickBot="1">
      <c r="A10" s="2369"/>
      <c r="B10" s="2370" t="s">
        <v>2102</v>
      </c>
      <c r="C10" s="2371"/>
      <c r="D10" s="2359"/>
      <c r="E10" s="2359"/>
      <c r="F10" s="1133"/>
      <c r="G10" s="1133"/>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7" customFormat="1">
      <c r="A11" s="2375"/>
      <c r="B11" s="2365"/>
      <c r="C11" s="2359"/>
      <c r="D11" s="2359"/>
      <c r="E11" s="2359"/>
      <c r="F11" s="2365"/>
      <c r="G11" s="1151"/>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7.399999999999999">
      <c r="A12" s="2375"/>
      <c r="B12" s="2365"/>
      <c r="C12" s="2359"/>
      <c r="D12" s="2376"/>
      <c r="E12" s="2359"/>
      <c r="F12" s="2365"/>
      <c r="G12" s="1151"/>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8" thickBot="1">
      <c r="A13" s="2382" t="s">
        <v>2103</v>
      </c>
      <c r="B13" s="2376"/>
      <c r="C13" s="2376"/>
      <c r="D13" s="2383"/>
      <c r="E13" s="2376"/>
      <c r="F13" s="2376"/>
      <c r="G13" s="2376"/>
    </row>
    <row r="14" spans="1:29" ht="15" thickBot="1">
      <c r="A14" s="2387"/>
      <c r="B14" s="2388"/>
      <c r="C14" s="2389" t="s">
        <v>2104</v>
      </c>
      <c r="D14" s="2359"/>
      <c r="E14" s="2390"/>
      <c r="F14" s="2390"/>
      <c r="G14" s="2353" t="s">
        <v>2105</v>
      </c>
    </row>
    <row r="15" spans="1:29" ht="55.2">
      <c r="A15" s="68" t="s">
        <v>2106</v>
      </c>
      <c r="B15" s="1267" t="s">
        <v>2083</v>
      </c>
      <c r="C15" s="2391" t="str">
        <f>C3</f>
        <v>估价对象周边居住用地比例、居住小区规模和社区发展完善程度，综合评价居住社区成熟度一般</v>
      </c>
      <c r="D15" s="2359"/>
      <c r="E15" s="2392" t="s">
        <v>2107</v>
      </c>
      <c r="F15" s="1267" t="s">
        <v>2108</v>
      </c>
      <c r="G15" s="135" t="str">
        <f>G3</f>
        <v>估价对象位于XX开发区，园区建设成熟度XX，产业集聚程度XX</v>
      </c>
    </row>
    <row r="16" spans="1:29" ht="41.4">
      <c r="A16" s="645"/>
      <c r="B16" s="2393" t="s">
        <v>2087</v>
      </c>
      <c r="C16" s="2394" t="str">
        <f>C4</f>
        <v>估价对象位于XX商圈，周边商业氛围成熟，人流量大，商业繁华度好</v>
      </c>
      <c r="D16" s="2359"/>
      <c r="E16" s="2395"/>
      <c r="F16" s="2396" t="s">
        <v>2089</v>
      </c>
      <c r="G16" s="136" t="str">
        <f>G4</f>
        <v>估价对象周边道路状况、公共交通通达情况、停车便捷程度，综合评价交通便捷度较好</v>
      </c>
    </row>
    <row r="17" spans="1:18" ht="41.4">
      <c r="A17" s="645"/>
      <c r="B17" s="2393" t="s">
        <v>2091</v>
      </c>
      <c r="C17" s="2394" t="str">
        <f>C5</f>
        <v>估价对象位于XX商圈，周边办公楼项目较多，入驻率高，办公集聚程度较好</v>
      </c>
      <c r="D17" s="2365"/>
      <c r="E17" s="2395"/>
      <c r="F17" s="2396" t="s">
        <v>2109</v>
      </c>
      <c r="G17" s="1568"/>
    </row>
    <row r="18" spans="1:18" ht="55.2">
      <c r="A18" s="645"/>
      <c r="B18" s="2396" t="s">
        <v>2095</v>
      </c>
      <c r="C18" s="136" t="str">
        <f>C6</f>
        <v>估价对象周边道路状况、公共交通通达情况、停车便捷程度，综合评价交通便捷度较好</v>
      </c>
      <c r="D18" s="2365"/>
      <c r="E18" s="2395"/>
      <c r="F18" s="2396" t="s">
        <v>2098</v>
      </c>
      <c r="G18" s="136" t="str">
        <f>G7</f>
        <v>该园区内是否有污染型企业，绿化情况，卫生条件，整体环境状况判断</v>
      </c>
    </row>
    <row r="19" spans="1:18" ht="27.6">
      <c r="A19" s="645"/>
      <c r="B19" s="2396" t="s">
        <v>2110</v>
      </c>
      <c r="C19" s="1568"/>
      <c r="D19" s="2359"/>
      <c r="E19" s="2395"/>
      <c r="F19" s="1786" t="s">
        <v>2093</v>
      </c>
      <c r="G19" s="136" t="str">
        <f>G5</f>
        <v>估价对象所在区域公共配套设施齐备情况</v>
      </c>
    </row>
    <row r="20" spans="1:18" ht="41.4">
      <c r="A20" s="645"/>
      <c r="B20" s="2396" t="s">
        <v>2111</v>
      </c>
      <c r="C20" s="2394" t="str">
        <f>C9</f>
        <v>区域自然环境：；人文环境；综合评价环境状况一般</v>
      </c>
      <c r="D20" s="2365"/>
      <c r="E20" s="2395"/>
      <c r="F20" s="1786" t="s">
        <v>2112</v>
      </c>
      <c r="G20" s="136" t="str">
        <f>G6</f>
        <v>估价对象所在区域基础设施水平</v>
      </c>
    </row>
    <row r="21" spans="1:18" ht="27.6">
      <c r="A21" s="645"/>
      <c r="B21" s="1786" t="s">
        <v>2093</v>
      </c>
      <c r="C21" s="136" t="str">
        <f>C7</f>
        <v>估价对象所在区域公共配套设施齐备情况</v>
      </c>
      <c r="D21" s="2359"/>
      <c r="E21" s="2395"/>
      <c r="F21" s="2396" t="s">
        <v>2113</v>
      </c>
      <c r="G21" s="2397"/>
    </row>
    <row r="22" spans="1:18" ht="13.5" customHeight="1">
      <c r="A22" s="645"/>
      <c r="B22" s="1786" t="s">
        <v>2096</v>
      </c>
      <c r="C22" s="136" t="str">
        <f>C8</f>
        <v>估价对象所在区域基础设施水平</v>
      </c>
      <c r="D22" s="2359"/>
      <c r="E22" s="2395"/>
      <c r="F22" s="2396" t="s">
        <v>2102</v>
      </c>
      <c r="G22" s="1568"/>
    </row>
    <row r="23" spans="1:18" s="2356" customFormat="1" ht="15" thickBot="1">
      <c r="A23" s="645"/>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 thickBot="1">
      <c r="A24" s="2401"/>
      <c r="B24" s="2399" t="s">
        <v>2115</v>
      </c>
      <c r="C24" s="137">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8" sqref="I8"/>
    </sheetView>
  </sheetViews>
  <sheetFormatPr defaultColWidth="9" defaultRowHeight="14.4"/>
  <cols>
    <col min="1" max="1" width="23.33203125" style="2948" customWidth="1"/>
    <col min="2" max="9" width="15.77734375" style="2948" customWidth="1"/>
    <col min="10" max="16384" width="9" style="2948"/>
  </cols>
  <sheetData>
    <row r="1" spans="1:10" ht="16.2">
      <c r="A1" s="2949" t="s">
        <v>1360</v>
      </c>
      <c r="B1" s="2949">
        <f>SUM(B14:B23)</f>
        <v>85553.64</v>
      </c>
      <c r="C1" s="2946"/>
      <c r="D1" s="2946"/>
      <c r="E1" s="2946"/>
      <c r="F1" s="2946"/>
      <c r="G1" s="2947"/>
    </row>
    <row r="2" spans="1:10" ht="16.2">
      <c r="A2" s="2949" t="s">
        <v>1348</v>
      </c>
      <c r="B2" s="2949">
        <f>SUM(C14:C23)</f>
        <v>23247.07</v>
      </c>
      <c r="C2" s="2946"/>
      <c r="D2" s="2946"/>
      <c r="E2" s="2946"/>
      <c r="F2" s="2946"/>
      <c r="G2" s="2947"/>
    </row>
    <row r="3" spans="1:10" ht="15.6">
      <c r="A3" s="2949" t="s">
        <v>1357</v>
      </c>
      <c r="B3" s="2950">
        <f>项目基本情况!D3</f>
        <v>44012</v>
      </c>
      <c r="C3" s="2946"/>
      <c r="D3" s="2946"/>
      <c r="E3" s="2946"/>
      <c r="F3" s="2946"/>
      <c r="G3" s="2947"/>
    </row>
    <row r="4" spans="1:10" ht="31.2">
      <c r="A4" s="2949" t="s">
        <v>1356</v>
      </c>
      <c r="B4" s="2949" t="s">
        <v>1355</v>
      </c>
      <c r="C4" s="2949" t="s">
        <v>1354</v>
      </c>
      <c r="D4" s="2949" t="s">
        <v>1353</v>
      </c>
      <c r="E4" s="2946"/>
      <c r="F4" s="2947"/>
      <c r="G4" s="2947"/>
    </row>
    <row r="5" spans="1:10" ht="15.6">
      <c r="A5" s="2949" t="s">
        <v>1352</v>
      </c>
      <c r="B5" s="2949">
        <f ca="1">SUM(D14:D23)</f>
        <v>100545</v>
      </c>
      <c r="C5" s="2949">
        <f ca="1">ROUND(B5*10000/$B$1,0)</f>
        <v>11752</v>
      </c>
      <c r="D5" s="2949">
        <f ca="1">ROUND(B5*10000/$B$2,0)</f>
        <v>43251</v>
      </c>
      <c r="E5" s="2946"/>
      <c r="F5" s="2947"/>
      <c r="G5" s="2947"/>
    </row>
    <row r="6" spans="1:10" ht="15.6">
      <c r="A6" s="2949" t="s">
        <v>1351</v>
      </c>
      <c r="B6" s="2949">
        <f ca="1">SUM(G14:G23)</f>
        <v>100545</v>
      </c>
      <c r="C6" s="2949">
        <f ca="1">ROUND(B6*10000/$B$1,0)</f>
        <v>11752</v>
      </c>
      <c r="D6" s="2949">
        <f ca="1">ROUND(B6*10000/$B$2,0)</f>
        <v>43251</v>
      </c>
      <c r="E6" s="2946"/>
      <c r="F6" s="2947"/>
      <c r="G6" s="2947"/>
    </row>
    <row r="7" spans="1:10" ht="15.6">
      <c r="A7" s="2949" t="s">
        <v>1359</v>
      </c>
      <c r="B7" s="2949">
        <f>SUM(H14:H23)</f>
        <v>0</v>
      </c>
      <c r="C7" s="2949">
        <f>ROUND(B7*10000/$B$1,0)</f>
        <v>0</v>
      </c>
      <c r="D7" s="2949">
        <f>ROUND(B7*10000/$B$2,0)</f>
        <v>0</v>
      </c>
      <c r="E7" s="2946"/>
      <c r="F7" s="2947"/>
      <c r="G7" s="2947"/>
    </row>
    <row r="8" spans="1:10" ht="15.6">
      <c r="A8" s="2949" t="s">
        <v>1280</v>
      </c>
      <c r="B8" s="2949">
        <f>SUM(I14:I23)</f>
        <v>0</v>
      </c>
      <c r="C8" s="2949">
        <f>ROUND(B8*10000/$B$1,0)</f>
        <v>0</v>
      </c>
      <c r="D8" s="2949">
        <f>ROUND(B8*10000/$B$2,0)</f>
        <v>0</v>
      </c>
      <c r="E8" s="2946"/>
      <c r="F8" s="2947"/>
      <c r="G8" s="2947"/>
    </row>
    <row r="9" spans="1:10" ht="15.6">
      <c r="A9" s="2949" t="s">
        <v>1350</v>
      </c>
      <c r="B9" s="1737"/>
      <c r="C9" s="2946"/>
      <c r="D9" s="2946"/>
      <c r="E9" s="2946"/>
      <c r="F9" s="2947"/>
      <c r="G9" s="2947"/>
    </row>
    <row r="10" spans="1:10" ht="15.6">
      <c r="A10" s="2949" t="s">
        <v>1349</v>
      </c>
      <c r="B10" s="1737"/>
      <c r="C10" s="2946"/>
      <c r="D10" s="2946"/>
      <c r="E10" s="2946"/>
      <c r="F10" s="2947"/>
      <c r="G10" s="2947"/>
    </row>
    <row r="11" spans="1:10" ht="15.6">
      <c r="A11" s="2949" t="s">
        <v>1365</v>
      </c>
      <c r="B11" s="1737"/>
      <c r="C11" s="2946"/>
      <c r="D11" s="2946"/>
      <c r="E11" s="2946"/>
      <c r="F11" s="2947"/>
      <c r="G11" s="2947"/>
    </row>
    <row r="12" spans="1:10" ht="15.6">
      <c r="A12" s="2946"/>
      <c r="B12" s="2946"/>
      <c r="C12" s="2946"/>
      <c r="D12" s="2946"/>
      <c r="E12" s="2946"/>
      <c r="F12" s="2947"/>
      <c r="G12" s="2947"/>
    </row>
    <row r="13" spans="1:10" ht="31.8">
      <c r="A13" s="2951" t="s">
        <v>1364</v>
      </c>
      <c r="B13" s="2952" t="s">
        <v>1361</v>
      </c>
      <c r="C13" s="2952" t="s">
        <v>1363</v>
      </c>
      <c r="D13" s="2952" t="s">
        <v>1362</v>
      </c>
      <c r="E13" s="2949" t="s">
        <v>1354</v>
      </c>
      <c r="F13" s="2949" t="s">
        <v>1353</v>
      </c>
      <c r="G13" s="2952" t="s">
        <v>1347</v>
      </c>
      <c r="H13" s="2952" t="s">
        <v>1358</v>
      </c>
      <c r="I13" s="2952" t="s">
        <v>1346</v>
      </c>
      <c r="J13" s="2947"/>
    </row>
    <row r="14" spans="1:10" ht="15.6">
      <c r="A14" s="2953" t="s">
        <v>1345</v>
      </c>
      <c r="B14" s="2954">
        <f>结果表!B118</f>
        <v>49320.17</v>
      </c>
      <c r="C14" s="2954">
        <f>结果表!C118</f>
        <v>13401.53</v>
      </c>
      <c r="D14" s="2954">
        <f ca="1">结果表!H118</f>
        <v>84597</v>
      </c>
      <c r="E14" s="2952">
        <f ca="1">ROUND(D14*10000/B14,0)</f>
        <v>17153</v>
      </c>
      <c r="F14" s="2952">
        <f ca="1">ROUND(D14*10000/C14,0)</f>
        <v>63125</v>
      </c>
      <c r="G14" s="2954">
        <f ca="1">结果表!D122</f>
        <v>84597</v>
      </c>
      <c r="H14" s="2954" t="str">
        <f>结果表!D124</f>
        <v>——</v>
      </c>
      <c r="I14" s="2954" t="str">
        <f>结果表!D126</f>
        <v>——</v>
      </c>
      <c r="J14" s="2947"/>
    </row>
    <row r="15" spans="1:10" ht="15.6">
      <c r="A15" s="2953" t="s">
        <v>1344</v>
      </c>
      <c r="B15" s="1738">
        <f>结果表商业!M18</f>
        <v>930.84999999999991</v>
      </c>
      <c r="C15" s="1738">
        <f>结果表商业!C118</f>
        <v>252.94</v>
      </c>
      <c r="D15" s="1738">
        <f ca="1">结果表商业!G19</f>
        <v>1418</v>
      </c>
      <c r="E15" s="2952">
        <f t="shared" ref="E15:E23" ca="1" si="0">ROUND(D15*10000/B15,0)</f>
        <v>15233</v>
      </c>
      <c r="F15" s="2952">
        <f t="shared" ref="F15:F23" ca="1" si="1">ROUND(D15*10000/C15,0)</f>
        <v>56061</v>
      </c>
      <c r="G15" s="1739">
        <f ca="1">D15</f>
        <v>1418</v>
      </c>
      <c r="H15" s="1739"/>
      <c r="I15" s="1738"/>
      <c r="J15" s="2947"/>
    </row>
    <row r="16" spans="1:10" ht="15.6">
      <c r="A16" s="2953" t="s">
        <v>1343</v>
      </c>
      <c r="B16" s="1738">
        <f>[1]系统读取表!$B$14</f>
        <v>35302.620000000003</v>
      </c>
      <c r="C16" s="1738">
        <f>面积表!C4-系统读取表!C15-系统读取表!C14</f>
        <v>9592.6</v>
      </c>
      <c r="D16" s="1738">
        <f>[2]系统读取表!$D$14</f>
        <v>14530</v>
      </c>
      <c r="E16" s="2952">
        <f t="shared" si="0"/>
        <v>4116</v>
      </c>
      <c r="F16" s="2952">
        <f t="shared" si="1"/>
        <v>15147</v>
      </c>
      <c r="G16" s="1739">
        <f>D16</f>
        <v>14530</v>
      </c>
      <c r="H16" s="1739"/>
      <c r="I16" s="1738"/>
    </row>
    <row r="17" spans="1:9" ht="15.6">
      <c r="A17" s="2953" t="s">
        <v>1342</v>
      </c>
      <c r="B17" s="1738"/>
      <c r="C17" s="1738"/>
      <c r="D17" s="1738"/>
      <c r="E17" s="2952" t="e">
        <f t="shared" si="0"/>
        <v>#DIV/0!</v>
      </c>
      <c r="F17" s="2952" t="e">
        <f t="shared" si="1"/>
        <v>#DIV/0!</v>
      </c>
      <c r="G17" s="1739"/>
      <c r="H17" s="1739"/>
      <c r="I17" s="1738"/>
    </row>
    <row r="18" spans="1:9" ht="15.6">
      <c r="A18" s="2953" t="s">
        <v>1341</v>
      </c>
      <c r="B18" s="1738"/>
      <c r="C18" s="1738"/>
      <c r="D18" s="1738"/>
      <c r="E18" s="2952" t="e">
        <f t="shared" si="0"/>
        <v>#DIV/0!</v>
      </c>
      <c r="F18" s="2952" t="e">
        <f t="shared" si="1"/>
        <v>#DIV/0!</v>
      </c>
      <c r="G18" s="1738"/>
      <c r="H18" s="1738"/>
      <c r="I18" s="1738"/>
    </row>
    <row r="19" spans="1:9" ht="15.6">
      <c r="A19" s="2953" t="s">
        <v>1340</v>
      </c>
      <c r="B19" s="1738"/>
      <c r="C19" s="1738"/>
      <c r="D19" s="1738"/>
      <c r="E19" s="2952" t="e">
        <f t="shared" si="0"/>
        <v>#DIV/0!</v>
      </c>
      <c r="F19" s="2952" t="e">
        <f t="shared" si="1"/>
        <v>#DIV/0!</v>
      </c>
      <c r="G19" s="1738"/>
      <c r="H19" s="1738"/>
      <c r="I19" s="1738"/>
    </row>
    <row r="20" spans="1:9" ht="15.6">
      <c r="A20" s="2953" t="s">
        <v>1339</v>
      </c>
      <c r="B20" s="1738"/>
      <c r="C20" s="1738"/>
      <c r="D20" s="1738"/>
      <c r="E20" s="2952" t="e">
        <f t="shared" si="0"/>
        <v>#DIV/0!</v>
      </c>
      <c r="F20" s="2952" t="e">
        <f t="shared" si="1"/>
        <v>#DIV/0!</v>
      </c>
      <c r="G20" s="1738"/>
      <c r="H20" s="1738"/>
      <c r="I20" s="1738"/>
    </row>
    <row r="21" spans="1:9" ht="15.6">
      <c r="A21" s="2953" t="s">
        <v>1338</v>
      </c>
      <c r="B21" s="1738"/>
      <c r="C21" s="1738"/>
      <c r="D21" s="1738"/>
      <c r="E21" s="2952" t="e">
        <f t="shared" si="0"/>
        <v>#DIV/0!</v>
      </c>
      <c r="F21" s="2952" t="e">
        <f t="shared" si="1"/>
        <v>#DIV/0!</v>
      </c>
      <c r="G21" s="1738"/>
      <c r="H21" s="1738"/>
      <c r="I21" s="1738"/>
    </row>
    <row r="22" spans="1:9" ht="15.6">
      <c r="A22" s="2953" t="s">
        <v>1337</v>
      </c>
      <c r="B22" s="1738"/>
      <c r="C22" s="1738"/>
      <c r="D22" s="1738"/>
      <c r="E22" s="2952" t="e">
        <f t="shared" si="0"/>
        <v>#DIV/0!</v>
      </c>
      <c r="F22" s="2952" t="e">
        <f t="shared" si="1"/>
        <v>#DIV/0!</v>
      </c>
      <c r="G22" s="1738"/>
      <c r="H22" s="1738"/>
      <c r="I22" s="1738"/>
    </row>
    <row r="23" spans="1:9" ht="15.6">
      <c r="A23" s="2953" t="s">
        <v>1336</v>
      </c>
      <c r="B23" s="1738"/>
      <c r="C23" s="1738"/>
      <c r="D23" s="1738"/>
      <c r="E23" s="2949" t="e">
        <f t="shared" si="0"/>
        <v>#DIV/0!</v>
      </c>
      <c r="F23" s="2949"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6" sqref="I26"/>
    </sheetView>
  </sheetViews>
  <sheetFormatPr defaultColWidth="12.6640625" defaultRowHeight="21.75" customHeight="1"/>
  <cols>
    <col min="1" max="2" width="12.6640625" style="2413"/>
    <col min="3" max="4" width="12.6640625" style="2413" customWidth="1"/>
    <col min="5" max="9" width="12.6640625" style="2413"/>
    <col min="10" max="11" width="12.6640625" style="795" customWidth="1"/>
    <col min="12" max="12" width="12.6640625" style="795"/>
    <col min="13" max="13" width="14.109375" style="795" bestFit="1" customWidth="1"/>
    <col min="14" max="26" width="12.6640625" style="795"/>
    <col min="27" max="35" width="12.6640625" style="2412"/>
    <col min="36" max="16384" width="12.6640625" style="2413"/>
  </cols>
  <sheetData>
    <row r="1" spans="1:12" ht="21.75" customHeight="1" thickBot="1">
      <c r="A1" s="2215" t="s">
        <v>2116</v>
      </c>
      <c r="B1" s="2407"/>
      <c r="C1" s="2408" t="s">
        <v>27</v>
      </c>
      <c r="D1" s="2407"/>
      <c r="E1" s="2407"/>
      <c r="F1" s="2409" t="s">
        <v>2117</v>
      </c>
      <c r="G1" s="2061" t="s">
        <v>3115</v>
      </c>
      <c r="H1" s="2410" t="str">
        <f>IF(G1="现房","——","估价对象范围")</f>
        <v>——</v>
      </c>
      <c r="I1" s="2411"/>
    </row>
    <row r="2" spans="1:12" ht="21.75" customHeight="1" thickBot="1">
      <c r="A2" s="3152" t="str">
        <f>项目基本情况!S2</f>
        <v>北京市大兴区隆盛大街6号院1号楼-8幢等办公、商业、车库、地下仓储用房房地产</v>
      </c>
      <c r="B2" s="3153"/>
      <c r="C2" s="3153"/>
      <c r="D2" s="3153"/>
      <c r="E2" s="3153"/>
      <c r="F2" s="3153"/>
      <c r="G2" s="3153"/>
      <c r="H2" s="3153"/>
      <c r="I2" s="3154"/>
    </row>
    <row r="3" spans="1:12" ht="13.2">
      <c r="A3" s="3156" t="s">
        <v>2118</v>
      </c>
      <c r="B3" s="3157"/>
      <c r="C3" s="3157"/>
      <c r="D3" s="3157"/>
      <c r="E3" s="3157"/>
      <c r="F3" s="3157"/>
      <c r="G3" s="3157"/>
      <c r="H3" s="3157"/>
      <c r="I3" s="3157"/>
    </row>
    <row r="4" spans="1:12" ht="14.4">
      <c r="A4" s="2414" t="s">
        <v>2119</v>
      </c>
      <c r="B4" s="2415" t="s">
        <v>2120</v>
      </c>
      <c r="C4" s="2416" t="s">
        <v>3232</v>
      </c>
      <c r="D4" s="2416" t="s">
        <v>3100</v>
      </c>
      <c r="E4" s="3149" t="s">
        <v>2121</v>
      </c>
      <c r="F4" s="3150"/>
      <c r="G4" s="3150"/>
      <c r="H4" s="3150"/>
      <c r="I4" s="3158"/>
      <c r="K4" s="2417" t="str">
        <f>IF(ISNUMBER(FIND("比较法",结果表!C4)),"比较法",IF(ISNUMBER(FIND("成本法",结果表!C4)),"成本法",IF(ISNUMBER(FIND("假设开发法",结果表!C4)),"假设开发法",IF(ISNUMBER(FIND("收益法",结果表!C4)),"收益法","基准地价系数修正法"))))</f>
        <v>比较法</v>
      </c>
      <c r="L4" s="2417" t="str">
        <f>IF(ISNUMBER(FIND("比较法",结果表!D4)),"比较法",IF(ISNUMBER(FIND("成本法",结果表!D4)),"成本法",IF(ISNUMBER(FIND("假设开发法",结果表!D4)),"假设开发法",IF(ISNUMBER(FIND("收益法",结果表!D4)),"收益法","基准地价系数修正法"))))</f>
        <v>收益法</v>
      </c>
    </row>
    <row r="5" spans="1:12" ht="13.2">
      <c r="A5" s="3132" t="s">
        <v>2122</v>
      </c>
      <c r="B5" s="3070">
        <v>25</v>
      </c>
      <c r="C5" s="3135"/>
      <c r="D5" s="3155"/>
      <c r="E5" s="140" t="s">
        <v>2123</v>
      </c>
      <c r="F5" s="2418"/>
      <c r="G5" s="2418"/>
      <c r="H5" s="2418"/>
      <c r="I5" s="1822"/>
    </row>
    <row r="6" spans="1:12" ht="13.2">
      <c r="A6" s="3132"/>
      <c r="B6" s="3070"/>
      <c r="C6" s="3136"/>
      <c r="D6" s="3155"/>
      <c r="E6" s="140" t="s">
        <v>2124</v>
      </c>
      <c r="F6" s="2418"/>
      <c r="G6" s="2418"/>
      <c r="H6" s="2418"/>
      <c r="I6" s="1822"/>
    </row>
    <row r="7" spans="1:12" ht="13.2">
      <c r="A7" s="3132"/>
      <c r="B7" s="3070"/>
      <c r="C7" s="3137"/>
      <c r="D7" s="3155"/>
      <c r="E7" s="140" t="s">
        <v>2125</v>
      </c>
      <c r="F7" s="2418"/>
      <c r="G7" s="2418"/>
      <c r="H7" s="2418"/>
      <c r="I7" s="1822"/>
    </row>
    <row r="8" spans="1:12" ht="13.2">
      <c r="A8" s="3132" t="s">
        <v>2126</v>
      </c>
      <c r="B8" s="3070">
        <v>15</v>
      </c>
      <c r="C8" s="3135"/>
      <c r="D8" s="3155"/>
      <c r="E8" s="140" t="s">
        <v>2127</v>
      </c>
      <c r="F8" s="2418"/>
      <c r="G8" s="2418"/>
      <c r="H8" s="2418"/>
      <c r="I8" s="1822"/>
    </row>
    <row r="9" spans="1:12" ht="13.2">
      <c r="A9" s="3132"/>
      <c r="B9" s="3070"/>
      <c r="C9" s="3137"/>
      <c r="D9" s="3155"/>
      <c r="E9" s="140" t="s">
        <v>2128</v>
      </c>
      <c r="F9" s="2418"/>
      <c r="G9" s="2418"/>
      <c r="H9" s="2418"/>
      <c r="I9" s="1822"/>
    </row>
    <row r="10" spans="1:12" ht="13.2">
      <c r="A10" s="3132" t="s">
        <v>2129</v>
      </c>
      <c r="B10" s="3070">
        <v>15</v>
      </c>
      <c r="C10" s="3135"/>
      <c r="D10" s="3155"/>
      <c r="E10" s="140" t="s">
        <v>2130</v>
      </c>
      <c r="F10" s="2418"/>
      <c r="G10" s="2418"/>
      <c r="H10" s="2418"/>
      <c r="I10" s="1822"/>
    </row>
    <row r="11" spans="1:12" ht="13.2">
      <c r="A11" s="3132"/>
      <c r="B11" s="3070"/>
      <c r="C11" s="3137"/>
      <c r="D11" s="3155"/>
      <c r="E11" s="140" t="s">
        <v>2131</v>
      </c>
      <c r="F11" s="2418"/>
      <c r="G11" s="2418"/>
      <c r="H11" s="2418"/>
      <c r="I11" s="1822"/>
    </row>
    <row r="12" spans="1:12" ht="13.2">
      <c r="A12" s="3132" t="s">
        <v>2132</v>
      </c>
      <c r="B12" s="3070">
        <v>15</v>
      </c>
      <c r="C12" s="3135"/>
      <c r="D12" s="3155"/>
      <c r="E12" s="140" t="s">
        <v>2133</v>
      </c>
      <c r="F12" s="2418"/>
      <c r="G12" s="2418"/>
      <c r="H12" s="2418"/>
      <c r="I12" s="1822"/>
    </row>
    <row r="13" spans="1:12" ht="13.2">
      <c r="A13" s="3132"/>
      <c r="B13" s="3070"/>
      <c r="C13" s="3137"/>
      <c r="D13" s="3155"/>
      <c r="E13" s="140" t="s">
        <v>2134</v>
      </c>
      <c r="F13" s="2418"/>
      <c r="G13" s="2418"/>
      <c r="H13" s="2418"/>
      <c r="I13" s="1822"/>
    </row>
    <row r="14" spans="1:12" ht="13.2">
      <c r="A14" s="3132" t="s">
        <v>2135</v>
      </c>
      <c r="B14" s="3070">
        <v>30</v>
      </c>
      <c r="C14" s="3135">
        <v>5</v>
      </c>
      <c r="D14" s="3155">
        <v>5</v>
      </c>
      <c r="E14" s="140" t="s">
        <v>2136</v>
      </c>
      <c r="F14" s="2418"/>
      <c r="G14" s="2418"/>
      <c r="H14" s="2418"/>
      <c r="I14" s="1822"/>
    </row>
    <row r="15" spans="1:12" ht="13.2">
      <c r="A15" s="3132"/>
      <c r="B15" s="3070"/>
      <c r="C15" s="3136"/>
      <c r="D15" s="3155"/>
      <c r="E15" s="140" t="s">
        <v>2137</v>
      </c>
      <c r="F15" s="2418"/>
      <c r="G15" s="2418"/>
      <c r="H15" s="2418"/>
      <c r="I15" s="1822"/>
    </row>
    <row r="16" spans="1:12" ht="13.2">
      <c r="A16" s="3132"/>
      <c r="B16" s="3070"/>
      <c r="C16" s="3137"/>
      <c r="D16" s="3155"/>
      <c r="E16" s="140" t="s">
        <v>2138</v>
      </c>
      <c r="F16" s="2418"/>
      <c r="G16" s="2418"/>
      <c r="H16" s="2418"/>
      <c r="I16" s="1822"/>
    </row>
    <row r="17" spans="1:35" ht="14.4">
      <c r="A17" s="2419" t="s">
        <v>2139</v>
      </c>
      <c r="B17" s="64"/>
      <c r="C17" s="141">
        <f>SUM(C5:C16)</f>
        <v>5</v>
      </c>
      <c r="D17" s="141">
        <f>SUM(D5:D16)</f>
        <v>5</v>
      </c>
      <c r="E17" s="138"/>
      <c r="F17" s="138"/>
      <c r="G17" s="138"/>
      <c r="H17" s="138"/>
      <c r="I17" s="138"/>
      <c r="K17" s="2417"/>
      <c r="L17" s="2420" t="s">
        <v>2140</v>
      </c>
      <c r="M17" s="2420" t="s">
        <v>2141</v>
      </c>
    </row>
    <row r="18" spans="1:35" ht="15" thickBot="1">
      <c r="A18" s="2421" t="s">
        <v>2142</v>
      </c>
      <c r="B18" s="2422"/>
      <c r="C18" s="142">
        <f>ROUND(C17/SUM(C17:D17),2)</f>
        <v>0.5</v>
      </c>
      <c r="D18" s="142">
        <f>1-C18</f>
        <v>0.5</v>
      </c>
      <c r="E18" s="138"/>
      <c r="F18" s="138"/>
      <c r="G18" s="138"/>
      <c r="H18" s="138"/>
      <c r="I18" s="138"/>
      <c r="K18" s="2417" t="s">
        <v>2143</v>
      </c>
      <c r="L18" s="2417">
        <f>IF(C1="",'数据-汇总表'!E3,SUMIF(项目类型,C1,'数据-汇总表'!E17:E26)+SUMIF(项目类型,C1,'数据-汇总表'!I17:I26))</f>
        <v>49592.049999999996</v>
      </c>
      <c r="M18" s="2417">
        <f>IF(C1="",'数据-汇总表'!E3,SUMIF(项目类型,C1,'数据-汇总表'!E17:E26))</f>
        <v>49320.17</v>
      </c>
    </row>
    <row r="19" spans="1:35" ht="14.4">
      <c r="A19" s="2423" t="s">
        <v>2144</v>
      </c>
      <c r="B19" s="2424" t="s">
        <v>2145</v>
      </c>
      <c r="C19" s="143">
        <f ca="1">SUMIF(INDIRECT("'"&amp;C4&amp;"'"&amp;"!A:A"),结果表!B19,INDIRECT("'"&amp;C4&amp;"'"&amp;"!B:B"))</f>
        <v>87435</v>
      </c>
      <c r="D19" s="144">
        <f ca="1">SUMIF(INDIRECT("'"&amp;D4&amp;"'"&amp;"!A:A"),结果表!B19,INDIRECT("'"&amp;D4&amp;"'"&amp;"!B:B"))</f>
        <v>81759</v>
      </c>
      <c r="E19" s="2423" t="s">
        <v>2146</v>
      </c>
      <c r="F19" s="2424" t="s">
        <v>2145</v>
      </c>
      <c r="G19" s="145">
        <f ca="1">ROUND(C19*$C$18+D19*$D$18,0)</f>
        <v>84597</v>
      </c>
      <c r="H19" s="2425" t="s">
        <v>2147</v>
      </c>
      <c r="I19" s="138"/>
      <c r="K19" s="2417" t="s">
        <v>2148</v>
      </c>
      <c r="L19" s="2417">
        <f>IF(C1="",'数据-汇总表'!D3,SUMIF(项目类型,C1,'数据-汇总表'!D17:D26)+SUMIF(项目类型,C1,'数据-汇总表'!H17:H27))</f>
        <v>13475.41</v>
      </c>
      <c r="M19" s="2417">
        <f>IF(C1="",'数据-汇总表'!D3,SUMIF(项目类型,C1,'数据-汇总表'!D17:D26))</f>
        <v>13401.53</v>
      </c>
    </row>
    <row r="20" spans="1:35" ht="14.4">
      <c r="A20" s="2426"/>
      <c r="B20" s="1247" t="s">
        <v>2149</v>
      </c>
      <c r="C20" s="146">
        <f ca="1">SUMIF(INDIRECT("'"&amp;C4&amp;"'"&amp;"!A:A"),结果表!B20,INDIRECT("'"&amp;C4&amp;"'"&amp;"!B:B"))</f>
        <v>17728</v>
      </c>
      <c r="D20" s="147">
        <f ca="1">SUMIF(INDIRECT("'"&amp;D4&amp;"'"&amp;"!A:A"),结果表!B20,INDIRECT("'"&amp;D4&amp;"'"&amp;"!B:B"))</f>
        <v>16577</v>
      </c>
      <c r="E20" s="2426"/>
      <c r="F20" s="1247" t="s">
        <v>2149</v>
      </c>
      <c r="G20" s="148">
        <f ca="1">ROUND(C20*$C$18+D20*$D$18,0)</f>
        <v>17153</v>
      </c>
      <c r="H20" s="980" t="s">
        <v>2150</v>
      </c>
      <c r="I20" s="138"/>
    </row>
    <row r="21" spans="1:35" ht="15" customHeight="1" thickBot="1">
      <c r="A21" s="1000"/>
      <c r="B21" s="2427" t="s">
        <v>2151</v>
      </c>
      <c r="C21" s="789">
        <f ca="1">ROUND(C19*10000/L19,0)</f>
        <v>64885</v>
      </c>
      <c r="D21" s="790">
        <f ca="1">ROUND(D19*10000/L19,0)</f>
        <v>60673</v>
      </c>
      <c r="E21" s="1000"/>
      <c r="F21" s="2427" t="s">
        <v>2151</v>
      </c>
      <c r="G21" s="149">
        <f ca="1">ROUND(G19*10000/L19,0)</f>
        <v>62779</v>
      </c>
      <c r="H21" s="2428" t="s">
        <v>2150</v>
      </c>
      <c r="I21" s="138"/>
    </row>
    <row r="22" spans="1:35" ht="15" thickBot="1">
      <c r="A22" s="2270" t="s">
        <v>2152</v>
      </c>
      <c r="B22" s="2429"/>
      <c r="C22" s="2430"/>
      <c r="D22" s="791">
        <f ca="1">IF(C19&lt;D19,D19/C19-1,C19/D19-1)</f>
        <v>6.9423549700950327E-2</v>
      </c>
      <c r="E22" s="138"/>
      <c r="F22" s="138"/>
      <c r="G22" s="138"/>
      <c r="H22" s="138"/>
      <c r="I22" s="138"/>
    </row>
    <row r="23" spans="1:35" ht="13.8" thickBot="1">
      <c r="A23" s="2407"/>
      <c r="B23" s="2407"/>
      <c r="C23" s="2407"/>
      <c r="D23" s="2407"/>
      <c r="E23" s="138"/>
      <c r="F23" s="138"/>
      <c r="G23" s="138"/>
      <c r="H23" s="138"/>
      <c r="I23" s="138"/>
    </row>
    <row r="24" spans="1:35" ht="14.4">
      <c r="A24" s="3126" t="s">
        <v>2153</v>
      </c>
      <c r="B24" s="2424" t="s">
        <v>2145</v>
      </c>
      <c r="C24" s="145">
        <f>IF(B30=0,0,D30)</f>
        <v>0</v>
      </c>
      <c r="D24" s="2431"/>
      <c r="E24" s="138"/>
      <c r="F24" s="138"/>
      <c r="G24" s="138"/>
      <c r="H24" s="138"/>
      <c r="I24" s="138"/>
    </row>
    <row r="25" spans="1:35" ht="14.4">
      <c r="A25" s="3127"/>
      <c r="B25" s="1247" t="s">
        <v>2149</v>
      </c>
      <c r="C25" s="150">
        <f>IF(B30=0,0,C30)</f>
        <v>0</v>
      </c>
      <c r="D25" s="2432"/>
      <c r="E25" s="138"/>
      <c r="F25" s="138"/>
      <c r="G25" s="138"/>
      <c r="H25" s="138"/>
      <c r="I25" s="138"/>
    </row>
    <row r="26" spans="1:35" ht="13.5" customHeight="1">
      <c r="A26" s="2433" t="s">
        <v>2154</v>
      </c>
      <c r="B26" s="151" t="s">
        <v>2155</v>
      </c>
      <c r="C26" s="151" t="s">
        <v>2156</v>
      </c>
      <c r="D26" s="152" t="s">
        <v>2157</v>
      </c>
      <c r="E26" s="138"/>
      <c r="F26" s="138"/>
      <c r="G26" s="138"/>
      <c r="H26" s="138"/>
      <c r="I26" s="138"/>
    </row>
    <row r="27" spans="1:35" ht="13.8">
      <c r="A27" s="2433"/>
      <c r="B27" s="151">
        <v>0</v>
      </c>
      <c r="C27" s="151">
        <v>0</v>
      </c>
      <c r="D27" s="152">
        <f>ROUND(C27*B27/10000,0)</f>
        <v>0</v>
      </c>
      <c r="E27" s="138"/>
      <c r="F27" s="138"/>
      <c r="G27" s="138"/>
      <c r="H27" s="138"/>
      <c r="I27" s="138"/>
    </row>
    <row r="28" spans="1:35" ht="13.8">
      <c r="A28" s="2433"/>
      <c r="B28" s="151"/>
      <c r="C28" s="151"/>
      <c r="D28" s="152"/>
      <c r="E28" s="138"/>
      <c r="F28" s="138"/>
      <c r="G28" s="138"/>
      <c r="H28" s="138"/>
      <c r="I28" s="138"/>
    </row>
    <row r="29" spans="1:35" ht="13.8">
      <c r="A29" s="2433"/>
      <c r="B29" s="151"/>
      <c r="C29" s="151"/>
      <c r="D29" s="152"/>
      <c r="E29" s="138"/>
      <c r="F29" s="138"/>
      <c r="G29" s="138"/>
      <c r="H29" s="138"/>
      <c r="I29" s="138"/>
    </row>
    <row r="30" spans="1:35" ht="14.4">
      <c r="A30" s="151" t="s">
        <v>2158</v>
      </c>
      <c r="B30" s="151"/>
      <c r="C30" s="151"/>
      <c r="D30" s="151"/>
      <c r="E30" s="2906" t="s">
        <v>3031</v>
      </c>
      <c r="F30" s="138"/>
      <c r="G30" s="138"/>
      <c r="H30" s="138"/>
      <c r="I30" s="138"/>
    </row>
    <row r="31" spans="1:35" s="2435" customFormat="1" ht="14.4"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 thickBot="1">
      <c r="A32" s="2436" t="s">
        <v>2159</v>
      </c>
      <c r="B32" s="2437"/>
      <c r="C32" s="153">
        <f ca="1">IF(D32="总价",G19-C24,G20-C25)</f>
        <v>84597</v>
      </c>
      <c r="D32" s="2438" t="s">
        <v>2160</v>
      </c>
      <c r="E32" s="138"/>
      <c r="F32" s="138"/>
      <c r="G32" s="138"/>
      <c r="H32" s="138"/>
      <c r="I32" s="138"/>
    </row>
    <row r="33" spans="1:15" ht="14.4">
      <c r="A33" s="957" t="s">
        <v>2161</v>
      </c>
      <c r="B33" s="2439"/>
      <c r="C33" s="2440"/>
      <c r="D33" s="2441"/>
      <c r="E33" s="2442" t="s">
        <v>2162</v>
      </c>
      <c r="F33" s="2443" t="str">
        <f>IF(D32="楼面单价","取值（单价）","取值（总价）")</f>
        <v>取值（总价）</v>
      </c>
      <c r="G33" s="138"/>
      <c r="H33" s="138"/>
      <c r="I33" s="138"/>
    </row>
    <row r="34" spans="1:15" ht="14.4">
      <c r="A34" s="2444"/>
      <c r="B34" s="244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6" t="s">
        <v>2164</v>
      </c>
      <c r="F34" s="1735"/>
      <c r="G34" s="138"/>
      <c r="H34" s="138"/>
      <c r="I34" s="138"/>
    </row>
    <row r="35" spans="1:15" ht="15" thickBot="1">
      <c r="A35" s="2447"/>
      <c r="B35" s="244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49" t="s">
        <v>2166</v>
      </c>
      <c r="F35" s="163"/>
      <c r="G35" s="138"/>
      <c r="H35" s="138"/>
      <c r="I35" s="138"/>
    </row>
    <row r="36" spans="1:15" ht="15" thickBot="1">
      <c r="A36" s="3144" t="s">
        <v>2167</v>
      </c>
      <c r="B36" s="2450" t="s">
        <v>2168</v>
      </c>
      <c r="C36" s="154"/>
      <c r="D36" s="2451"/>
      <c r="E36" s="2452"/>
      <c r="F36" s="2453"/>
      <c r="G36" s="138"/>
      <c r="H36" s="138"/>
      <c r="I36" s="138"/>
    </row>
    <row r="37" spans="1:15" ht="15" thickBot="1">
      <c r="A37" s="3145"/>
      <c r="B37" s="2256" t="s">
        <v>2169</v>
      </c>
      <c r="C37" s="156"/>
      <c r="D37" s="1392"/>
      <c r="E37" s="1392"/>
      <c r="F37" s="2453"/>
      <c r="G37" s="138"/>
      <c r="H37" s="138"/>
      <c r="I37" s="138"/>
    </row>
    <row r="38" spans="1:15" ht="15" thickBot="1">
      <c r="A38" s="3146"/>
      <c r="B38" s="2454" t="s">
        <v>2170</v>
      </c>
      <c r="C38" s="727"/>
      <c r="D38" s="2455" t="s">
        <v>2171</v>
      </c>
      <c r="E38" s="1392"/>
      <c r="F38" s="2453"/>
      <c r="G38" s="138"/>
      <c r="H38" s="138"/>
      <c r="I38" s="138"/>
    </row>
    <row r="39" spans="1:15" ht="14.4">
      <c r="A39" s="2426" t="s">
        <v>2172</v>
      </c>
      <c r="B39" s="2456" t="s">
        <v>2173</v>
      </c>
      <c r="C39" s="2457" t="s">
        <v>2174</v>
      </c>
      <c r="D39" s="2457" t="s">
        <v>2175</v>
      </c>
      <c r="E39" s="2458" t="s">
        <v>2176</v>
      </c>
      <c r="F39" s="2453"/>
      <c r="G39" s="138"/>
      <c r="H39" s="138"/>
      <c r="I39" s="138"/>
    </row>
    <row r="40" spans="1:15" ht="13.8">
      <c r="A40" s="2459" t="s">
        <v>2177</v>
      </c>
      <c r="B40" s="158"/>
      <c r="C40" s="159"/>
      <c r="D40" s="159"/>
      <c r="E40" s="160"/>
      <c r="F40" s="2453"/>
      <c r="G40" s="138"/>
      <c r="H40" s="138"/>
      <c r="I40" s="138"/>
    </row>
    <row r="41" spans="1:15" ht="13.8">
      <c r="A41" s="2459" t="s">
        <v>2178</v>
      </c>
      <c r="B41" s="158"/>
      <c r="C41" s="159"/>
      <c r="D41" s="159"/>
      <c r="E41" s="160"/>
      <c r="F41" s="2453"/>
      <c r="G41" s="138"/>
      <c r="H41" s="138"/>
      <c r="I41" s="138"/>
    </row>
    <row r="42" spans="1:15" ht="14.4" thickBot="1">
      <c r="A42" s="2460"/>
      <c r="B42" s="161"/>
      <c r="C42" s="162"/>
      <c r="D42" s="162"/>
      <c r="E42" s="163"/>
      <c r="F42" s="2453"/>
      <c r="G42" s="138"/>
      <c r="H42" s="138"/>
      <c r="I42" s="138"/>
    </row>
    <row r="43" spans="1:15" ht="13.2">
      <c r="A43" s="2155"/>
      <c r="B43" s="2155"/>
      <c r="C43" s="2155"/>
      <c r="D43" s="2155"/>
      <c r="E43" s="2155"/>
      <c r="F43" s="2461"/>
      <c r="G43" s="2461"/>
      <c r="H43" s="2461"/>
      <c r="I43" s="2462"/>
    </row>
    <row r="44" spans="1:15" ht="17.399999999999999">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23" t="s">
        <v>2181</v>
      </c>
      <c r="B45" s="3124"/>
      <c r="C45" s="3125"/>
      <c r="D45" s="164">
        <f ca="1">ROUND(H101*F45,0)</f>
        <v>84597</v>
      </c>
      <c r="E45" s="165" t="s">
        <v>2182</v>
      </c>
      <c r="F45" s="166">
        <v>1</v>
      </c>
      <c r="G45" s="167" t="s">
        <v>2183</v>
      </c>
      <c r="H45" s="138"/>
      <c r="I45" s="138"/>
      <c r="J45" s="3183" t="s">
        <v>2184</v>
      </c>
      <c r="K45" s="3183"/>
      <c r="L45" s="3183"/>
      <c r="M45" s="3183"/>
      <c r="N45" s="3183"/>
      <c r="O45" s="3183"/>
    </row>
    <row r="46" spans="1:15" ht="14.25" customHeight="1">
      <c r="A46" s="3120" t="s">
        <v>2185</v>
      </c>
      <c r="B46" s="3121"/>
      <c r="C46" s="3121"/>
      <c r="D46" s="3121"/>
      <c r="E46" s="3121"/>
      <c r="F46" s="3121"/>
      <c r="G46" s="3122"/>
      <c r="H46" s="2469"/>
      <c r="I46" s="168"/>
      <c r="J46" s="1800">
        <v>1</v>
      </c>
      <c r="K46" s="3183" t="s">
        <v>2186</v>
      </c>
      <c r="L46" s="3183"/>
      <c r="M46" s="3203"/>
      <c r="N46" s="3203"/>
      <c r="O46" s="3203"/>
    </row>
    <row r="47" spans="1:15" ht="12" customHeight="1">
      <c r="A47" s="169" t="s">
        <v>2187</v>
      </c>
      <c r="B47" s="170"/>
      <c r="C47" s="171"/>
      <c r="D47" s="172" t="s">
        <v>2188</v>
      </c>
      <c r="E47" s="24" t="s">
        <v>2189</v>
      </c>
      <c r="F47" s="173" t="s">
        <v>2190</v>
      </c>
      <c r="G47" s="174" t="s">
        <v>2191</v>
      </c>
      <c r="H47" s="2469"/>
      <c r="I47" s="168"/>
      <c r="J47" s="1800">
        <v>2</v>
      </c>
      <c r="K47" s="3183" t="s">
        <v>2192</v>
      </c>
      <c r="L47" s="3183"/>
      <c r="M47" s="3204">
        <f>'数据-取费表'!B2</f>
        <v>44012</v>
      </c>
      <c r="N47" s="3204"/>
      <c r="O47" s="3204"/>
    </row>
    <row r="48" spans="1:15" ht="26.4">
      <c r="A48" s="3151" t="s">
        <v>2193</v>
      </c>
      <c r="B48" s="3134"/>
      <c r="C48" s="3134"/>
      <c r="D48" s="140">
        <f>IF(H48="情况1",0,IF(H48="情况2",D52,IF(H48="情况3",D53,IF(H48="情况4",D54))))</f>
        <v>0</v>
      </c>
      <c r="E48" s="1789" t="str">
        <f>IF(H48="情况4","(销售额-原购置价)×税（费）率","销售额×税（费）率")</f>
        <v>销售额×税（费）率</v>
      </c>
      <c r="F48" s="175" t="str">
        <f>IF(H48="情况1","免征",'数据-取费表'!B41)</f>
        <v>免征</v>
      </c>
      <c r="G48" s="2470" t="s">
        <v>2194</v>
      </c>
      <c r="H48" s="2471" t="s">
        <v>2195</v>
      </c>
      <c r="I48" s="2469"/>
      <c r="J48" s="1800">
        <v>3</v>
      </c>
      <c r="K48" s="3183" t="s">
        <v>2196</v>
      </c>
      <c r="L48" s="3183"/>
      <c r="M48" s="3205">
        <f ca="1">H101</f>
        <v>84597</v>
      </c>
      <c r="N48" s="3205"/>
      <c r="O48" s="3205"/>
    </row>
    <row r="49" spans="1:35" ht="25.5" customHeight="1">
      <c r="A49" s="176" t="s">
        <v>2197</v>
      </c>
      <c r="B49" s="3119" t="s">
        <v>2198</v>
      </c>
      <c r="C49" s="3119"/>
      <c r="D49" s="177">
        <v>0</v>
      </c>
      <c r="E49" s="23" t="s">
        <v>2199</v>
      </c>
      <c r="F49" s="28" t="s">
        <v>34</v>
      </c>
      <c r="G49" s="3189"/>
      <c r="H49" s="138"/>
      <c r="I49" s="2472"/>
      <c r="J49" s="1800">
        <v>4</v>
      </c>
      <c r="K49" s="3183" t="str">
        <f>IF(项目基本情况!E8="房地产抵押价值","房地产抵押价值","抵押担保权已注销时的房地产抵押价值")</f>
        <v>房地产抵押价值</v>
      </c>
      <c r="L49" s="3183"/>
      <c r="M49" s="3205">
        <f ca="1">IF(项目基本情况!E8="房地产抵押价值",H107,H109)</f>
        <v>84597</v>
      </c>
      <c r="N49" s="3205"/>
      <c r="O49" s="3205"/>
    </row>
    <row r="50" spans="1:35" ht="25.5" customHeight="1">
      <c r="A50" s="178"/>
      <c r="B50" s="3119" t="s">
        <v>2200</v>
      </c>
      <c r="C50" s="3119"/>
      <c r="D50" s="179"/>
      <c r="E50" s="31"/>
      <c r="F50" s="180"/>
      <c r="G50" s="3190"/>
      <c r="H50" s="138"/>
      <c r="I50" s="2472"/>
      <c r="J50" s="3183" t="s">
        <v>2201</v>
      </c>
      <c r="K50" s="3183"/>
      <c r="L50" s="3183"/>
      <c r="M50" s="3183"/>
      <c r="N50" s="3183"/>
      <c r="O50" s="3183"/>
    </row>
    <row r="51" spans="1:35" ht="12" customHeight="1">
      <c r="A51" s="181"/>
      <c r="B51" s="3119" t="s">
        <v>2202</v>
      </c>
      <c r="C51" s="3119"/>
      <c r="D51" s="182"/>
      <c r="E51" s="30"/>
      <c r="F51" s="180"/>
      <c r="G51" s="3191"/>
      <c r="H51" s="138"/>
      <c r="I51" s="2472"/>
      <c r="J51" s="2473" t="s">
        <v>2203</v>
      </c>
      <c r="K51" s="3183" t="s">
        <v>2204</v>
      </c>
      <c r="L51" s="3183"/>
      <c r="M51" s="2473" t="s">
        <v>2205</v>
      </c>
      <c r="N51" s="2473" t="s">
        <v>2206</v>
      </c>
      <c r="O51" s="2473" t="s">
        <v>2207</v>
      </c>
    </row>
    <row r="52" spans="1:35" ht="24" customHeight="1">
      <c r="A52" s="183" t="s">
        <v>2208</v>
      </c>
      <c r="B52" s="3119" t="s">
        <v>2209</v>
      </c>
      <c r="C52" s="3119"/>
      <c r="D52" s="182">
        <f ca="1">ROUND(D45*'数据-取费表'!B41/(1+'数据-取费表'!C42),0)</f>
        <v>4431</v>
      </c>
      <c r="E52" s="11" t="s">
        <v>2210</v>
      </c>
      <c r="F52" s="184">
        <f>'数据-取费表'!B41</f>
        <v>5.5000000000000007E-2</v>
      </c>
      <c r="G52" s="2474"/>
      <c r="H52" s="138"/>
      <c r="I52" s="2472"/>
      <c r="J52" s="1800">
        <v>1</v>
      </c>
      <c r="K52" s="3184" t="s">
        <v>2211</v>
      </c>
      <c r="L52" s="3184"/>
      <c r="M52" s="1742">
        <f>D48</f>
        <v>0</v>
      </c>
      <c r="N52" s="1800" t="str">
        <f>E48</f>
        <v>销售额×税（费）率</v>
      </c>
      <c r="O52" s="1743" t="str">
        <f>F48</f>
        <v>免征</v>
      </c>
    </row>
    <row r="53" spans="1:35" ht="12" customHeight="1">
      <c r="A53" s="183" t="s">
        <v>2212</v>
      </c>
      <c r="B53" s="3142" t="s">
        <v>2213</v>
      </c>
      <c r="C53" s="3143"/>
      <c r="D53" s="182">
        <f ca="1">ROUND(D45*'数据-取费表'!B41/(1+'数据-取费表'!C42),0)</f>
        <v>4431</v>
      </c>
      <c r="E53" s="11" t="s">
        <v>2210</v>
      </c>
      <c r="F53" s="184">
        <f>'数据-取费表'!B41</f>
        <v>5.5000000000000007E-2</v>
      </c>
      <c r="G53" s="2474"/>
      <c r="H53" s="138"/>
      <c r="I53" s="2472"/>
      <c r="J53" s="1800">
        <v>2</v>
      </c>
      <c r="K53" s="3184" t="s">
        <v>2214</v>
      </c>
      <c r="L53" s="3184"/>
      <c r="M53" s="1742">
        <f t="shared" ref="M53:O54" ca="1" si="0">D55</f>
        <v>42</v>
      </c>
      <c r="N53" s="1800" t="str">
        <f t="shared" si="0"/>
        <v>销售额×税（费）率</v>
      </c>
      <c r="O53" s="1743">
        <f t="shared" si="0"/>
        <v>5.0000000000000001E-4</v>
      </c>
    </row>
    <row r="54" spans="1:35" ht="12" customHeight="1">
      <c r="A54" s="183" t="s">
        <v>2215</v>
      </c>
      <c r="B54" s="3142" t="s">
        <v>2216</v>
      </c>
      <c r="C54" s="3143"/>
      <c r="D54" s="182">
        <f ca="1">C68</f>
        <v>4431</v>
      </c>
      <c r="E54" s="30" t="s">
        <v>2217</v>
      </c>
      <c r="F54" s="184">
        <f>'数据-取费表'!B41</f>
        <v>5.5000000000000007E-2</v>
      </c>
      <c r="G54" s="2474"/>
      <c r="H54" s="2475"/>
      <c r="I54" s="2472"/>
      <c r="J54" s="1800">
        <v>3</v>
      </c>
      <c r="K54" s="3184" t="s">
        <v>2218</v>
      </c>
      <c r="L54" s="3184"/>
      <c r="M54" s="1742">
        <f t="shared" ca="1" si="0"/>
        <v>47959</v>
      </c>
      <c r="N54" s="1800" t="str">
        <f t="shared" si="0"/>
        <v>增值额×税（费）率</v>
      </c>
      <c r="O54" s="1744" t="str">
        <f t="shared" si="0"/>
        <v>——</v>
      </c>
    </row>
    <row r="55" spans="1:35" ht="24" customHeight="1">
      <c r="A55" s="3133" t="s">
        <v>2219</v>
      </c>
      <c r="B55" s="3134"/>
      <c r="C55" s="3134"/>
      <c r="D55" s="185">
        <f ca="1">IF(H55="个人住宅",0,ROUND(D45*I55,0))</f>
        <v>42</v>
      </c>
      <c r="E55" s="11" t="s">
        <v>2220</v>
      </c>
      <c r="F55" s="184">
        <f>IF(H55="正常",I55,"免征")</f>
        <v>5.0000000000000001E-4</v>
      </c>
      <c r="G55" s="2474"/>
      <c r="H55" s="2471" t="s">
        <v>2221</v>
      </c>
      <c r="I55" s="186">
        <f>'数据-取费表'!B49</f>
        <v>5.0000000000000001E-4</v>
      </c>
      <c r="J55" s="1800" t="str">
        <f>IF(H59="非个人房产","",4)</f>
        <v/>
      </c>
      <c r="K55" s="3184" t="str">
        <f>IF(H59="非个人房产","——","个人所得税")</f>
        <v>——</v>
      </c>
      <c r="L55" s="3184"/>
      <c r="M55" s="1745" t="str">
        <f>D59</f>
        <v>——</v>
      </c>
      <c r="N55" s="1798" t="str">
        <f>E59</f>
        <v>——</v>
      </c>
      <c r="O55" s="1746" t="str">
        <f>F59</f>
        <v>——</v>
      </c>
    </row>
    <row r="56" spans="1:35" ht="25.2">
      <c r="A56" s="3133" t="s">
        <v>2222</v>
      </c>
      <c r="B56" s="3134"/>
      <c r="C56" s="3134"/>
      <c r="D56" s="185">
        <f ca="1">IF(H56="个人住宅",D57,D58)</f>
        <v>47959</v>
      </c>
      <c r="E56" s="11" t="s">
        <v>2223</v>
      </c>
      <c r="F56" s="184" t="str">
        <f>IF(H56="正常",F58,"免征")</f>
        <v>——</v>
      </c>
      <c r="G56" s="2476" t="s">
        <v>2224</v>
      </c>
      <c r="H56" s="2477" t="s">
        <v>2221</v>
      </c>
      <c r="I56" s="2478"/>
      <c r="J56" s="1800" t="str">
        <f>IF(项目基本情况!K6="上海银行",IF(J55="",4,J55+1),"")</f>
        <v/>
      </c>
      <c r="K56" s="3207" t="str">
        <f>IF(项目基本情况!K6="上海银行","其他处置费用","")</f>
        <v/>
      </c>
      <c r="L56" s="3208"/>
      <c r="M56" s="1742" t="str">
        <f>IF(项目基本情况!K6="上海银行",M69,"")</f>
        <v/>
      </c>
      <c r="N56" s="3210" t="str">
        <f>IF(项目基本情况!K6="上海银行","包含处置中涉及的律师、诉讼、拍卖、评估等费用","")</f>
        <v/>
      </c>
      <c r="O56" s="3211"/>
    </row>
    <row r="57" spans="1:35" ht="13.2">
      <c r="A57" s="183" t="s">
        <v>2197</v>
      </c>
      <c r="B57" s="3149" t="s">
        <v>2225</v>
      </c>
      <c r="C57" s="3158"/>
      <c r="D57" s="187">
        <v>0</v>
      </c>
      <c r="E57" s="23" t="s">
        <v>2199</v>
      </c>
      <c r="F57" s="155"/>
      <c r="G57" s="2474"/>
      <c r="H57" s="2478"/>
      <c r="I57" s="2478"/>
      <c r="J57" s="3184">
        <f>IF(AND(J55="",J56=""),4,IF(项目基本情况!K6="上海银行",结果表!J56+1,结果表!J55+1))</f>
        <v>4</v>
      </c>
      <c r="K57" s="3184" t="s">
        <v>2226</v>
      </c>
      <c r="L57" s="2479" t="s">
        <v>2227</v>
      </c>
      <c r="M57" s="1747"/>
      <c r="N57" s="1748">
        <f ca="1">SUMIF(M52:M56,"&lt;9e307")</f>
        <v>48001</v>
      </c>
      <c r="O57" s="2480"/>
      <c r="P57" s="1741">
        <f ca="1">N57/M49</f>
        <v>0.56740782770074594</v>
      </c>
    </row>
    <row r="58" spans="1:35" ht="25.2">
      <c r="A58" s="183" t="s">
        <v>2208</v>
      </c>
      <c r="B58" s="3149" t="s">
        <v>2228</v>
      </c>
      <c r="C58" s="3150"/>
      <c r="D58" s="185">
        <f ca="1">IF(H58="转让取得",C81,C97)</f>
        <v>47959</v>
      </c>
      <c r="E58" s="11" t="s">
        <v>2223</v>
      </c>
      <c r="F58" s="24" t="s">
        <v>34</v>
      </c>
      <c r="G58" s="2474"/>
      <c r="H58" s="2477" t="s">
        <v>2229</v>
      </c>
      <c r="I58" s="2478"/>
      <c r="J58" s="3184"/>
      <c r="K58" s="3184"/>
      <c r="L58" s="2479" t="s">
        <v>2230</v>
      </c>
      <c r="M58" s="1749"/>
      <c r="N58" s="2481" t="str">
        <f ca="1">NUMBERSTRING(INT(N57*10000),2)&amp;"元整"</f>
        <v>肆亿捌仟零壹万元整</v>
      </c>
      <c r="O58" s="2482"/>
    </row>
    <row r="59" spans="1:35" ht="24.6" thickBot="1">
      <c r="A59" s="3187" t="s">
        <v>2231</v>
      </c>
      <c r="B59" s="3188"/>
      <c r="C59" s="3188"/>
      <c r="D59" s="188" t="str">
        <f>IF(H59="非个人房产","——",IF(H59="个人住宅",0,ROUND(D45*I59,0)))</f>
        <v>——</v>
      </c>
      <c r="E59" s="189" t="str">
        <f>IF(H59="非个人房产","——","销售额×税（费）率")</f>
        <v>——</v>
      </c>
      <c r="F59" s="190" t="str">
        <f>IF(H59="非个人房产","——",IF(H59="个人住宅","免征",I59))</f>
        <v>——</v>
      </c>
      <c r="G59" s="2483" t="s">
        <v>2224</v>
      </c>
      <c r="H59" s="2477" t="s">
        <v>2232</v>
      </c>
      <c r="I59" s="191">
        <v>0.01</v>
      </c>
      <c r="J59" s="3185">
        <f>J57+1</f>
        <v>5</v>
      </c>
      <c r="K59" s="3184" t="s">
        <v>2233</v>
      </c>
      <c r="L59" s="1800" t="s">
        <v>2227</v>
      </c>
      <c r="M59" s="1750"/>
      <c r="N59" s="1751">
        <f ca="1">M49-N57</f>
        <v>36596</v>
      </c>
      <c r="O59" s="2484"/>
    </row>
    <row r="60" spans="1:35" ht="12" customHeight="1">
      <c r="A60" s="2485"/>
      <c r="B60" s="2407"/>
      <c r="C60" s="2407"/>
      <c r="D60" s="2407"/>
      <c r="E60" s="2156"/>
      <c r="F60" s="2478"/>
      <c r="G60" s="2478"/>
      <c r="H60" s="2486"/>
      <c r="I60" s="138"/>
      <c r="J60" s="3186"/>
      <c r="K60" s="3184"/>
      <c r="L60" s="2479" t="s">
        <v>2230</v>
      </c>
      <c r="M60" s="1749"/>
      <c r="N60" s="2481" t="str">
        <f ca="1">NUMBERSTRING(INT(N59*10000),2)&amp;"元整"</f>
        <v>叁亿陆仟伍佰玖拾陆万元整</v>
      </c>
      <c r="O60" s="2482"/>
    </row>
    <row r="61" spans="1:35" ht="13.8" thickBot="1">
      <c r="A61" s="3131" t="s">
        <v>2234</v>
      </c>
      <c r="B61" s="3131"/>
      <c r="C61" s="3131"/>
      <c r="D61" s="3131"/>
      <c r="E61" s="3131"/>
      <c r="F61" s="2478"/>
      <c r="G61" s="2478"/>
      <c r="H61" s="2486"/>
      <c r="I61" s="138"/>
      <c r="J61" s="1800">
        <f>J59+1</f>
        <v>6</v>
      </c>
      <c r="K61" s="3184" t="s">
        <v>2235</v>
      </c>
      <c r="L61" s="3184"/>
      <c r="M61" s="1752"/>
      <c r="N61" s="1753">
        <f ca="1">ROUND(N59*10000/'数据-汇总表'!E3,0)</f>
        <v>4278</v>
      </c>
      <c r="O61" s="2487"/>
    </row>
    <row r="62" spans="1:35" ht="13.2">
      <c r="A62" s="3147" t="s">
        <v>2236</v>
      </c>
      <c r="B62" s="3148"/>
      <c r="C62" s="1792"/>
      <c r="D62" s="1792" t="s">
        <v>2237</v>
      </c>
      <c r="E62" s="192" t="s">
        <v>2238</v>
      </c>
      <c r="F62" s="2478"/>
      <c r="G62" s="2478"/>
      <c r="H62" s="2486"/>
      <c r="I62" s="138"/>
    </row>
    <row r="63" spans="1:35" ht="13.2">
      <c r="A63" s="203" t="s">
        <v>775</v>
      </c>
      <c r="B63" s="193" t="s">
        <v>2239</v>
      </c>
      <c r="C63" s="194">
        <f ca="1">ROUND((C64+C65)/(1+'数据-取费表'!C42),0)</f>
        <v>80569</v>
      </c>
      <c r="D63" s="195"/>
      <c r="E63" s="196"/>
      <c r="F63" s="2478"/>
      <c r="G63" s="2478"/>
      <c r="H63" s="2486"/>
      <c r="I63" s="138"/>
      <c r="J63" s="3209" t="s">
        <v>2240</v>
      </c>
      <c r="K63" s="2488" t="s">
        <v>2241</v>
      </c>
      <c r="L63" s="1740">
        <f ca="1">IF(M49&gt;10000,M49*0.5%,IF(AND(M49&gt;1000,M49&lt;=10000),M49*1%,IF(AND(M49&gt;100,M49&lt;=1000),M49*3%,IF(AND(M49&gt;10,M49&lt;=100),M49*5%,M49*8%))))</f>
        <v>422.98500000000001</v>
      </c>
      <c r="M63" s="24">
        <f ca="1">ROUND(L63,1)</f>
        <v>423</v>
      </c>
      <c r="Z63" s="2412"/>
      <c r="AI63" s="2413"/>
    </row>
    <row r="64" spans="1:35" ht="14.25" customHeight="1">
      <c r="A64" s="197" t="s">
        <v>770</v>
      </c>
      <c r="B64" s="198" t="s">
        <v>2242</v>
      </c>
      <c r="C64" s="199">
        <f ca="1">D45</f>
        <v>84597</v>
      </c>
      <c r="D64" s="200" t="s">
        <v>32</v>
      </c>
      <c r="E64" s="201"/>
      <c r="F64" s="2478"/>
      <c r="G64" s="2478"/>
      <c r="H64" s="2486"/>
      <c r="I64" s="138"/>
      <c r="J64" s="3209"/>
      <c r="K64" s="2488" t="s">
        <v>2243</v>
      </c>
      <c r="L64" s="1740">
        <f ca="1">IF(M49&gt;2000,M49*0.5%,IF(AND(M49&gt;1000,M49&lt;=2000),M49*0.6%,IF(AND(M49&gt;500,M49&lt;=1000),M49*0.7%,IF(AND(M49&gt;200,M49&lt;=500),M49*0.8%,IF(AND(M49&gt;100,M49&lt;=200),M49*0.9%,IF(AND(M49&gt;50,M49&lt;=100),M49*1%,IF(AND(M49&gt;20,M49&lt;=50),M49*1.5%,IF(AND(M49&gt;10,M49&lt;=20),M49*2%,IF(AND(M49&gt;1,M49&lt;=10),M49*2.5%)))))))))</f>
        <v>422.98500000000001</v>
      </c>
      <c r="M64" s="24">
        <f t="shared" ref="M64:M65" ca="1" si="1">ROUND(L64,1)</f>
        <v>423</v>
      </c>
      <c r="N64" s="138" t="s">
        <v>2244</v>
      </c>
      <c r="Z64" s="2412"/>
      <c r="AI64" s="2413"/>
    </row>
    <row r="65" spans="1:35" ht="14.25" customHeight="1">
      <c r="A65" s="197" t="s">
        <v>771</v>
      </c>
      <c r="B65" s="198" t="s">
        <v>2245</v>
      </c>
      <c r="C65" s="202"/>
      <c r="D65" s="200"/>
      <c r="E65" s="201"/>
      <c r="F65" s="2478"/>
      <c r="G65" s="2478"/>
      <c r="H65" s="2486"/>
      <c r="I65" s="138"/>
      <c r="J65" s="3209"/>
      <c r="K65" s="2488" t="s">
        <v>2246</v>
      </c>
      <c r="L65" s="1740">
        <f ca="1">IF(M49&gt;1000,M49*0.1%,IF(AND(M49&gt;500,M49&lt;=1000),M49*0.5%,IF(AND(M49&gt;50,M49&lt;=500),M49*1%,IF(AND(M49&gt;1,M49&lt;=50),M49*1.5%))))</f>
        <v>84.597000000000008</v>
      </c>
      <c r="M65" s="24">
        <f t="shared" ca="1" si="1"/>
        <v>84.6</v>
      </c>
      <c r="N65" s="138" t="s">
        <v>2244</v>
      </c>
      <c r="Z65" s="2412"/>
      <c r="AI65" s="2413"/>
    </row>
    <row r="66" spans="1:35" ht="14.25" customHeight="1">
      <c r="A66" s="203" t="s">
        <v>772</v>
      </c>
      <c r="B66" s="204" t="s">
        <v>2247</v>
      </c>
      <c r="C66" s="205"/>
      <c r="D66" s="206" t="s">
        <v>32</v>
      </c>
      <c r="E66" s="1764" t="s">
        <v>1366</v>
      </c>
      <c r="F66" s="2478"/>
      <c r="G66" s="2478"/>
      <c r="H66" s="2486"/>
      <c r="I66" s="138"/>
      <c r="J66" s="3209"/>
      <c r="K66" s="2488" t="s">
        <v>2248</v>
      </c>
      <c r="L66" s="1740">
        <f ca="1">M49*0.5%</f>
        <v>422.98500000000001</v>
      </c>
      <c r="M66" s="24">
        <f ca="1">IF(L66&gt;0.5,0.5,ROUND(L66,0))</f>
        <v>0.5</v>
      </c>
      <c r="N66" s="138" t="s">
        <v>2249</v>
      </c>
      <c r="Z66" s="2412"/>
      <c r="AI66" s="2413"/>
    </row>
    <row r="67" spans="1:35" ht="14.25" customHeight="1">
      <c r="A67" s="203" t="s">
        <v>773</v>
      </c>
      <c r="B67" s="204" t="s">
        <v>2250</v>
      </c>
      <c r="C67" s="207">
        <f ca="1">C63-C66</f>
        <v>80569</v>
      </c>
      <c r="D67" s="200" t="s">
        <v>32</v>
      </c>
      <c r="E67" s="201"/>
      <c r="F67" s="2478"/>
      <c r="G67" s="2478"/>
      <c r="H67" s="2486"/>
      <c r="I67" s="138"/>
      <c r="J67" s="3209"/>
      <c r="K67" s="2488" t="s">
        <v>2251</v>
      </c>
      <c r="L67" s="1740">
        <f ca="1">IF(M49&gt;=10000,(8.25+(M49-10000)*0.01%),IF(AND(M49&gt;=8000,M49&lt;10000),(7.85+(M49-8000)*0.02%),IF(AND(M49&gt;=5000,M49&lt;8000),(6.65+(M49-5000)*0.04%),IF(AND(M49&gt;=2000,M49&lt;5000),(4.25+(PM49-2000)*0.08%),IF(AND(M49&gt;=1000,M49&lt;2000),(2.75+(M49-1000)*0.15%),IF(AND(M49&gt;=100,M49&lt;1000),(0.5+(M49-100)*0.25%),IF(AND(M49&gt;0,M49&lt;100),M49*0.5%)))))))</f>
        <v>15.709700000000002</v>
      </c>
      <c r="M67" s="24">
        <f ca="1">ROUND(L67*0.9,1)</f>
        <v>14.1</v>
      </c>
      <c r="Z67" s="2412"/>
      <c r="AI67" s="2413"/>
    </row>
    <row r="68" spans="1:35" ht="14.25" customHeight="1" thickBot="1">
      <c r="A68" s="208" t="s">
        <v>774</v>
      </c>
      <c r="B68" s="209" t="s">
        <v>2252</v>
      </c>
      <c r="C68" s="210">
        <f ca="1">IF(C67&lt;=0,0,ROUND(C67*D68,0))</f>
        <v>4431</v>
      </c>
      <c r="D68" s="211">
        <f>'数据-取费表'!B41</f>
        <v>5.5000000000000007E-2</v>
      </c>
      <c r="E68" s="212"/>
      <c r="F68" s="2478"/>
      <c r="G68" s="2478"/>
      <c r="H68" s="2486"/>
      <c r="I68" s="138"/>
      <c r="J68" s="3209"/>
      <c r="K68" s="2488" t="s">
        <v>2253</v>
      </c>
      <c r="L68" s="1740">
        <f ca="1">IF(M49&gt;10000,M49*0.5%,IF(AND(M49&gt;5000,M49&lt;=10000),M49*1%,IF(AND(M49&gt;1000,M49&lt;=5000),M49*2%,IF(AND(M49&gt;200,M49&lt;=1000),M49*3%,M49*5%))))</f>
        <v>422.98500000000001</v>
      </c>
      <c r="M68" s="24">
        <f ca="1">ROUND(L68,1)</f>
        <v>423</v>
      </c>
      <c r="Z68" s="2412"/>
      <c r="AI68" s="2413"/>
    </row>
    <row r="69" spans="1:35" s="2435" customFormat="1" ht="16.5" customHeight="1">
      <c r="A69" s="2489"/>
      <c r="B69" s="2490"/>
      <c r="C69" s="2491"/>
      <c r="D69" s="2492"/>
      <c r="E69" s="2493"/>
      <c r="F69" s="2156"/>
      <c r="G69" s="2156"/>
      <c r="H69" s="2155"/>
      <c r="I69" s="2407"/>
      <c r="J69" s="3209"/>
      <c r="K69" s="2488" t="s">
        <v>2254</v>
      </c>
      <c r="L69" s="2494"/>
      <c r="M69" s="24">
        <f ca="1">ROUND(SUM(M63:M68),0)</f>
        <v>1368</v>
      </c>
      <c r="N69" s="1741">
        <f ca="1">M69/M49</f>
        <v>1.6170786198092132E-2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4.4" thickBot="1">
      <c r="A70" s="3168" t="s">
        <v>2255</v>
      </c>
      <c r="B70" s="3169"/>
      <c r="C70" s="3169"/>
      <c r="D70" s="3169"/>
      <c r="E70" s="3169"/>
      <c r="F70" s="3169"/>
      <c r="G70" s="3169"/>
      <c r="H70" s="316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47" t="s">
        <v>2236</v>
      </c>
      <c r="B71" s="3148"/>
      <c r="C71" s="1792"/>
      <c r="D71" s="1792" t="s">
        <v>2237</v>
      </c>
      <c r="E71" s="213" t="s">
        <v>2238</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3" t="s">
        <v>775</v>
      </c>
      <c r="B72" s="204" t="s">
        <v>2256</v>
      </c>
      <c r="C72" s="207">
        <f ca="1">ROUND(D45/(1+'数据-取费表'!C42),0)</f>
        <v>80569</v>
      </c>
      <c r="D72" s="200" t="s">
        <v>32</v>
      </c>
      <c r="E72" s="1791"/>
      <c r="F72" s="1785"/>
      <c r="G72" s="1785"/>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3" t="s">
        <v>772</v>
      </c>
      <c r="B73" s="173" t="s">
        <v>2257</v>
      </c>
      <c r="C73" s="207">
        <f ca="1">C74+C78</f>
        <v>403</v>
      </c>
      <c r="D73" s="200" t="s">
        <v>32</v>
      </c>
      <c r="E73" s="1791"/>
      <c r="F73" s="1785"/>
      <c r="G73" s="1785"/>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2258</v>
      </c>
      <c r="C74" s="200">
        <f>ROUND(IF(G77="2016年5月1日后购买",C75/(1+'数据-取费表'!C42)+C76+C77,C75+C76+C77),0)</f>
        <v>0</v>
      </c>
      <c r="D74" s="200" t="s">
        <v>32</v>
      </c>
      <c r="E74" s="1791"/>
      <c r="F74" s="1785"/>
      <c r="G74" s="1785"/>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7" t="s">
        <v>776</v>
      </c>
      <c r="B75" s="198" t="s">
        <v>2259</v>
      </c>
      <c r="C75" s="218"/>
      <c r="D75" s="200" t="s">
        <v>32</v>
      </c>
      <c r="E75" s="219" t="s">
        <v>2260</v>
      </c>
      <c r="F75" s="2500" t="s">
        <v>2261</v>
      </c>
      <c r="G75" s="219" t="s">
        <v>2262</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2263</v>
      </c>
      <c r="C76" s="200">
        <f>IF(F75="购房发票",ROUND(C75*H75*D76,0),0)</f>
        <v>0</v>
      </c>
      <c r="D76" s="222">
        <v>0.05</v>
      </c>
      <c r="E76" s="3142" t="s">
        <v>2264</v>
      </c>
      <c r="F76" s="3119"/>
      <c r="G76" s="3119"/>
      <c r="H76" s="316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2" t="s">
        <v>2267</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2268</v>
      </c>
      <c r="C78" s="225">
        <f ca="1">ROUND(D45*D78/(1+'数据-取费表'!C42),0)</f>
        <v>403</v>
      </c>
      <c r="D78" s="226">
        <f>'数据-取费表'!B43</f>
        <v>5.000000000000001E-3</v>
      </c>
      <c r="E78" s="3128" t="s">
        <v>2269</v>
      </c>
      <c r="F78" s="3129"/>
      <c r="G78" s="3129"/>
      <c r="H78" s="313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4" t="s">
        <v>2270</v>
      </c>
      <c r="C79" s="207">
        <f ca="1">C72-C73</f>
        <v>80166</v>
      </c>
      <c r="D79" s="200" t="s">
        <v>32</v>
      </c>
      <c r="E79" s="1791"/>
      <c r="F79" s="1785"/>
      <c r="G79" s="1785"/>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2271</v>
      </c>
      <c r="C80" s="227">
        <f ca="1">IF(C79&lt;=0,0,C79/C73)</f>
        <v>198.92307692307693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9" t="s">
        <v>2272</v>
      </c>
      <c r="C81" s="228">
        <f ca="1">ROUND(IF(C79&lt;=0,0,IF(C80&gt;=200%,C79*60%-C73*35%,IF(C80&gt;=100%,C79*50%-C73*15%,IF(C80&gt;=50%,C79*40%-C73*5%,IF(C80&lt;50%,C79*30%,0))))),0)</f>
        <v>47959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68" t="s">
        <v>2273</v>
      </c>
      <c r="B83" s="3169"/>
      <c r="C83" s="3169"/>
      <c r="D83" s="3169"/>
      <c r="E83" s="3169"/>
      <c r="F83" s="3169"/>
      <c r="G83" s="3169"/>
      <c r="H83" s="316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47" t="s">
        <v>2236</v>
      </c>
      <c r="B84" s="3148"/>
      <c r="C84" s="1792"/>
      <c r="D84" s="1792" t="s">
        <v>2237</v>
      </c>
      <c r="E84" s="213" t="s">
        <v>2238</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3" t="s">
        <v>775</v>
      </c>
      <c r="B85" s="204" t="s">
        <v>2256</v>
      </c>
      <c r="C85" s="207">
        <f ca="1">ROUND(D45/(1+'数据-取费表'!C42),0)</f>
        <v>80569</v>
      </c>
      <c r="D85" s="200" t="s">
        <v>32</v>
      </c>
      <c r="E85" s="1791"/>
      <c r="F85" s="1785"/>
      <c r="G85" s="1785"/>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3" t="s">
        <v>772</v>
      </c>
      <c r="B86" s="173" t="s">
        <v>2257</v>
      </c>
      <c r="C86" s="207">
        <f ca="1">IF(H88="仅含出让金",C87+C90+C91+C92+C93+C94,C87+C91+C92+C93+C94)</f>
        <v>403</v>
      </c>
      <c r="D86" s="235"/>
      <c r="E86" s="1791"/>
      <c r="F86" s="1785"/>
      <c r="G86" s="1785"/>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7" t="s">
        <v>770</v>
      </c>
      <c r="B87" s="198" t="s">
        <v>2274</v>
      </c>
      <c r="C87" s="225">
        <f>C88+C89</f>
        <v>0</v>
      </c>
      <c r="D87" s="226"/>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7" t="s">
        <v>776</v>
      </c>
      <c r="B88" s="198" t="s">
        <v>2275</v>
      </c>
      <c r="C88" s="236"/>
      <c r="D88" s="226"/>
      <c r="E88" s="237" t="s">
        <v>2276</v>
      </c>
      <c r="F88" s="1788"/>
      <c r="G88" s="238" t="s">
        <v>2277</v>
      </c>
      <c r="H88" s="2506"/>
      <c r="I88" s="2501"/>
      <c r="J88" s="2955" t="s">
        <v>3053</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7" t="s">
        <v>777</v>
      </c>
      <c r="B89" s="198" t="s">
        <v>2265</v>
      </c>
      <c r="C89" s="225">
        <f>ROUND(C88*D89,0)</f>
        <v>0</v>
      </c>
      <c r="D89" s="226">
        <f>'数据-取费表'!B48+'数据-取费表'!B49</f>
        <v>3.0499999999999999E-2</v>
      </c>
      <c r="E89" s="237" t="s">
        <v>2278</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4">
      <c r="A90" s="217" t="s">
        <v>771</v>
      </c>
      <c r="B90" s="198" t="s">
        <v>2279</v>
      </c>
      <c r="C90" s="236"/>
      <c r="D90" s="226"/>
      <c r="E90" s="237" t="str">
        <f>IF(H88="-","土地取得成本中已包含该笔费用"," ")</f>
        <v xml:space="preserve"> </v>
      </c>
      <c r="F90" s="1788"/>
      <c r="G90" s="3212" t="s">
        <v>3055</v>
      </c>
      <c r="H90" s="3213"/>
      <c r="I90" s="2501"/>
      <c r="J90" s="2955" t="s">
        <v>3054</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2280</v>
      </c>
      <c r="B91" s="198" t="s">
        <v>2281</v>
      </c>
      <c r="C91" s="225">
        <f>IF(H91="——",成本法!C33,I91)</f>
        <v>0</v>
      </c>
      <c r="D91" s="226"/>
      <c r="E91" s="3128" t="s">
        <v>2282</v>
      </c>
      <c r="F91" s="3129"/>
      <c r="G91" s="3129"/>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2284</v>
      </c>
      <c r="B92" s="198" t="s">
        <v>2285</v>
      </c>
      <c r="C92" s="225">
        <f>ROUND((C87+C90+C91)*D92,0)</f>
        <v>0</v>
      </c>
      <c r="D92" s="226">
        <v>0.1</v>
      </c>
      <c r="E92" s="3128" t="s">
        <v>2286</v>
      </c>
      <c r="F92" s="3129"/>
      <c r="G92" s="3129"/>
      <c r="H92" s="3138"/>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2287</v>
      </c>
      <c r="B93" s="198" t="s">
        <v>2268</v>
      </c>
      <c r="C93" s="225">
        <f ca="1">ROUND(D45*D93/(1+'数据-取费表'!C42),0)</f>
        <v>403</v>
      </c>
      <c r="D93" s="226">
        <f>'数据-取费表'!B43</f>
        <v>5.000000000000001E-3</v>
      </c>
      <c r="E93" s="3128" t="s">
        <v>2269</v>
      </c>
      <c r="F93" s="3129"/>
      <c r="G93" s="3129"/>
      <c r="H93" s="313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2288</v>
      </c>
      <c r="B94" s="198" t="s">
        <v>2289</v>
      </c>
      <c r="C94" s="236">
        <f>ROUND((C87+C90+C91)*D94,0)</f>
        <v>0</v>
      </c>
      <c r="D94" s="226">
        <v>0.2</v>
      </c>
      <c r="E94" s="3139" t="s">
        <v>2290</v>
      </c>
      <c r="F94" s="3140"/>
      <c r="G94" s="3140"/>
      <c r="H94" s="314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4" t="s">
        <v>2270</v>
      </c>
      <c r="C95" s="207">
        <f ca="1">ROUND(C85-C86,0)</f>
        <v>80166</v>
      </c>
      <c r="D95" s="200" t="s">
        <v>32</v>
      </c>
      <c r="E95" s="1791"/>
      <c r="F95" s="1785"/>
      <c r="G95" s="1785"/>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2271</v>
      </c>
      <c r="C96" s="227">
        <f ca="1">IF(C95&lt;=0,0,C95/C86)</f>
        <v>198.92307692307693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9" t="s">
        <v>2272</v>
      </c>
      <c r="C97" s="228">
        <f ca="1">ROUND(IF(C95&lt;=0,0,IF(C96&gt;=200%,C95*60%-C86*35%,IF(C96&gt;=100%,C95*50%-C86*15%,IF(C96&gt;=50%,C95*40%-C86*5%,IF(C96&lt;50%,C95*30%,0))))),0)</f>
        <v>47959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2291</v>
      </c>
      <c r="B99" s="2407"/>
      <c r="C99" s="2407"/>
      <c r="D99" s="2407"/>
      <c r="E99" s="2156"/>
      <c r="F99" s="2156"/>
      <c r="G99" s="2156"/>
      <c r="H99" s="2155"/>
      <c r="I99" s="138"/>
    </row>
    <row r="100" spans="1:35" ht="18.75" customHeight="1">
      <c r="A100" s="3113" t="s">
        <v>2292</v>
      </c>
      <c r="B100" s="3114"/>
      <c r="C100" s="3114"/>
      <c r="D100" s="3130"/>
      <c r="E100" s="3114" t="s">
        <v>2293</v>
      </c>
      <c r="F100" s="3114"/>
      <c r="G100" s="3114"/>
      <c r="H100" s="3130"/>
      <c r="I100" s="138"/>
    </row>
    <row r="101" spans="1:35" ht="18.75" customHeight="1">
      <c r="A101" s="3192" t="s">
        <v>2294</v>
      </c>
      <c r="B101" s="3193"/>
      <c r="C101" s="736" t="str">
        <f>C4</f>
        <v>比较法-办公</v>
      </c>
      <c r="D101" s="737" t="str">
        <f>D4</f>
        <v>收益法办公</v>
      </c>
      <c r="E101" s="3206" t="s">
        <v>2295</v>
      </c>
      <c r="F101" s="3160"/>
      <c r="G101" s="2509" t="s">
        <v>2296</v>
      </c>
      <c r="H101" s="1045">
        <f ca="1">H118</f>
        <v>84597</v>
      </c>
      <c r="I101" s="138"/>
    </row>
    <row r="102" spans="1:35" ht="18.75" customHeight="1">
      <c r="A102" s="3162" t="s">
        <v>2297</v>
      </c>
      <c r="B102" s="2509" t="s">
        <v>2296</v>
      </c>
      <c r="C102" s="736">
        <f ca="1">C19</f>
        <v>87435</v>
      </c>
      <c r="D102" s="737">
        <f ca="1">D19</f>
        <v>81759</v>
      </c>
      <c r="E102" s="3206"/>
      <c r="F102" s="3160"/>
      <c r="G102" s="2509" t="s">
        <v>2298</v>
      </c>
      <c r="H102" s="371">
        <f ca="1">I118</f>
        <v>17153</v>
      </c>
      <c r="I102" s="138"/>
    </row>
    <row r="103" spans="1:35" ht="42.75" customHeight="1">
      <c r="A103" s="3162"/>
      <c r="B103" s="2509" t="s">
        <v>2298</v>
      </c>
      <c r="C103" s="738">
        <f ca="1">C20</f>
        <v>17728</v>
      </c>
      <c r="D103" s="739">
        <f ca="1">D20</f>
        <v>16577</v>
      </c>
      <c r="E103" s="3201" t="s">
        <v>2299</v>
      </c>
      <c r="F103" s="3202"/>
      <c r="G103" s="2510" t="s">
        <v>2300</v>
      </c>
      <c r="H103" s="1045">
        <f>IF(D36="正常操作",H104+H105+H106,H105+H106)</f>
        <v>0</v>
      </c>
      <c r="I103" s="138"/>
    </row>
    <row r="104" spans="1:35" ht="18.75" customHeight="1">
      <c r="A104" s="3162" t="s">
        <v>2301</v>
      </c>
      <c r="B104" s="2511" t="s">
        <v>2296</v>
      </c>
      <c r="C104" s="740">
        <f ca="1">H118</f>
        <v>84597</v>
      </c>
      <c r="D104" s="741"/>
      <c r="E104" s="2256" t="s">
        <v>2302</v>
      </c>
      <c r="F104" s="2248"/>
      <c r="G104" s="2510" t="s">
        <v>2300</v>
      </c>
      <c r="H104" s="1046">
        <f>IF(D36="同一抵押权人同一抵押物续贷",C36&amp;"（未扣减，详见特别提示）",C36)</f>
        <v>0</v>
      </c>
      <c r="I104" s="138"/>
    </row>
    <row r="105" spans="1:35" ht="18.75" customHeight="1" thickBot="1">
      <c r="A105" s="3163"/>
      <c r="B105" s="2512" t="s">
        <v>2298</v>
      </c>
      <c r="C105" s="742">
        <f ca="1">I118</f>
        <v>17153</v>
      </c>
      <c r="D105" s="743"/>
      <c r="E105" s="2256" t="s">
        <v>2303</v>
      </c>
      <c r="F105" s="2248"/>
      <c r="G105" s="2510" t="s">
        <v>2300</v>
      </c>
      <c r="H105" s="1046">
        <f>C37</f>
        <v>0</v>
      </c>
      <c r="I105" s="138"/>
    </row>
    <row r="106" spans="1:35" ht="18.75" customHeight="1">
      <c r="A106" s="2407" t="s">
        <v>2304</v>
      </c>
      <c r="B106" s="2407"/>
      <c r="C106" s="2407"/>
      <c r="D106" s="2407"/>
      <c r="E106" s="2513" t="s">
        <v>2305</v>
      </c>
      <c r="F106" s="2248"/>
      <c r="G106" s="2510" t="s">
        <v>2300</v>
      </c>
      <c r="H106" s="1046">
        <f>C38</f>
        <v>0</v>
      </c>
      <c r="I106" s="138"/>
    </row>
    <row r="107" spans="1:35" ht="18.75" customHeight="1">
      <c r="A107" s="138"/>
      <c r="B107" s="138"/>
      <c r="C107" s="138"/>
      <c r="D107" s="138"/>
      <c r="E107" s="3159" t="str">
        <f>IF(项目基本情况!E8="已注销","——","3.房地产抵押价值")</f>
        <v>3.房地产抵押价值</v>
      </c>
      <c r="F107" s="3160"/>
      <c r="G107" s="2509" t="s">
        <v>2296</v>
      </c>
      <c r="H107" s="1045">
        <f ca="1">IF(E107="——","——",H101-H103)</f>
        <v>84597</v>
      </c>
      <c r="I107" s="138"/>
    </row>
    <row r="108" spans="1:35" ht="18.75" customHeight="1">
      <c r="A108" s="138"/>
      <c r="B108" s="138"/>
      <c r="C108" s="138"/>
      <c r="D108" s="138"/>
      <c r="E108" s="3159"/>
      <c r="F108" s="3160"/>
      <c r="G108" s="2509" t="s">
        <v>2298</v>
      </c>
      <c r="H108" s="371">
        <f ca="1">ROUND(H107*10000/'数据-汇总表'!E3,0)</f>
        <v>9888</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60"/>
      <c r="G109" s="2509" t="s">
        <v>2296</v>
      </c>
      <c r="H109" s="348" t="str">
        <f>IF(E109="——","——",H101-H105-H106)</f>
        <v>——</v>
      </c>
      <c r="I109" s="138"/>
    </row>
    <row r="110" spans="1:35" ht="18.75" customHeight="1">
      <c r="A110" s="138"/>
      <c r="B110" s="138"/>
      <c r="C110" s="138"/>
      <c r="D110" s="138"/>
      <c r="E110" s="3159"/>
      <c r="F110" s="3160"/>
      <c r="G110" s="2509" t="s">
        <v>2298</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09" t="s">
        <v>2296</v>
      </c>
      <c r="H111" s="1045" t="str">
        <f>IF(E111="——","——",N59)</f>
        <v>——</v>
      </c>
      <c r="I111" s="138"/>
    </row>
    <row r="112" spans="1:35" ht="18.75" customHeight="1" thickBot="1">
      <c r="A112" s="138"/>
      <c r="B112" s="138"/>
      <c r="C112" s="138"/>
      <c r="D112" s="138"/>
      <c r="E112" s="3196"/>
      <c r="F112" s="3197"/>
      <c r="G112" s="2514" t="s">
        <v>2298</v>
      </c>
      <c r="H112" s="790" t="str">
        <f>IF(E111="——","——",N61)</f>
        <v>——</v>
      </c>
      <c r="I112" s="138"/>
    </row>
    <row r="113" spans="1:11" ht="18.75" customHeight="1">
      <c r="A113" s="138"/>
      <c r="B113" s="138"/>
      <c r="C113" s="138"/>
      <c r="D113" s="138"/>
      <c r="E113" s="3164" t="s">
        <v>2304</v>
      </c>
      <c r="F113" s="3164"/>
      <c r="G113" s="3164"/>
      <c r="H113" s="3164"/>
      <c r="I113" s="138"/>
    </row>
    <row r="114" spans="1:11" ht="3.75" customHeight="1">
      <c r="A114" s="2407"/>
      <c r="B114" s="2407"/>
      <c r="C114" s="2407"/>
      <c r="D114" s="2407"/>
      <c r="E114" s="2485"/>
      <c r="F114" s="2485"/>
      <c r="G114" s="2485"/>
      <c r="H114" s="2485"/>
      <c r="I114" s="2407"/>
    </row>
    <row r="115" spans="1:11" ht="18.75" customHeight="1">
      <c r="A115" s="3177" t="s">
        <v>2306</v>
      </c>
      <c r="B115" s="3178"/>
      <c r="C115" s="3178"/>
      <c r="D115" s="3178"/>
      <c r="E115" s="3178"/>
      <c r="F115" s="3178"/>
      <c r="G115" s="3178"/>
      <c r="H115" s="3178"/>
      <c r="I115" s="3179"/>
    </row>
    <row r="116" spans="1:11" ht="27" customHeight="1">
      <c r="A116" s="3070" t="s">
        <v>2307</v>
      </c>
      <c r="B116" s="3165" t="s">
        <v>2308</v>
      </c>
      <c r="C116" s="3165" t="s">
        <v>2309</v>
      </c>
      <c r="D116" s="3181" t="s">
        <v>2310</v>
      </c>
      <c r="E116" s="3182"/>
      <c r="F116" s="3173" t="s">
        <v>2311</v>
      </c>
      <c r="G116" s="3173"/>
      <c r="H116" s="3070" t="s">
        <v>2312</v>
      </c>
      <c r="I116" s="3070"/>
    </row>
    <row r="117" spans="1:11" ht="18.75" customHeight="1">
      <c r="A117" s="3070"/>
      <c r="B117" s="3166"/>
      <c r="C117" s="3166"/>
      <c r="D117" s="1786" t="s">
        <v>2313</v>
      </c>
      <c r="E117" s="1786" t="s">
        <v>2314</v>
      </c>
      <c r="F117" s="1786" t="s">
        <v>2313</v>
      </c>
      <c r="G117" s="1786" t="s">
        <v>2315</v>
      </c>
      <c r="H117" s="1786" t="s">
        <v>2313</v>
      </c>
      <c r="I117" s="1786" t="s">
        <v>2315</v>
      </c>
    </row>
    <row r="118" spans="1:11" ht="24.75" customHeight="1">
      <c r="A118" s="2515" t="str">
        <f>项目基本情况!S2</f>
        <v>北京市大兴区隆盛大街6号院1号楼-8幢等办公、商业、车库、地下仓储用房房地产</v>
      </c>
      <c r="B118" s="1786">
        <f>M18</f>
        <v>49320.17</v>
      </c>
      <c r="C118" s="1786">
        <f>M19</f>
        <v>13401.53</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84597</v>
      </c>
      <c r="I118" s="1786">
        <f ca="1">ROUND(IF(D32="楼面单价",C32,H118*10000/B118),0)</f>
        <v>17153</v>
      </c>
    </row>
    <row r="119" spans="1:11" ht="18.75" customHeight="1">
      <c r="A119" s="3070" t="s">
        <v>2316</v>
      </c>
      <c r="B119" s="3070"/>
      <c r="C119" s="3070"/>
      <c r="D119" s="3170" t="e">
        <f ca="1">NUMBERSTRING(INT(D118*10000),2)&amp;"元整"</f>
        <v>#REF!</v>
      </c>
      <c r="E119" s="3172"/>
      <c r="F119" s="3170" t="e">
        <f ca="1">NUMBERSTRING(INT(F118*10000),2)&amp;"元整"</f>
        <v>#REF!</v>
      </c>
      <c r="G119" s="3172"/>
      <c r="H119" s="3170" t="str">
        <f ca="1">NUMBERSTRING(INT(H118*10000),2)&amp;"元整"</f>
        <v>捌亿肆仟伍佰玖拾柒万元整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12" t="str">
        <f>IF(D120=0,"故，本次评估不存在"&amp;A120,"故，本次评估"&amp;A120&amp;"为人民币"&amp;D120&amp;"万元整。")</f>
        <v>故，本次评估不存在估价师知悉的法定优先受偿款</v>
      </c>
    </row>
    <row r="121" spans="1:11" ht="18.75" customHeight="1">
      <c r="A121" s="3174" t="s">
        <v>2316</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84597</v>
      </c>
      <c r="E122" s="3199"/>
      <c r="F122" s="3199"/>
      <c r="G122" s="3199"/>
      <c r="H122" s="3199"/>
      <c r="I122" s="3200"/>
    </row>
    <row r="123" spans="1:11" ht="18.75" customHeight="1">
      <c r="A123" s="3070" t="s">
        <v>2316</v>
      </c>
      <c r="B123" s="3070"/>
      <c r="C123" s="3070"/>
      <c r="D123" s="3170" t="str">
        <f ca="1">NUMBERSTRING(INT(D122*10000),2)&amp;"元整"</f>
        <v>捌亿肆仟伍佰玖拾柒万元整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70" t="s">
        <v>2316</v>
      </c>
      <c r="B125" s="3070"/>
      <c r="C125" s="3070"/>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70" t="s">
        <v>2316</v>
      </c>
      <c r="B127" s="3070"/>
      <c r="C127" s="3070"/>
      <c r="D127" s="3170" t="e">
        <f>NUMBERSTRING(INT(D126*10000),2)&amp;"元整"</f>
        <v>#VALUE!</v>
      </c>
      <c r="E127" s="3171"/>
      <c r="F127" s="3171"/>
      <c r="G127" s="3171"/>
      <c r="H127" s="3171"/>
      <c r="I127" s="3172"/>
    </row>
    <row r="128" spans="1:11" ht="21.75" customHeight="1">
      <c r="A128" s="3180" t="s">
        <v>2317</v>
      </c>
      <c r="B128" s="3180"/>
      <c r="C128" s="3180"/>
      <c r="D128" s="3180"/>
      <c r="E128" s="3180"/>
      <c r="F128" s="3180"/>
      <c r="G128" s="3180"/>
      <c r="H128" s="3180"/>
      <c r="I128" s="3180"/>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2320</v>
      </c>
      <c r="G135" s="2533"/>
      <c r="H135" s="2533"/>
      <c r="I135" s="2534" t="s">
        <v>2321</v>
      </c>
    </row>
    <row r="136" spans="1:35" ht="21.75" customHeight="1">
      <c r="A136" s="795"/>
      <c r="B136" s="253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2323</v>
      </c>
    </row>
    <row r="139" spans="1:35" ht="21.75" customHeight="1">
      <c r="A139" s="795"/>
      <c r="B139" s="2535" t="s">
        <v>2324</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2323</v>
      </c>
    </row>
    <row r="142" spans="1:35" ht="21.75" customHeight="1">
      <c r="A142" s="795"/>
      <c r="B142" s="2535"/>
      <c r="C142" s="2536"/>
      <c r="D142" s="2537"/>
      <c r="E142" s="2537"/>
      <c r="F142" s="2330"/>
      <c r="G142" s="795"/>
      <c r="H142" s="795"/>
      <c r="I142" s="795"/>
    </row>
    <row r="143" spans="1:35" s="139" customFormat="1" ht="21.75" customHeight="1">
      <c r="A143" s="795"/>
      <c r="B143" s="2535"/>
      <c r="C143" s="2536"/>
      <c r="D143" s="2537"/>
      <c r="E143" s="2537"/>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26" t="str">
        <f>项目基本情况!B1</f>
        <v>北京市大兴区隆盛大街6号院1号楼-8幢等办公、商业、车库、地下仓储用房房地产抵押价值预评估</v>
      </c>
      <c r="C37" s="3026"/>
      <c r="D37" s="3026"/>
      <c r="E37" s="3026"/>
      <c r="F37" s="3026"/>
      <c r="G37" s="3026"/>
      <c r="H37" s="3026"/>
      <c r="I37" s="3026"/>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27"/>
      <c r="C1" s="2544" t="s">
        <v>2427</v>
      </c>
      <c r="D1" s="242"/>
      <c r="E1" s="242"/>
      <c r="F1" s="242"/>
      <c r="G1" s="1379">
        <f>MATCH(B1,'数据-取费表'!A6:A16,0)+5</f>
        <v>11</v>
      </c>
      <c r="H1" s="1282" t="str">
        <f>IF(ISERROR(FIND("住宅",B1)),"非住宅","住宅")</f>
        <v>非住宅</v>
      </c>
    </row>
    <row r="2" spans="1:8" s="244" customFormat="1" ht="18" customHeight="1">
      <c r="A2" s="245" t="s">
        <v>2326</v>
      </c>
      <c r="B2" s="246">
        <f ca="1">ROUND(IF(D2="——",C52/10000,C52/10000-E2),0)</f>
        <v>39721</v>
      </c>
      <c r="C2" s="243" t="s">
        <v>2327</v>
      </c>
      <c r="D2" s="2538" t="s">
        <v>70</v>
      </c>
      <c r="E2" s="1440" t="e">
        <f ca="1">SUMIF(INDIRECT("'"&amp;G2&amp;"'"&amp;"!A:A"),"承租人权益价值",INDIRECT("'"&amp;G2&amp;"'"&amp;"!c:c"))</f>
        <v>#REF!</v>
      </c>
      <c r="F2" s="2539" t="s">
        <v>2327</v>
      </c>
      <c r="G2" s="2540"/>
    </row>
    <row r="3" spans="1:8" s="244" customFormat="1" ht="18" customHeight="1" thickBot="1">
      <c r="A3" s="247" t="s">
        <v>2328</v>
      </c>
      <c r="B3" s="248">
        <f ca="1">ROUND(B2*10000/(IF(B1="",'数据-汇总表'!E3,INDIRECT("'数据-取费表'!k"&amp;$G$1))),0)</f>
        <v>4643</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16255192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16255192</v>
      </c>
      <c r="D8" s="266"/>
      <c r="E8" s="264"/>
      <c r="F8" s="265"/>
      <c r="G8" s="254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2344</v>
      </c>
      <c r="C10" s="269">
        <f ca="1">ROUND(D10*E10,0)</f>
        <v>16255192</v>
      </c>
      <c r="D10" s="1032">
        <f ca="1">IF(B1="",'数据-汇总表'!E6,IF(INDIRECT("'数据-取费表'!c"&amp;$G$1)="住宅",INDIRECT("'数据-取费表'!s"&amp;$G$1),INDIRECT("'数据-取费表'!k"&amp;$G$1)+INDIRECT("'数据-取费表'!s"&amp;$G$1)))</f>
        <v>85553.64</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17110728</v>
      </c>
      <c r="D19" s="1036">
        <f ca="1">D9+D10</f>
        <v>85553.64</v>
      </c>
      <c r="E19" s="255">
        <f>'数据-取费表'!B31</f>
        <v>200</v>
      </c>
      <c r="F19" s="275"/>
      <c r="G19" s="2541"/>
    </row>
    <row r="20" spans="1:7" s="258" customFormat="1" ht="13.5" customHeight="1">
      <c r="A20" s="299" t="s">
        <v>2438</v>
      </c>
      <c r="B20" s="254" t="s">
        <v>2439</v>
      </c>
      <c r="C20" s="276">
        <f ca="1">ROUND((C5+C19)*F20,0)</f>
        <v>667318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3276742</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1580919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1664125</v>
      </c>
      <c r="D24" s="282"/>
      <c r="E24" s="282"/>
      <c r="F24" s="283"/>
      <c r="G24" s="284" t="s">
        <v>2450</v>
      </c>
    </row>
    <row r="25" spans="1:7" s="258" customFormat="1" ht="24">
      <c r="A25" s="951" t="s">
        <v>2340</v>
      </c>
      <c r="B25" s="259" t="s">
        <v>2451</v>
      </c>
      <c r="C25" s="1381">
        <f ca="1">ROUND(IF('数据-取费表'!B22&lt;=1,C20*F22*'数据-取费表'!B22/2,C20*(POWER((1+F22),'数据-取费表'!B22/2)-1)),0)</f>
        <v>31698</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3743656</v>
      </c>
      <c r="D27" s="279">
        <f ca="1">C29</f>
        <v>2.2000000000000001E-3</v>
      </c>
      <c r="E27" s="280" t="s">
        <v>2378</v>
      </c>
      <c r="F27" s="290">
        <f ca="1">IF(B1="",'数据-取费表'!Q16,INDIRECT("'数据-取费表'!q"&amp;$G$1))</f>
        <v>0.11</v>
      </c>
      <c r="G27" s="291" t="s">
        <v>2379</v>
      </c>
    </row>
    <row r="28" spans="1:7" s="258" customFormat="1" ht="13.5" customHeight="1">
      <c r="A28" s="951" t="s">
        <v>791</v>
      </c>
      <c r="B28" s="292" t="s">
        <v>2380</v>
      </c>
      <c r="C28" s="293">
        <f ca="1">ROUND((C5+C19+C20)*F27,0)</f>
        <v>3743656</v>
      </c>
      <c r="D28" s="279"/>
      <c r="E28" s="280"/>
      <c r="F28" s="290"/>
      <c r="G28" s="291"/>
    </row>
    <row r="29" spans="1:7" s="258" customFormat="1" ht="13.5" customHeight="1">
      <c r="A29" s="951" t="s">
        <v>792</v>
      </c>
      <c r="B29" s="292" t="s">
        <v>2381</v>
      </c>
      <c r="C29" s="282">
        <f ca="1">ROUND(C21*F27,4)</f>
        <v>2.2000000000000001E-3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44411116</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290764674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256952062</v>
      </c>
      <c r="D34" s="261"/>
      <c r="E34" s="264"/>
      <c r="F34" s="301"/>
      <c r="G34" s="263"/>
    </row>
    <row r="35" spans="1:7" ht="13.5" customHeight="1">
      <c r="A35" s="951" t="s">
        <v>796</v>
      </c>
      <c r="B35" s="259" t="s">
        <v>2391</v>
      </c>
      <c r="C35" s="264">
        <f ca="1">ROUND(C34*F35,0)</f>
        <v>12847603</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17110728</v>
      </c>
      <c r="D37" s="261">
        <f ca="1">D19</f>
        <v>85553.64</v>
      </c>
      <c r="E37" s="293">
        <f>'数据-取费表'!B35</f>
        <v>200</v>
      </c>
      <c r="F37" s="303"/>
      <c r="G37" s="305"/>
    </row>
    <row r="38" spans="1:7" ht="13.5" customHeight="1">
      <c r="A38" s="951" t="s">
        <v>799</v>
      </c>
      <c r="B38" s="259" t="s">
        <v>2397</v>
      </c>
      <c r="C38" s="264">
        <f ca="1">ROUND(C34*F38,0)</f>
        <v>3854281</v>
      </c>
      <c r="D38" s="264"/>
      <c r="E38" s="264"/>
      <c r="F38" s="303">
        <f>'数据-取费表'!B36</f>
        <v>1.4999999999999999E-2</v>
      </c>
      <c r="G38" s="263" t="s">
        <v>2392</v>
      </c>
    </row>
    <row r="39" spans="1:7" s="258" customFormat="1" ht="13.5" customHeight="1">
      <c r="A39" s="299" t="s">
        <v>2398</v>
      </c>
      <c r="B39" s="254" t="s">
        <v>2399</v>
      </c>
      <c r="C39" s="276">
        <f ca="1">ROUND(C33*F20,0)</f>
        <v>5815293</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14087548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13811322</v>
      </c>
      <c r="D42" s="282"/>
      <c r="E42" s="282"/>
      <c r="F42" s="283"/>
      <c r="G42" s="3214" t="s">
        <v>2455</v>
      </c>
    </row>
    <row r="43" spans="1:7" ht="13.5" customHeight="1">
      <c r="A43" s="951" t="s">
        <v>792</v>
      </c>
      <c r="B43" s="259" t="s">
        <v>2409</v>
      </c>
      <c r="C43" s="282">
        <f ca="1">ROUND(IF('数据-取费表'!B22&lt;=1,C39*F22*'数据-取费表'!B20/2,C39*(POWER((1+F22),'数据-取费表'!B20/2)-1)),0)</f>
        <v>276226</v>
      </c>
      <c r="D43" s="282"/>
      <c r="E43" s="282"/>
      <c r="F43" s="283"/>
      <c r="G43" s="3215"/>
    </row>
    <row r="44" spans="1:7" ht="13.5" customHeight="1">
      <c r="A44" s="951" t="s">
        <v>793</v>
      </c>
      <c r="B44" s="259" t="s">
        <v>2410</v>
      </c>
      <c r="C44" s="282">
        <f ca="1">ROUND(IF('数据-取费表'!B22&lt;=1,C40*F22*'数据-取费表'!B20/2,C40*(POWER((1+F22),'数据-取费表'!B20/2)-1)),4)</f>
        <v>1E-3</v>
      </c>
      <c r="D44" s="282"/>
      <c r="E44" s="282"/>
      <c r="F44" s="283"/>
      <c r="G44" s="3216"/>
    </row>
    <row r="45" spans="1:7" s="258" customFormat="1" ht="13.5" customHeight="1">
      <c r="A45" s="299" t="s">
        <v>2411</v>
      </c>
      <c r="B45" s="288" t="s">
        <v>2377</v>
      </c>
      <c r="C45" s="289">
        <f ca="1">C46</f>
        <v>32623796</v>
      </c>
      <c r="D45" s="279">
        <f ca="1">C47</f>
        <v>2.2000000000000001E-3</v>
      </c>
      <c r="E45" s="280" t="s">
        <v>2403</v>
      </c>
      <c r="F45" s="290"/>
      <c r="G45" s="291" t="s">
        <v>2412</v>
      </c>
    </row>
    <row r="46" spans="1:7" s="258" customFormat="1" ht="13.5" customHeight="1">
      <c r="A46" s="951" t="s">
        <v>791</v>
      </c>
      <c r="B46" s="292" t="s">
        <v>2413</v>
      </c>
      <c r="C46" s="293">
        <f ca="1">ROUND((C33+C39)*F27,0)</f>
        <v>32623796</v>
      </c>
      <c r="D46" s="307"/>
      <c r="E46" s="280"/>
      <c r="F46" s="290"/>
      <c r="G46" s="291"/>
    </row>
    <row r="47" spans="1:7" s="258" customFormat="1" ht="13.5" customHeight="1">
      <c r="A47" s="951" t="s">
        <v>792</v>
      </c>
      <c r="B47" s="292" t="s">
        <v>2414</v>
      </c>
      <c r="C47" s="282">
        <f ca="1">ROUND(C40*F27,4)</f>
        <v>2.2000000000000001E-3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371366628</v>
      </c>
      <c r="D49" s="276"/>
      <c r="E49" s="276"/>
      <c r="F49" s="308"/>
      <c r="G49" s="278" t="s">
        <v>2418</v>
      </c>
    </row>
    <row r="50" spans="1:7" s="302" customFormat="1">
      <c r="A50" s="299" t="s">
        <v>2419</v>
      </c>
      <c r="B50" s="254" t="s">
        <v>2420</v>
      </c>
      <c r="C50" s="276"/>
      <c r="D50" s="276"/>
      <c r="E50" s="276"/>
      <c r="F50" s="308">
        <f>IF('数据-取费表'!B24=0,'数据-取费表'!N16,1)</f>
        <v>0.95</v>
      </c>
      <c r="G50" s="291"/>
    </row>
    <row r="51" spans="1:7" ht="16.5" customHeight="1">
      <c r="A51" s="299" t="s">
        <v>2422</v>
      </c>
      <c r="B51" s="254" t="s">
        <v>2457</v>
      </c>
      <c r="C51" s="276">
        <f ca="1">ROUND(C49*F50,0)</f>
        <v>352798297</v>
      </c>
      <c r="D51" s="276"/>
      <c r="E51" s="276"/>
      <c r="F51" s="308"/>
      <c r="G51" s="278" t="s">
        <v>2424</v>
      </c>
    </row>
    <row r="52" spans="1:7" s="252" customFormat="1" ht="16.8" thickBot="1">
      <c r="A52" s="309" t="s">
        <v>2425</v>
      </c>
      <c r="B52" s="310"/>
      <c r="C52" s="311">
        <f ca="1">C31+C51</f>
        <v>397209413</v>
      </c>
      <c r="D52" s="310"/>
      <c r="E52" s="310"/>
      <c r="F52" s="310"/>
      <c r="G52" s="312"/>
    </row>
    <row r="55" spans="1:7" ht="15">
      <c r="B55" s="314" t="s">
        <v>2426</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2458</v>
      </c>
      <c r="B1" s="1580"/>
      <c r="C1" s="1581"/>
      <c r="D1" s="1579"/>
      <c r="E1" s="320"/>
      <c r="F1" s="320"/>
      <c r="G1" s="1580"/>
      <c r="H1" s="320"/>
      <c r="I1" s="320"/>
      <c r="J1" s="320"/>
      <c r="K1" s="320">
        <f>MATCH(C1,'数据-取费表'!A6:A16,0)+5</f>
        <v>11</v>
      </c>
    </row>
    <row r="2" spans="1:33" ht="18" customHeight="1">
      <c r="A2" s="245" t="s">
        <v>2326</v>
      </c>
      <c r="B2" s="248">
        <f ca="1">C32</f>
        <v>-1789</v>
      </c>
      <c r="C2" s="320" t="s">
        <v>2459</v>
      </c>
      <c r="D2" s="320"/>
      <c r="E2" s="320"/>
      <c r="F2" s="320"/>
      <c r="G2" s="320"/>
      <c r="H2" s="320"/>
      <c r="I2" s="320"/>
      <c r="J2" s="320"/>
      <c r="K2" s="320"/>
    </row>
    <row r="3" spans="1:33" ht="18" customHeight="1" thickBot="1">
      <c r="A3" s="247" t="s">
        <v>2328</v>
      </c>
      <c r="B3" s="248">
        <f ca="1">ROUND(B2*10000/IF(C1="",'数据-汇总表'!E3,INDIRECT("'数据-取费表'!K"&amp;$K$1)),0)</f>
        <v>-209</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5.2">
      <c r="A5" s="957" t="s">
        <v>2462</v>
      </c>
      <c r="B5" s="958" t="s">
        <v>2463</v>
      </c>
      <c r="C5" s="2545" t="s">
        <v>2464</v>
      </c>
      <c r="D5" s="2545" t="s">
        <v>2465</v>
      </c>
      <c r="E5" s="2545" t="s">
        <v>2466</v>
      </c>
      <c r="F5" s="2545"/>
      <c r="G5" s="2545"/>
      <c r="H5" s="2545"/>
      <c r="I5" s="2545"/>
      <c r="J5" s="2545"/>
      <c r="K5" s="254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85553.64</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85553.64</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1626</v>
      </c>
      <c r="D18" s="1033"/>
      <c r="E18" s="24"/>
      <c r="F18" s="976"/>
      <c r="G18" s="2547"/>
      <c r="H18" s="1576"/>
      <c r="I18" s="254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2494</v>
      </c>
      <c r="C20" s="24">
        <f ca="1">ROUND(D20*E20/10000,0)</f>
        <v>1626</v>
      </c>
      <c r="D20" s="1033">
        <f ca="1">IF(C1="",'数据-汇总表'!E6,IF(INDIRECT("'数据-取费表'!c"&amp;$K$1)="住宅",INDIRECT("'数据-取费表'!s"&amp;$K$1),INDIRECT("'数据-取费表'!k"&amp;$K$1)+INDIRECT("'数据-取费表'!s"&amp;$K$1)))</f>
        <v>85553.64</v>
      </c>
      <c r="E20" s="24">
        <f>'数据-取费表'!B28</f>
        <v>190</v>
      </c>
      <c r="F20" s="976"/>
      <c r="G20" s="15"/>
      <c r="H20" s="981"/>
      <c r="I20" s="981"/>
      <c r="J20" s="981"/>
      <c r="K20" s="982"/>
    </row>
    <row r="21" spans="1:33" s="975" customFormat="1" ht="13.5" customHeight="1">
      <c r="A21" s="961" t="s">
        <v>802</v>
      </c>
      <c r="B21" s="985" t="s">
        <v>2495</v>
      </c>
      <c r="C21" s="986">
        <f ca="1">C16+C17+C18</f>
        <v>1626</v>
      </c>
      <c r="D21" s="987"/>
      <c r="E21" s="325"/>
      <c r="F21" s="325"/>
      <c r="G21" s="140" t="s">
        <v>2496</v>
      </c>
      <c r="H21" s="979"/>
      <c r="I21" s="979"/>
      <c r="J21" s="979"/>
      <c r="K21" s="980"/>
    </row>
    <row r="22" spans="1:33" s="975" customFormat="1" ht="13.5" customHeight="1">
      <c r="A22" s="961" t="s">
        <v>2468</v>
      </c>
      <c r="B22" s="985" t="s">
        <v>2497</v>
      </c>
      <c r="C22" s="986">
        <f ca="1">ROUND(C21*F22,0)</f>
        <v>33</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9"/>
      <c r="I27" s="979"/>
      <c r="J27" s="979"/>
      <c r="K27" s="980"/>
    </row>
    <row r="28" spans="1:33" s="333" customFormat="1" ht="13.5" customHeight="1">
      <c r="A28" s="961" t="s">
        <v>2508</v>
      </c>
      <c r="B28" s="2550" t="s">
        <v>2509</v>
      </c>
      <c r="C28" s="331">
        <f ca="1">C30</f>
        <v>182</v>
      </c>
      <c r="D28" s="324">
        <f ca="1">C29</f>
        <v>0</v>
      </c>
      <c r="E28" s="326" t="s">
        <v>15</v>
      </c>
      <c r="F28" s="332">
        <f ca="1">IF(C1="",'数据-取费表'!Q16,INDIRECT("'数据-取费表'!q"&amp;$K$1))</f>
        <v>0.11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182</v>
      </c>
      <c r="D30" s="328"/>
      <c r="E30" s="329"/>
      <c r="F30" s="334"/>
      <c r="G30" s="140"/>
      <c r="H30" s="979"/>
      <c r="I30" s="979"/>
      <c r="J30" s="979"/>
      <c r="K30" s="980"/>
    </row>
    <row r="31" spans="1:33" s="975" customFormat="1" ht="13.5" customHeight="1" thickBot="1">
      <c r="A31" s="2551"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-1789</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c r="D1" s="1811"/>
      <c r="E1" s="1812" t="s">
        <v>1381</v>
      </c>
      <c r="F1" s="1283">
        <f ca="1">J53</f>
        <v>0</v>
      </c>
      <c r="G1" s="182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217" t="s">
        <v>1397</v>
      </c>
      <c r="C6" s="1296">
        <f ca="1">ROUND(F6*F8*F7*(1-F9),0)</f>
        <v>0</v>
      </c>
      <c r="D6" s="164" t="s">
        <v>3025</v>
      </c>
      <c r="E6" s="347" t="s">
        <v>1399</v>
      </c>
      <c r="F6" s="348">
        <f ca="1">INDIRECT("'数据-取费表'!u"&amp;$G$1)</f>
        <v>0</v>
      </c>
      <c r="G6" s="1842"/>
      <c r="H6" s="1291" t="s">
        <v>1031</v>
      </c>
      <c r="I6" s="3217" t="s">
        <v>1397</v>
      </c>
      <c r="J6" s="346">
        <f ca="1">ROUND(M6*M8*M7*(1-M9),0)</f>
        <v>0</v>
      </c>
      <c r="K6" s="1825" t="s">
        <v>3026</v>
      </c>
      <c r="L6" s="347" t="s">
        <v>1399</v>
      </c>
      <c r="M6" s="348">
        <f ca="1">INDIRECT("'数据-取费表'!z"&amp;$G$1)</f>
        <v>0</v>
      </c>
    </row>
    <row r="7" spans="1:37" ht="18" customHeight="1">
      <c r="A7" s="1295"/>
      <c r="B7" s="3218"/>
      <c r="C7" s="1297"/>
      <c r="D7" s="352"/>
      <c r="E7" s="1298" t="s">
        <v>1400</v>
      </c>
      <c r="F7" s="348">
        <f ca="1">IF(INDIRECT("'数据-取费表'!ah"&amp;$G$1)="",INDIRECT("'数据-取费表'!k"&amp;$G$1),INDIRECT("'数据-取费表'!ah"&amp;$G$1))</f>
        <v>0</v>
      </c>
      <c r="G7" s="1842"/>
      <c r="H7" s="349"/>
      <c r="I7" s="3218"/>
      <c r="J7" s="351"/>
      <c r="K7" s="352"/>
      <c r="L7" s="347" t="s">
        <v>1400</v>
      </c>
      <c r="M7" s="348">
        <f ca="1">F7</f>
        <v>0</v>
      </c>
    </row>
    <row r="8" spans="1:37" ht="18" customHeight="1">
      <c r="A8" s="349"/>
      <c r="B8" s="3218"/>
      <c r="C8" s="351"/>
      <c r="D8" s="352"/>
      <c r="E8" s="347" t="s">
        <v>1401</v>
      </c>
      <c r="F8" s="348">
        <f ca="1">INDIRECT("'数据-取费表'!ai"&amp;$G$1)</f>
        <v>0</v>
      </c>
      <c r="G8" s="1842"/>
      <c r="H8" s="349"/>
      <c r="I8" s="3218"/>
      <c r="J8" s="351"/>
      <c r="K8" s="352"/>
      <c r="L8" s="347" t="s">
        <v>1401</v>
      </c>
      <c r="M8" s="348">
        <f ca="1">INDIRECT("'数据-取费表'!ai"&amp;$G$1)</f>
        <v>0</v>
      </c>
    </row>
    <row r="9" spans="1:37" ht="18" customHeight="1">
      <c r="A9" s="349"/>
      <c r="B9" s="3219"/>
      <c r="C9" s="351"/>
      <c r="D9" s="352"/>
      <c r="E9" s="347" t="s">
        <v>1402</v>
      </c>
      <c r="F9" s="357">
        <f ca="1">INDIRECT("'数据-取费表'!w"&amp;$G$1)</f>
        <v>0</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3035</v>
      </c>
      <c r="E10" s="358" t="s">
        <v>1404</v>
      </c>
      <c r="F10" s="1366"/>
      <c r="G10" s="1842"/>
      <c r="H10" s="1291" t="s">
        <v>1035</v>
      </c>
      <c r="I10" s="1814" t="s">
        <v>1403</v>
      </c>
      <c r="J10" s="346">
        <f ca="1">ROUND(IF(M10="押一",J6/12*M11,IF(M10="押二",J6/12*2*M11,IF(M10="押三",J6/12*3*M11,J11*M11))),0)</f>
        <v>0</v>
      </c>
      <c r="K10" s="1826" t="s">
        <v>3036</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200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ROUND(M20*M21,0)</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8"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8"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8"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0.75" customHeight="1" thickBot="1">
      <c r="A53" s="1361" t="s">
        <v>1133</v>
      </c>
      <c r="B53" s="369" t="s">
        <v>1403</v>
      </c>
      <c r="C53" s="361">
        <f ca="1">ROUND(IF(F53="押一",C49/12*F11,IF(F53="押二",C49/12*2*F11,IF(F53="押三",C49/12*3*F11,C54*F11))),0)</f>
        <v>0</v>
      </c>
      <c r="D53" s="1815" t="s">
        <v>3037</v>
      </c>
      <c r="E53" s="358" t="s">
        <v>1404</v>
      </c>
      <c r="F53" s="1366"/>
      <c r="I53" s="1896" t="s">
        <v>1541</v>
      </c>
      <c r="J53" s="2940">
        <f ca="1">IF(M47="住宅",IF(D1="——",MAX(J51,L48),MAX(J51,L48-'数据-取费表'!B24)),IF(D1="——",MIN(J51,L48),MIN(J51,L48-'数据-取费表'!B24)))</f>
        <v>0</v>
      </c>
      <c r="K53" s="3220" t="s">
        <v>1542</v>
      </c>
      <c r="L53" s="3221"/>
      <c r="O53" s="1875" t="s">
        <v>1042</v>
      </c>
      <c r="P53" s="1876" t="s">
        <v>1543</v>
      </c>
      <c r="Q53" s="1877" t="e">
        <f ca="1">Q47+Q48</f>
        <v>#DIV/0!</v>
      </c>
      <c r="R53" s="1877" t="s">
        <v>1043</v>
      </c>
    </row>
    <row r="54" spans="1:18" s="1833" customFormat="1" ht="13.8"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6"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201" t="s">
        <v>1489</v>
      </c>
      <c r="B62" s="1168" t="s">
        <v>1490</v>
      </c>
      <c r="C62" s="25">
        <f ca="1">IF(项目基本情况!B11="自然人","——",ROUND(F62*F63,0))</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24.6"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2"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8" thickBot="1">
      <c r="A69" s="1170"/>
      <c r="B69" s="1171"/>
      <c r="C69" s="351"/>
      <c r="D69" s="1189" t="s">
        <v>1467</v>
      </c>
      <c r="E69" s="1169" t="s">
        <v>1468</v>
      </c>
      <c r="F69" s="379">
        <f ca="1">F41</f>
        <v>0</v>
      </c>
      <c r="O69" s="1885" t="s">
        <v>1044</v>
      </c>
      <c r="P69" s="1924" t="s">
        <v>1578</v>
      </c>
      <c r="Q69" s="1877">
        <f ca="1">C39</f>
        <v>0</v>
      </c>
      <c r="R69" s="1877" t="s">
        <v>1523</v>
      </c>
    </row>
    <row r="70" spans="1:18" s="1833" customFormat="1" ht="13.8" thickBot="1">
      <c r="A70" s="1173"/>
      <c r="B70" s="1174"/>
      <c r="C70" s="355"/>
      <c r="D70" s="1185"/>
      <c r="E70" s="1169" t="s">
        <v>1471</v>
      </c>
      <c r="F70" s="1275">
        <f ca="1">F42</f>
        <v>0</v>
      </c>
      <c r="O70" s="1885" t="s">
        <v>1045</v>
      </c>
      <c r="P70" s="1924" t="s">
        <v>1579</v>
      </c>
      <c r="Q70" s="1877">
        <f ca="1">C13</f>
        <v>0</v>
      </c>
      <c r="R70" s="1877" t="s">
        <v>1523</v>
      </c>
    </row>
    <row r="71" spans="1:18" s="1833" customFormat="1" ht="13.8"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M23" sqref="M2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660" t="s">
        <v>2685</v>
      </c>
      <c r="C1" s="1619" t="s">
        <v>2529</v>
      </c>
      <c r="D1" s="1620" t="s">
        <v>27</v>
      </c>
      <c r="E1" s="1629"/>
      <c r="F1" s="2575" t="s">
        <v>3230</v>
      </c>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f>IF(C2="——",ROUND(C50*D3/10000,0),ROUND(C50*D3/10000,0)-D2)</f>
        <v>87435</v>
      </c>
      <c r="C2" s="2577" t="s">
        <v>70</v>
      </c>
      <c r="D2" s="1365" t="e">
        <f ca="1">SUMIF(INDIRECT("'"&amp;F2&amp;"'"&amp;"!A:A"),"承租人权益价值",INDIRECT("'"&amp;F2&amp;"'"&amp;"!c:c"))</f>
        <v>#REF!</v>
      </c>
      <c r="E2" s="2578" t="s">
        <v>2327</v>
      </c>
      <c r="F2" s="257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17728</v>
      </c>
      <c r="C3" s="400" t="s">
        <v>2643</v>
      </c>
      <c r="D3" s="399">
        <f>IF(D1="",'数据-汇总表'!E3,SUMIF('数据-汇总表'!$C19:$C33,D1,'数据-汇总表'!$E19:$E33))</f>
        <v>49320.17</v>
      </c>
      <c r="E3" s="265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44" t="s">
        <v>2650</v>
      </c>
      <c r="Q4" s="3245"/>
      <c r="R4" s="3250" t="s">
        <v>2646</v>
      </c>
      <c r="S4" s="3251"/>
      <c r="T4" s="3250" t="s">
        <v>2647</v>
      </c>
      <c r="U4" s="3251"/>
      <c r="V4" s="3256" t="s">
        <v>2648</v>
      </c>
      <c r="W4" s="3256"/>
      <c r="X4" s="2661"/>
      <c r="Y4" s="3250" t="s">
        <v>2650</v>
      </c>
      <c r="Z4" s="3251"/>
      <c r="AA4" s="3269" t="s">
        <v>2646</v>
      </c>
      <c r="AB4" s="3269" t="s">
        <v>2647</v>
      </c>
      <c r="AC4" s="3237" t="s">
        <v>2648</v>
      </c>
    </row>
    <row r="5" spans="1:29">
      <c r="A5" s="404"/>
      <c r="B5" s="405"/>
      <c r="C5" s="3266" t="s">
        <v>2541</v>
      </c>
      <c r="D5" s="3261"/>
      <c r="E5" s="3272" t="s">
        <v>3244</v>
      </c>
      <c r="F5" s="3273"/>
      <c r="G5" s="3260" t="s">
        <v>3246</v>
      </c>
      <c r="H5" s="3261"/>
      <c r="I5" s="3260" t="s">
        <v>3247</v>
      </c>
      <c r="J5" s="3261"/>
      <c r="K5" s="610"/>
      <c r="L5" s="1130"/>
      <c r="M5" s="1131"/>
      <c r="N5" s="1131"/>
      <c r="O5" s="1131"/>
      <c r="P5" s="3246"/>
      <c r="Q5" s="3247"/>
      <c r="R5" s="3252"/>
      <c r="S5" s="3253"/>
      <c r="T5" s="3252"/>
      <c r="U5" s="3253"/>
      <c r="V5" s="3257"/>
      <c r="W5" s="3257"/>
      <c r="X5" s="1804"/>
      <c r="Y5" s="3252"/>
      <c r="Z5" s="3253"/>
      <c r="AA5" s="3270"/>
      <c r="AB5" s="3270"/>
      <c r="AC5" s="3238"/>
    </row>
    <row r="6" spans="1:29" ht="15" thickBot="1">
      <c r="A6" s="406"/>
      <c r="B6" s="407"/>
      <c r="C6" s="3258" t="s">
        <v>2545</v>
      </c>
      <c r="D6" s="3259"/>
      <c r="E6" s="3267" t="s">
        <v>2545</v>
      </c>
      <c r="F6" s="3268"/>
      <c r="G6" s="3258" t="s">
        <v>2545</v>
      </c>
      <c r="H6" s="3259"/>
      <c r="I6" s="3258" t="s">
        <v>2545</v>
      </c>
      <c r="J6" s="3259"/>
      <c r="K6" s="610" t="s">
        <v>2546</v>
      </c>
      <c r="L6" s="1130"/>
      <c r="M6" s="1131"/>
      <c r="N6" s="1131"/>
      <c r="O6" s="1131"/>
      <c r="P6" s="3248"/>
      <c r="Q6" s="3249"/>
      <c r="R6" s="3252"/>
      <c r="S6" s="3253"/>
      <c r="T6" s="3254"/>
      <c r="U6" s="3255"/>
      <c r="V6" s="3257"/>
      <c r="W6" s="3257"/>
      <c r="X6" s="1804"/>
      <c r="Y6" s="3254"/>
      <c r="Z6" s="3255"/>
      <c r="AA6" s="3271"/>
      <c r="AB6" s="3271"/>
      <c r="AC6" s="3239"/>
    </row>
    <row r="7" spans="1:29" s="117" customFormat="1" ht="15" thickBot="1">
      <c r="A7" s="408" t="s">
        <v>2547</v>
      </c>
      <c r="B7" s="409"/>
      <c r="C7" s="410">
        <f>'数据-取费表'!B2</f>
        <v>44012</v>
      </c>
      <c r="D7" s="411">
        <v>100</v>
      </c>
      <c r="E7" s="412">
        <f>C7</f>
        <v>44012</v>
      </c>
      <c r="F7" s="413">
        <f>SUMIF(59:59,YEAR(E7)&amp;"-"&amp;MONTH(E7),60:60)</f>
        <v>100</v>
      </c>
      <c r="G7" s="412">
        <f>C7</f>
        <v>44012</v>
      </c>
      <c r="H7" s="411">
        <f>SUMIF(59:59,YEAR(G7)&amp;"-"&amp;MONTH(G7),60:60)</f>
        <v>100</v>
      </c>
      <c r="I7" s="412">
        <f>C7</f>
        <v>44012</v>
      </c>
      <c r="J7" s="411">
        <f>SUMIF(59:59,YEAR(I7)&amp;"-"&amp;MONTH(I7),60:60)</f>
        <v>100</v>
      </c>
      <c r="K7" s="611"/>
      <c r="L7" s="1132"/>
      <c r="M7" s="1133"/>
      <c r="N7" s="1133"/>
      <c r="O7" s="1133"/>
      <c r="P7" s="3262" t="s">
        <v>2548</v>
      </c>
      <c r="Q7" s="3265"/>
      <c r="R7" s="770" t="s">
        <v>17</v>
      </c>
      <c r="S7" s="771">
        <f t="shared" ref="S7:S15" si="0">F7</f>
        <v>100</v>
      </c>
      <c r="T7" s="770" t="s">
        <v>17</v>
      </c>
      <c r="U7" s="771">
        <f t="shared" ref="U7:U15" si="1">H7</f>
        <v>100</v>
      </c>
      <c r="V7" s="770" t="s">
        <v>17</v>
      </c>
      <c r="W7" s="771">
        <f t="shared" ref="W7:W15" si="2">J7</f>
        <v>100</v>
      </c>
      <c r="X7" s="772"/>
      <c r="Y7" s="3264" t="s">
        <v>2548</v>
      </c>
      <c r="Z7" s="3263"/>
      <c r="AA7" s="773">
        <f>D7/F7</f>
        <v>1</v>
      </c>
      <c r="AB7" s="773">
        <f>D7/H7</f>
        <v>1</v>
      </c>
      <c r="AC7" s="2662">
        <f>D7/J7</f>
        <v>1</v>
      </c>
    </row>
    <row r="8" spans="1:29" s="117" customFormat="1" ht="15" thickBot="1">
      <c r="A8" s="408" t="s">
        <v>2549</v>
      </c>
      <c r="B8" s="409"/>
      <c r="C8" s="414" t="s">
        <v>2651</v>
      </c>
      <c r="D8" s="411">
        <v>100</v>
      </c>
      <c r="E8" s="414" t="s">
        <v>3171</v>
      </c>
      <c r="F8" s="413">
        <f>SUMIF(62:62,E8,63:63)-SUMIF(62:62,C8,63:63)+100</f>
        <v>100</v>
      </c>
      <c r="G8" s="414" t="s">
        <v>3171</v>
      </c>
      <c r="H8" s="411">
        <f>SUMIF(62:62,G8,63:63)-SUMIF(62:62,C8,63:63)+100</f>
        <v>100</v>
      </c>
      <c r="I8" s="414" t="s">
        <v>3171</v>
      </c>
      <c r="J8" s="411">
        <f>SUMIF(62:62,I8,63:63)-SUMIF(62:62,C8,63:63)+100</f>
        <v>100</v>
      </c>
      <c r="K8" s="611"/>
      <c r="L8" s="1132"/>
      <c r="M8" s="1133"/>
      <c r="N8" s="1133"/>
      <c r="O8" s="1133"/>
      <c r="P8" s="3262" t="s">
        <v>2551</v>
      </c>
      <c r="Q8" s="3263"/>
      <c r="R8" s="770" t="s">
        <v>17</v>
      </c>
      <c r="S8" s="771">
        <f t="shared" si="0"/>
        <v>100</v>
      </c>
      <c r="T8" s="770" t="s">
        <v>17</v>
      </c>
      <c r="U8" s="771">
        <f t="shared" si="1"/>
        <v>100</v>
      </c>
      <c r="V8" s="770" t="s">
        <v>17</v>
      </c>
      <c r="W8" s="771">
        <f t="shared" si="2"/>
        <v>100</v>
      </c>
      <c r="X8" s="772"/>
      <c r="Y8" s="3264" t="s">
        <v>2551</v>
      </c>
      <c r="Z8" s="3263"/>
      <c r="AA8" s="773">
        <f t="shared" ref="AA8:AA47" si="3">D8/F8</f>
        <v>1</v>
      </c>
      <c r="AB8" s="773">
        <f t="shared" ref="AB8:AB47" si="4">D8/H8</f>
        <v>1</v>
      </c>
      <c r="AC8" s="2662">
        <f t="shared" ref="AC8:AC47" si="5">D8/J8</f>
        <v>1</v>
      </c>
    </row>
    <row r="9" spans="1:29" s="117" customFormat="1" ht="14.4">
      <c r="A9" s="415" t="s">
        <v>2552</v>
      </c>
      <c r="B9" s="71" t="s">
        <v>2553</v>
      </c>
      <c r="C9" s="3023" t="s">
        <v>3231</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22"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2662">
        <f t="shared" si="5"/>
        <v>1</v>
      </c>
    </row>
    <row r="10" spans="1:29" s="427" customFormat="1" ht="28.8">
      <c r="A10" s="421"/>
      <c r="B10" s="422" t="s">
        <v>2556</v>
      </c>
      <c r="C10" s="423" t="s">
        <v>3245</v>
      </c>
      <c r="D10" s="136">
        <v>100</v>
      </c>
      <c r="E10" s="423" t="s">
        <v>3245</v>
      </c>
      <c r="F10" s="136">
        <f>SUMIF(66:66,E10,67:67)-SUMIF(66:66,C10,67:67)+100</f>
        <v>100</v>
      </c>
      <c r="G10" s="424" t="s">
        <v>3245</v>
      </c>
      <c r="H10" s="136">
        <f>SUMIF(66:66,G10,67:67)-SUMIF(66:66,C10,67:67)+100</f>
        <v>100</v>
      </c>
      <c r="I10" s="423" t="s">
        <v>3248</v>
      </c>
      <c r="J10" s="136">
        <f>SUMIF(66:66,I10,67:67)-SUMIF(66:66,C10,67:67)+100</f>
        <v>98</v>
      </c>
      <c r="K10" s="612">
        <v>2</v>
      </c>
      <c r="L10" s="1135"/>
      <c r="M10" s="1136"/>
      <c r="N10" s="1136"/>
      <c r="O10" s="1136"/>
      <c r="P10" s="3222"/>
      <c r="Q10" s="1786" t="str">
        <f t="shared" si="6"/>
        <v>土地使用年限（年）</v>
      </c>
      <c r="R10" s="770" t="s">
        <v>17</v>
      </c>
      <c r="S10" s="771">
        <f t="shared" si="0"/>
        <v>100</v>
      </c>
      <c r="T10" s="770" t="s">
        <v>17</v>
      </c>
      <c r="U10" s="771">
        <f t="shared" si="1"/>
        <v>100</v>
      </c>
      <c r="V10" s="770" t="s">
        <v>17</v>
      </c>
      <c r="W10" s="771">
        <f t="shared" si="2"/>
        <v>98</v>
      </c>
      <c r="X10" s="772"/>
      <c r="Y10" s="3070"/>
      <c r="Z10" s="55" t="str">
        <f t="shared" si="7"/>
        <v>土地使用年限（年）</v>
      </c>
      <c r="AA10" s="773">
        <f t="shared" si="3"/>
        <v>1</v>
      </c>
      <c r="AB10" s="773">
        <f t="shared" si="4"/>
        <v>1</v>
      </c>
      <c r="AC10" s="2662">
        <f t="shared" si="5"/>
        <v>1.0204081632653061</v>
      </c>
    </row>
    <row r="11" spans="1:29" ht="1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22"/>
      <c r="Q11" s="1786"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2662">
        <f t="shared" si="5"/>
        <v>1</v>
      </c>
    </row>
    <row r="12" spans="1:29" s="117" customFormat="1" ht="15">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32"/>
      <c r="M12" s="1133"/>
      <c r="N12" s="1133"/>
      <c r="O12" s="1133"/>
      <c r="P12" s="3222"/>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62">
        <f>D12/J12</f>
        <v>1</v>
      </c>
    </row>
    <row r="13" spans="1:29" ht="15">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40"/>
      <c r="M13" s="1131"/>
      <c r="N13" s="1131"/>
      <c r="O13" s="1131"/>
      <c r="P13" s="3222"/>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62">
        <f t="shared" si="5"/>
        <v>1</v>
      </c>
    </row>
    <row r="14" spans="1:29" ht="15.6"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40"/>
      <c r="M14" s="1131"/>
      <c r="N14" s="1131"/>
      <c r="O14" s="1131"/>
      <c r="P14" s="3222"/>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62">
        <f t="shared" si="5"/>
        <v>1</v>
      </c>
    </row>
    <row r="15" spans="1:29" ht="69">
      <c r="A15" s="440" t="s">
        <v>2558</v>
      </c>
      <c r="B15" s="629" t="s">
        <v>2686</v>
      </c>
      <c r="C15" s="266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0"/>
      <c r="M15" s="1131"/>
      <c r="N15" s="1131"/>
      <c r="O15" s="1131"/>
      <c r="P15" s="3228" t="s">
        <v>2559</v>
      </c>
      <c r="Q15" s="1801" t="str">
        <f t="shared" si="6"/>
        <v>办公集聚程度</v>
      </c>
      <c r="R15" s="774" t="s">
        <v>17</v>
      </c>
      <c r="S15" s="775">
        <f t="shared" si="0"/>
        <v>102</v>
      </c>
      <c r="T15" s="774" t="s">
        <v>17</v>
      </c>
      <c r="U15" s="775">
        <f t="shared" si="1"/>
        <v>102</v>
      </c>
      <c r="V15" s="774" t="s">
        <v>17</v>
      </c>
      <c r="W15" s="775">
        <f t="shared" si="2"/>
        <v>102</v>
      </c>
      <c r="X15" s="1804"/>
      <c r="Y15" s="3230" t="s">
        <v>2559</v>
      </c>
      <c r="Z15" s="1805" t="str">
        <f t="shared" si="7"/>
        <v>办公集聚程度</v>
      </c>
      <c r="AA15" s="1802">
        <f t="shared" si="3"/>
        <v>0.98039215686274506</v>
      </c>
      <c r="AB15" s="1802">
        <f t="shared" si="4"/>
        <v>0.98039215686274506</v>
      </c>
      <c r="AC15" s="2665">
        <f t="shared" si="5"/>
        <v>0.98039215686274506</v>
      </c>
    </row>
    <row r="16" spans="1:29" ht="15">
      <c r="A16" s="428"/>
      <c r="B16" s="630"/>
      <c r="C16" s="2602" t="s">
        <v>3126</v>
      </c>
      <c r="D16" s="448"/>
      <c r="E16" s="447" t="s">
        <v>3127</v>
      </c>
      <c r="F16" s="448"/>
      <c r="G16" s="2602" t="s">
        <v>3127</v>
      </c>
      <c r="H16" s="450"/>
      <c r="I16" s="447" t="s">
        <v>3127</v>
      </c>
      <c r="J16" s="448"/>
      <c r="K16" s="615"/>
      <c r="L16" s="1140"/>
      <c r="M16" s="1131"/>
      <c r="N16" s="1131"/>
      <c r="O16" s="1131"/>
      <c r="P16" s="3229"/>
      <c r="Q16" s="1801"/>
      <c r="R16" s="774"/>
      <c r="S16" s="775"/>
      <c r="T16" s="774"/>
      <c r="U16" s="775"/>
      <c r="V16" s="774"/>
      <c r="W16" s="775"/>
      <c r="X16" s="1804"/>
      <c r="Y16" s="3231"/>
      <c r="Z16" s="1805"/>
      <c r="AA16" s="1802">
        <v>1</v>
      </c>
      <c r="AB16" s="1802">
        <v>1</v>
      </c>
      <c r="AC16" s="2665">
        <v>1</v>
      </c>
    </row>
    <row r="17" spans="1:29" ht="82.8">
      <c r="A17" s="428"/>
      <c r="B17" s="631" t="s">
        <v>2095</v>
      </c>
      <c r="C17" s="2666"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102</v>
      </c>
      <c r="K17" s="614">
        <v>2</v>
      </c>
      <c r="L17" s="1140"/>
      <c r="M17" s="1131"/>
      <c r="N17" s="1131"/>
      <c r="O17" s="1131"/>
      <c r="P17" s="3229"/>
      <c r="Q17" s="1801" t="str">
        <f>B17</f>
        <v>交通便捷度</v>
      </c>
      <c r="R17" s="774" t="s">
        <v>17</v>
      </c>
      <c r="S17" s="775">
        <f>F17</f>
        <v>102</v>
      </c>
      <c r="T17" s="774" t="s">
        <v>17</v>
      </c>
      <c r="U17" s="775">
        <f>H17</f>
        <v>102</v>
      </c>
      <c r="V17" s="774" t="s">
        <v>17</v>
      </c>
      <c r="W17" s="775">
        <f>J17</f>
        <v>102</v>
      </c>
      <c r="X17" s="1804"/>
      <c r="Y17" s="3231"/>
      <c r="Z17" s="1805" t="str">
        <f>Q17</f>
        <v>交通便捷度</v>
      </c>
      <c r="AA17" s="1802">
        <f t="shared" si="3"/>
        <v>0.98039215686274506</v>
      </c>
      <c r="AB17" s="1802">
        <f t="shared" si="4"/>
        <v>0.98039215686274506</v>
      </c>
      <c r="AC17" s="2665">
        <f t="shared" si="5"/>
        <v>0.98039215686274506</v>
      </c>
    </row>
    <row r="18" spans="1:29" ht="15">
      <c r="A18" s="428"/>
      <c r="B18" s="632"/>
      <c r="C18" s="2667" t="s">
        <v>3126</v>
      </c>
      <c r="D18" s="450"/>
      <c r="E18" s="2600" t="s">
        <v>3127</v>
      </c>
      <c r="F18" s="450"/>
      <c r="G18" s="2601" t="s">
        <v>3127</v>
      </c>
      <c r="H18" s="448"/>
      <c r="I18" s="2601" t="s">
        <v>3127</v>
      </c>
      <c r="J18" s="448"/>
      <c r="K18" s="615"/>
      <c r="L18" s="1140"/>
      <c r="M18" s="1131"/>
      <c r="N18" s="1131"/>
      <c r="O18" s="1131"/>
      <c r="P18" s="3229"/>
      <c r="Q18" s="1801"/>
      <c r="R18" s="774"/>
      <c r="S18" s="775"/>
      <c r="T18" s="774"/>
      <c r="U18" s="775"/>
      <c r="V18" s="774"/>
      <c r="W18" s="775"/>
      <c r="X18" s="1804"/>
      <c r="Y18" s="3231"/>
      <c r="Z18" s="1805"/>
      <c r="AA18" s="1802">
        <v>1</v>
      </c>
      <c r="AB18" s="1802">
        <v>1</v>
      </c>
      <c r="AC18" s="2665">
        <v>1</v>
      </c>
    </row>
    <row r="19" spans="1:29" ht="41.4">
      <c r="A19" s="428"/>
      <c r="B19" s="631" t="s">
        <v>2687</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9"/>
      <c r="Q19" s="1801" t="str">
        <f>B19</f>
        <v>公共配套设施</v>
      </c>
      <c r="R19" s="774" t="s">
        <v>17</v>
      </c>
      <c r="S19" s="775">
        <f>F19</f>
        <v>100</v>
      </c>
      <c r="T19" s="774" t="s">
        <v>17</v>
      </c>
      <c r="U19" s="775">
        <f>H19</f>
        <v>100</v>
      </c>
      <c r="V19" s="774" t="s">
        <v>17</v>
      </c>
      <c r="W19" s="775">
        <f>J19</f>
        <v>100</v>
      </c>
      <c r="X19" s="1804"/>
      <c r="Y19" s="3231"/>
      <c r="Z19" s="1805" t="str">
        <f>Q19</f>
        <v>公共配套设施</v>
      </c>
      <c r="AA19" s="1802">
        <f t="shared" si="3"/>
        <v>1</v>
      </c>
      <c r="AB19" s="1802">
        <f t="shared" si="4"/>
        <v>1</v>
      </c>
      <c r="AC19" s="2665">
        <f t="shared" si="5"/>
        <v>1</v>
      </c>
    </row>
    <row r="20" spans="1:29" ht="15">
      <c r="A20" s="428"/>
      <c r="B20" s="632"/>
      <c r="C20" s="2602" t="s">
        <v>3127</v>
      </c>
      <c r="D20" s="448"/>
      <c r="E20" s="2595" t="s">
        <v>3127</v>
      </c>
      <c r="F20" s="448"/>
      <c r="G20" s="2596" t="s">
        <v>3127</v>
      </c>
      <c r="H20" s="448"/>
      <c r="I20" s="2596" t="s">
        <v>3127</v>
      </c>
      <c r="J20" s="448"/>
      <c r="K20" s="615"/>
      <c r="L20" s="1140"/>
      <c r="M20" s="1131"/>
      <c r="N20" s="1131"/>
      <c r="O20" s="1131"/>
      <c r="P20" s="3229"/>
      <c r="Q20" s="1801"/>
      <c r="R20" s="774"/>
      <c r="S20" s="775"/>
      <c r="T20" s="774"/>
      <c r="U20" s="775"/>
      <c r="V20" s="774"/>
      <c r="W20" s="775"/>
      <c r="X20" s="1804"/>
      <c r="Y20" s="3231"/>
      <c r="Z20" s="1805"/>
      <c r="AA20" s="1802">
        <v>1</v>
      </c>
      <c r="AB20" s="1802">
        <v>1</v>
      </c>
      <c r="AC20" s="2665">
        <v>1</v>
      </c>
    </row>
    <row r="21" spans="1:29" ht="27.6">
      <c r="A21" s="428"/>
      <c r="B21" s="633" t="s">
        <v>2688</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29"/>
      <c r="Q21" s="1801" t="str">
        <f>B21</f>
        <v>基础设施水平</v>
      </c>
      <c r="R21" s="774" t="s">
        <v>17</v>
      </c>
      <c r="S21" s="775">
        <f>F21</f>
        <v>100</v>
      </c>
      <c r="T21" s="774" t="s">
        <v>17</v>
      </c>
      <c r="U21" s="775">
        <f>H21</f>
        <v>100</v>
      </c>
      <c r="V21" s="774" t="s">
        <v>17</v>
      </c>
      <c r="W21" s="775">
        <f>J21</f>
        <v>100</v>
      </c>
      <c r="X21" s="1804"/>
      <c r="Y21" s="3231"/>
      <c r="Z21" s="1805" t="str">
        <f>Q21</f>
        <v>基础设施水平</v>
      </c>
      <c r="AA21" s="1802">
        <f t="shared" ref="AA21" si="8">D21/F21</f>
        <v>1</v>
      </c>
      <c r="AB21" s="1802">
        <f t="shared" ref="AB21" si="9">D21/H21</f>
        <v>1</v>
      </c>
      <c r="AC21" s="2665">
        <f t="shared" ref="AC21" si="10">D21/J21</f>
        <v>1</v>
      </c>
    </row>
    <row r="22" spans="1:29" ht="15">
      <c r="A22" s="428"/>
      <c r="B22" s="633"/>
      <c r="C22" s="2667" t="s">
        <v>3174</v>
      </c>
      <c r="D22" s="448"/>
      <c r="E22" s="2667" t="s">
        <v>3174</v>
      </c>
      <c r="F22" s="448"/>
      <c r="G22" s="2667" t="s">
        <v>3174</v>
      </c>
      <c r="H22" s="448"/>
      <c r="I22" s="2667" t="s">
        <v>3174</v>
      </c>
      <c r="J22" s="448"/>
      <c r="K22" s="1383"/>
      <c r="L22" s="1140"/>
      <c r="M22" s="1131"/>
      <c r="N22" s="1131"/>
      <c r="O22" s="1131"/>
      <c r="P22" s="3229"/>
      <c r="Q22" s="1801"/>
      <c r="R22" s="774"/>
      <c r="S22" s="775"/>
      <c r="T22" s="774"/>
      <c r="U22" s="775"/>
      <c r="V22" s="774"/>
      <c r="W22" s="775"/>
      <c r="X22" s="1804"/>
      <c r="Y22" s="3231"/>
      <c r="Z22" s="1805"/>
      <c r="AA22" s="1802">
        <v>1</v>
      </c>
      <c r="AB22" s="1802">
        <v>1</v>
      </c>
      <c r="AC22" s="2665">
        <v>1</v>
      </c>
    </row>
    <row r="23" spans="1:29" ht="55.2">
      <c r="A23" s="428"/>
      <c r="B23" s="631" t="s">
        <v>2689</v>
      </c>
      <c r="C23" s="2666" t="str">
        <f>估价对象房地状况!C9</f>
        <v>区域自然环境：；人文环境；综合评价环境状况一般</v>
      </c>
      <c r="D23" s="450">
        <v>100</v>
      </c>
      <c r="E23" s="454"/>
      <c r="F23" s="450">
        <f>SUMIF(85:85,E24,86:86)-SUMIF(85:85,C24,86:86)+100</f>
        <v>102</v>
      </c>
      <c r="G23" s="452"/>
      <c r="H23" s="450">
        <f>SUMIF(85:85,G24,86:86)-SUMIF(85:85,C24,86:86)+100</f>
        <v>102</v>
      </c>
      <c r="I23" s="452"/>
      <c r="J23" s="450">
        <f>SUMIF(85:85,I24,86:86)-SUMIF(85:85,C24,86:86)+100</f>
        <v>102</v>
      </c>
      <c r="K23" s="614">
        <v>2</v>
      </c>
      <c r="L23" s="1140"/>
      <c r="M23" s="1131"/>
      <c r="N23" s="1131"/>
      <c r="O23" s="1131"/>
      <c r="P23" s="3229"/>
      <c r="Q23" s="1801" t="str">
        <f>B23</f>
        <v>环境质量</v>
      </c>
      <c r="R23" s="774" t="s">
        <v>17</v>
      </c>
      <c r="S23" s="775">
        <f>F23</f>
        <v>102</v>
      </c>
      <c r="T23" s="774" t="s">
        <v>17</v>
      </c>
      <c r="U23" s="775">
        <f>H23</f>
        <v>102</v>
      </c>
      <c r="V23" s="774" t="s">
        <v>17</v>
      </c>
      <c r="W23" s="775">
        <f>J23</f>
        <v>102</v>
      </c>
      <c r="X23" s="1804"/>
      <c r="Y23" s="3231"/>
      <c r="Z23" s="1805" t="str">
        <f>Q23</f>
        <v>环境质量</v>
      </c>
      <c r="AA23" s="1802">
        <f t="shared" si="3"/>
        <v>0.98039215686274506</v>
      </c>
      <c r="AB23" s="1802">
        <f t="shared" si="4"/>
        <v>0.98039215686274506</v>
      </c>
      <c r="AC23" s="2665">
        <f t="shared" si="5"/>
        <v>0.98039215686274506</v>
      </c>
    </row>
    <row r="24" spans="1:29" ht="15">
      <c r="A24" s="428"/>
      <c r="B24" s="633"/>
      <c r="C24" s="2602" t="s">
        <v>3126</v>
      </c>
      <c r="D24" s="448"/>
      <c r="E24" s="2595" t="s">
        <v>3127</v>
      </c>
      <c r="F24" s="448"/>
      <c r="G24" s="2595" t="s">
        <v>3127</v>
      </c>
      <c r="H24" s="448"/>
      <c r="I24" s="2595" t="s">
        <v>3127</v>
      </c>
      <c r="J24" s="448"/>
      <c r="K24" s="615"/>
      <c r="L24" s="1140"/>
      <c r="M24" s="1131"/>
      <c r="N24" s="1131"/>
      <c r="O24" s="1131"/>
      <c r="P24" s="3229"/>
      <c r="Q24" s="1801"/>
      <c r="R24" s="774"/>
      <c r="S24" s="775"/>
      <c r="T24" s="774"/>
      <c r="U24" s="775"/>
      <c r="V24" s="774"/>
      <c r="W24" s="775"/>
      <c r="X24" s="1804"/>
      <c r="Y24" s="3231"/>
      <c r="Z24" s="1805"/>
      <c r="AA24" s="1802">
        <v>1</v>
      </c>
      <c r="AB24" s="1802">
        <v>1</v>
      </c>
      <c r="AC24" s="2665">
        <v>1</v>
      </c>
    </row>
    <row r="25" spans="1:29" ht="28.8">
      <c r="A25" s="404"/>
      <c r="B25" s="631" t="s">
        <v>2690</v>
      </c>
      <c r="C25" s="2606"/>
      <c r="D25" s="435">
        <v>100</v>
      </c>
      <c r="E25" s="434"/>
      <c r="F25" s="435">
        <f>SUMIF(87:87,E26,88:88)-SUMIF(87:87,C26,88:88)+100</f>
        <v>100</v>
      </c>
      <c r="G25" s="2606"/>
      <c r="H25" s="435">
        <f>SUMIF(87:87,G26,88:88)-SUMIF(87:87,C26,88:88)+100</f>
        <v>100</v>
      </c>
      <c r="I25" s="434"/>
      <c r="J25" s="435">
        <f>SUMIF(87:87,I26,88:88)-SUMIF(87:87,C26,88:88)+100</f>
        <v>100</v>
      </c>
      <c r="K25" s="614"/>
      <c r="L25" s="1140"/>
      <c r="M25" s="1131"/>
      <c r="N25" s="1131"/>
      <c r="O25" s="1131"/>
      <c r="P25" s="3229"/>
      <c r="Q25" s="1801" t="str">
        <f>B25</f>
        <v>毗邻道路的类型与等级</v>
      </c>
      <c r="R25" s="774" t="s">
        <v>17</v>
      </c>
      <c r="S25" s="775">
        <f>F25</f>
        <v>100</v>
      </c>
      <c r="T25" s="774" t="s">
        <v>17</v>
      </c>
      <c r="U25" s="775">
        <f>H25</f>
        <v>100</v>
      </c>
      <c r="V25" s="774" t="s">
        <v>17</v>
      </c>
      <c r="W25" s="775">
        <f>J25</f>
        <v>100</v>
      </c>
      <c r="X25" s="1804"/>
      <c r="Y25" s="3231"/>
      <c r="Z25" s="1805" t="str">
        <f>Q25</f>
        <v>毗邻道路的类型与等级</v>
      </c>
      <c r="AA25" s="1802">
        <f t="shared" si="3"/>
        <v>1</v>
      </c>
      <c r="AB25" s="1802">
        <f t="shared" si="4"/>
        <v>1</v>
      </c>
      <c r="AC25" s="2665">
        <f t="shared" si="5"/>
        <v>1</v>
      </c>
    </row>
    <row r="26" spans="1:29" ht="15">
      <c r="A26" s="404"/>
      <c r="B26" s="632"/>
      <c r="C26" s="634"/>
      <c r="D26" s="435"/>
      <c r="E26" s="616"/>
      <c r="F26" s="435"/>
      <c r="G26" s="634"/>
      <c r="H26" s="435"/>
      <c r="I26" s="616"/>
      <c r="J26" s="435"/>
      <c r="K26" s="615"/>
      <c r="L26" s="1140"/>
      <c r="M26" s="1131"/>
      <c r="N26" s="1131"/>
      <c r="O26" s="1131"/>
      <c r="P26" s="3229"/>
      <c r="Q26" s="1801"/>
      <c r="R26" s="774"/>
      <c r="S26" s="775"/>
      <c r="T26" s="774"/>
      <c r="U26" s="775"/>
      <c r="V26" s="774"/>
      <c r="W26" s="775"/>
      <c r="X26" s="1804"/>
      <c r="Y26" s="3231"/>
      <c r="Z26" s="1805"/>
      <c r="AA26" s="1802">
        <v>1</v>
      </c>
      <c r="AB26" s="1802">
        <v>1</v>
      </c>
      <c r="AC26" s="266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1" t="str">
        <f t="shared" ref="Q27:Q47" si="11">B27</f>
        <v>楼层</v>
      </c>
      <c r="R27" s="774" t="s">
        <v>17</v>
      </c>
      <c r="S27" s="775">
        <f>F27</f>
        <v>100</v>
      </c>
      <c r="T27" s="774" t="s">
        <v>17</v>
      </c>
      <c r="U27" s="775">
        <f>H27</f>
        <v>100</v>
      </c>
      <c r="V27" s="774" t="s">
        <v>17</v>
      </c>
      <c r="W27" s="775">
        <f>J27</f>
        <v>100</v>
      </c>
      <c r="X27" s="1804"/>
      <c r="Y27" s="3231"/>
      <c r="Z27" s="1805" t="str">
        <f>Q27</f>
        <v>楼层</v>
      </c>
      <c r="AA27" s="1802">
        <f t="shared" si="3"/>
        <v>1</v>
      </c>
      <c r="AB27" s="1802">
        <f t="shared" si="4"/>
        <v>1</v>
      </c>
      <c r="AC27" s="2665">
        <f t="shared" si="5"/>
        <v>1</v>
      </c>
    </row>
    <row r="28" spans="1:29" s="117" customFormat="1" ht="15">
      <c r="A28" s="431"/>
      <c r="B28" s="631" t="s">
        <v>2691</v>
      </c>
      <c r="C28" s="2668"/>
      <c r="D28" s="462">
        <v>100</v>
      </c>
      <c r="E28" s="2656"/>
      <c r="F28" s="462">
        <f>SUMIF(91:91,E28,92:92)-SUMIF(91:91,C28,92:92)+100</f>
        <v>100</v>
      </c>
      <c r="G28" s="2668"/>
      <c r="H28" s="462">
        <f>SUMIF(91:91,G28,92:92)-SUMIF(91:91,C28,92:92)+100</f>
        <v>100</v>
      </c>
      <c r="I28" s="2656"/>
      <c r="J28" s="462">
        <f>SUMIF(91:91,I28,92:92)-SUMIF(91:91,C28,92:92)+100</f>
        <v>100</v>
      </c>
      <c r="K28" s="612"/>
      <c r="L28" s="1132"/>
      <c r="M28" s="1133"/>
      <c r="N28" s="1133"/>
      <c r="O28" s="1133"/>
      <c r="P28" s="3229"/>
      <c r="Q28" s="1786" t="str">
        <f t="shared" si="11"/>
        <v>朝向</v>
      </c>
      <c r="R28" s="770" t="s">
        <v>17</v>
      </c>
      <c r="S28" s="771">
        <f>F28</f>
        <v>100</v>
      </c>
      <c r="T28" s="770" t="s">
        <v>17</v>
      </c>
      <c r="U28" s="771">
        <f>H28</f>
        <v>100</v>
      </c>
      <c r="V28" s="770" t="s">
        <v>17</v>
      </c>
      <c r="W28" s="771">
        <f>J28</f>
        <v>100</v>
      </c>
      <c r="X28" s="772"/>
      <c r="Y28" s="3231"/>
      <c r="Z28" s="55" t="str">
        <f>Q28</f>
        <v>朝向</v>
      </c>
      <c r="AA28" s="1802">
        <f>D28/F28</f>
        <v>1</v>
      </c>
      <c r="AB28" s="1802">
        <f>D28/H28</f>
        <v>1</v>
      </c>
      <c r="AC28" s="2665">
        <f>D28/J28</f>
        <v>1</v>
      </c>
    </row>
    <row r="29" spans="1:29" ht="15">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40"/>
      <c r="M29" s="1131"/>
      <c r="N29" s="1131"/>
      <c r="O29" s="1131"/>
      <c r="P29" s="3229"/>
      <c r="Q29" s="1801">
        <f t="shared" si="11"/>
        <v>111</v>
      </c>
      <c r="R29" s="774" t="s">
        <v>17</v>
      </c>
      <c r="S29" s="775">
        <f t="shared" ref="S29:S47" si="12">F29</f>
        <v>100</v>
      </c>
      <c r="T29" s="774" t="s">
        <v>17</v>
      </c>
      <c r="U29" s="775">
        <f t="shared" ref="U29:U47" si="13">H29</f>
        <v>100</v>
      </c>
      <c r="V29" s="774" t="s">
        <v>17</v>
      </c>
      <c r="W29" s="775">
        <f t="shared" ref="W29:W47" si="14">J29</f>
        <v>100</v>
      </c>
      <c r="X29" s="1804"/>
      <c r="Y29" s="3231"/>
      <c r="Z29" s="1805">
        <f t="shared" ref="Z29:Z47" si="15">Q29</f>
        <v>111</v>
      </c>
      <c r="AA29" s="1802">
        <f t="shared" si="3"/>
        <v>1</v>
      </c>
      <c r="AB29" s="1802">
        <f t="shared" si="4"/>
        <v>1</v>
      </c>
      <c r="AC29" s="2665">
        <f t="shared" si="5"/>
        <v>1</v>
      </c>
    </row>
    <row r="30" spans="1:29" ht="15">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40"/>
      <c r="M30" s="1131"/>
      <c r="N30" s="1131"/>
      <c r="O30" s="1131"/>
      <c r="P30" s="3229"/>
      <c r="Q30" s="1801">
        <f t="shared" si="11"/>
        <v>111</v>
      </c>
      <c r="R30" s="774" t="s">
        <v>17</v>
      </c>
      <c r="S30" s="775">
        <f t="shared" si="12"/>
        <v>100</v>
      </c>
      <c r="T30" s="774" t="s">
        <v>17</v>
      </c>
      <c r="U30" s="775">
        <f t="shared" si="13"/>
        <v>100</v>
      </c>
      <c r="V30" s="774" t="s">
        <v>17</v>
      </c>
      <c r="W30" s="775">
        <f t="shared" si="14"/>
        <v>100</v>
      </c>
      <c r="X30" s="1804"/>
      <c r="Y30" s="3231"/>
      <c r="Z30" s="1805">
        <f t="shared" si="15"/>
        <v>111</v>
      </c>
      <c r="AA30" s="1802">
        <f t="shared" si="3"/>
        <v>1</v>
      </c>
      <c r="AB30" s="1802">
        <f t="shared" si="4"/>
        <v>1</v>
      </c>
      <c r="AC30" s="2665">
        <f t="shared" si="5"/>
        <v>1</v>
      </c>
    </row>
    <row r="31" spans="1:29" ht="15">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40"/>
      <c r="M31" s="1131"/>
      <c r="N31" s="1131"/>
      <c r="O31" s="1131"/>
      <c r="P31" s="3229"/>
      <c r="Q31" s="1801">
        <f t="shared" si="11"/>
        <v>111</v>
      </c>
      <c r="R31" s="774" t="s">
        <v>17</v>
      </c>
      <c r="S31" s="775">
        <f t="shared" si="12"/>
        <v>100</v>
      </c>
      <c r="T31" s="774" t="s">
        <v>17</v>
      </c>
      <c r="U31" s="775">
        <f t="shared" si="13"/>
        <v>100</v>
      </c>
      <c r="V31" s="774" t="s">
        <v>17</v>
      </c>
      <c r="W31" s="775">
        <f t="shared" si="14"/>
        <v>100</v>
      </c>
      <c r="X31" s="1804"/>
      <c r="Y31" s="3231"/>
      <c r="Z31" s="1805">
        <f t="shared" si="15"/>
        <v>111</v>
      </c>
      <c r="AA31" s="1802">
        <f t="shared" si="3"/>
        <v>1</v>
      </c>
      <c r="AB31" s="1802">
        <f t="shared" si="4"/>
        <v>1</v>
      </c>
      <c r="AC31" s="2665">
        <f t="shared" si="5"/>
        <v>1</v>
      </c>
    </row>
    <row r="32" spans="1:29" ht="15.6"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40"/>
      <c r="M32" s="1131"/>
      <c r="N32" s="1131"/>
      <c r="O32" s="1131"/>
      <c r="P32" s="3229"/>
      <c r="Q32" s="1801">
        <f t="shared" si="11"/>
        <v>111</v>
      </c>
      <c r="R32" s="774" t="s">
        <v>17</v>
      </c>
      <c r="S32" s="775">
        <f t="shared" si="12"/>
        <v>100</v>
      </c>
      <c r="T32" s="774" t="s">
        <v>17</v>
      </c>
      <c r="U32" s="775">
        <f t="shared" si="13"/>
        <v>100</v>
      </c>
      <c r="V32" s="774" t="s">
        <v>17</v>
      </c>
      <c r="W32" s="775">
        <f t="shared" si="14"/>
        <v>100</v>
      </c>
      <c r="X32" s="1804"/>
      <c r="Y32" s="3231"/>
      <c r="Z32" s="1805">
        <f t="shared" si="15"/>
        <v>111</v>
      </c>
      <c r="AA32" s="1802">
        <f t="shared" si="3"/>
        <v>1</v>
      </c>
      <c r="AB32" s="1802">
        <f t="shared" si="4"/>
        <v>1</v>
      </c>
      <c r="AC32" s="2665">
        <f t="shared" si="5"/>
        <v>1</v>
      </c>
    </row>
    <row r="33" spans="1:29" ht="15">
      <c r="A33" s="440" t="s">
        <v>2562</v>
      </c>
      <c r="B33" s="71" t="s">
        <v>2692</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40"/>
      <c r="M33" s="1131"/>
      <c r="N33" s="1131"/>
      <c r="O33" s="1131"/>
      <c r="P33" s="3232" t="s">
        <v>2564</v>
      </c>
      <c r="Q33" s="1801" t="str">
        <f t="shared" si="11"/>
        <v>建筑类型</v>
      </c>
      <c r="R33" s="774" t="s">
        <v>17</v>
      </c>
      <c r="S33" s="775">
        <f t="shared" si="12"/>
        <v>100</v>
      </c>
      <c r="T33" s="774" t="s">
        <v>17</v>
      </c>
      <c r="U33" s="775">
        <f t="shared" si="13"/>
        <v>100</v>
      </c>
      <c r="V33" s="774" t="s">
        <v>17</v>
      </c>
      <c r="W33" s="775">
        <f t="shared" si="14"/>
        <v>100</v>
      </c>
      <c r="X33" s="1804"/>
      <c r="Y33" s="3235" t="s">
        <v>2564</v>
      </c>
      <c r="Z33" s="1805" t="str">
        <f t="shared" si="15"/>
        <v>建筑类型</v>
      </c>
      <c r="AA33" s="1802">
        <f t="shared" si="3"/>
        <v>1</v>
      </c>
      <c r="AB33" s="1802">
        <f t="shared" si="4"/>
        <v>1</v>
      </c>
      <c r="AC33" s="2665">
        <f t="shared" si="5"/>
        <v>1</v>
      </c>
    </row>
    <row r="34" spans="1:29" s="471" customFormat="1" ht="15">
      <c r="A34" s="468"/>
      <c r="B34" s="422" t="s">
        <v>2565</v>
      </c>
      <c r="C34" s="469">
        <f>面积表!M3</f>
        <v>8299.82</v>
      </c>
      <c r="D34" s="136">
        <v>100</v>
      </c>
      <c r="E34" s="430">
        <v>7000</v>
      </c>
      <c r="F34" s="425">
        <f>LOOKUP(E34,104:104,105:105)-LOOKUP(C34,104:104,105:105)+100</f>
        <v>99</v>
      </c>
      <c r="G34" s="429">
        <v>18700</v>
      </c>
      <c r="H34" s="136">
        <f>LOOKUP(G34,104:104,105:105)-LOOKUP(C34,104:104,105:105)+100</f>
        <v>98</v>
      </c>
      <c r="I34" s="429">
        <v>1658.9</v>
      </c>
      <c r="J34" s="136">
        <f>LOOKUP(I34,104:104,105:105)-LOOKUP(C34,104:104,105:105)+100</f>
        <v>98</v>
      </c>
      <c r="K34" s="613"/>
      <c r="L34" s="1138"/>
      <c r="M34" s="1141"/>
      <c r="N34" s="1141"/>
      <c r="O34" s="1141"/>
      <c r="P34" s="3233"/>
      <c r="Q34" s="776" t="str">
        <f t="shared" si="11"/>
        <v>项目建筑规模</v>
      </c>
      <c r="R34" s="777" t="s">
        <v>17</v>
      </c>
      <c r="S34" s="778">
        <f t="shared" si="12"/>
        <v>99</v>
      </c>
      <c r="T34" s="777" t="s">
        <v>17</v>
      </c>
      <c r="U34" s="778">
        <f t="shared" si="13"/>
        <v>98</v>
      </c>
      <c r="V34" s="777" t="s">
        <v>17</v>
      </c>
      <c r="W34" s="778">
        <f t="shared" si="14"/>
        <v>98</v>
      </c>
      <c r="X34" s="779"/>
      <c r="Y34" s="3235"/>
      <c r="Z34" s="780" t="str">
        <f t="shared" si="15"/>
        <v>项目建筑规模</v>
      </c>
      <c r="AA34" s="1802">
        <f t="shared" si="3"/>
        <v>1.0101010101010102</v>
      </c>
      <c r="AB34" s="1802">
        <f t="shared" si="4"/>
        <v>1.0204081632653061</v>
      </c>
      <c r="AC34" s="2665">
        <f t="shared" si="5"/>
        <v>1.0204081632653061</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1" t="str">
        <f t="shared" si="11"/>
        <v>建筑结构</v>
      </c>
      <c r="R35" s="774" t="s">
        <v>17</v>
      </c>
      <c r="S35" s="775">
        <f t="shared" si="12"/>
        <v>100</v>
      </c>
      <c r="T35" s="774" t="s">
        <v>17</v>
      </c>
      <c r="U35" s="775">
        <f t="shared" si="13"/>
        <v>100</v>
      </c>
      <c r="V35" s="774" t="s">
        <v>17</v>
      </c>
      <c r="W35" s="775">
        <f t="shared" si="14"/>
        <v>100</v>
      </c>
      <c r="X35" s="1804"/>
      <c r="Y35" s="3235"/>
      <c r="Z35" s="1805" t="str">
        <f t="shared" si="15"/>
        <v>建筑结构</v>
      </c>
      <c r="AA35" s="1802">
        <f t="shared" si="3"/>
        <v>1</v>
      </c>
      <c r="AB35" s="1802">
        <f t="shared" si="4"/>
        <v>1</v>
      </c>
      <c r="AC35" s="266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1" t="str">
        <f t="shared" si="11"/>
        <v>公共部分装修</v>
      </c>
      <c r="R36" s="774" t="s">
        <v>17</v>
      </c>
      <c r="S36" s="775">
        <f t="shared" si="12"/>
        <v>100</v>
      </c>
      <c r="T36" s="774" t="s">
        <v>17</v>
      </c>
      <c r="U36" s="775">
        <f t="shared" si="13"/>
        <v>100</v>
      </c>
      <c r="V36" s="774" t="s">
        <v>17</v>
      </c>
      <c r="W36" s="775">
        <f t="shared" si="14"/>
        <v>100</v>
      </c>
      <c r="X36" s="1804"/>
      <c r="Y36" s="3235"/>
      <c r="Z36" s="1805" t="str">
        <f t="shared" si="15"/>
        <v>公共部分装修</v>
      </c>
      <c r="AA36" s="1802">
        <f t="shared" si="3"/>
        <v>1</v>
      </c>
      <c r="AB36" s="1802">
        <f t="shared" si="4"/>
        <v>1</v>
      </c>
      <c r="AC36" s="2665">
        <f t="shared" si="5"/>
        <v>1</v>
      </c>
    </row>
    <row r="37" spans="1:29" ht="15">
      <c r="A37" s="472"/>
      <c r="B37" s="422" t="s">
        <v>2661</v>
      </c>
      <c r="C37" s="474">
        <f>'数据-取费表'!N6</f>
        <v>0.95</v>
      </c>
      <c r="D37" s="435">
        <v>100</v>
      </c>
      <c r="E37" s="474">
        <f>1-(2020-E51)/60</f>
        <v>0.8833333333333333</v>
      </c>
      <c r="F37" s="461">
        <f>LOOKUP(E37,111:111,112:112)-LOOKUP(C37,111:111,112:112)+100</f>
        <v>98</v>
      </c>
      <c r="G37" s="474">
        <f>1-(2020-G51)/60</f>
        <v>0.8666666666666667</v>
      </c>
      <c r="H37" s="461">
        <f>LOOKUP(G37,111:111,112:112)-LOOKUP(C37,111:111,112:112)+100</f>
        <v>98</v>
      </c>
      <c r="I37" s="474">
        <f>1-(2020-I51)/60</f>
        <v>0.76666666666666661</v>
      </c>
      <c r="J37" s="435">
        <f>LOOKUP(I37,111:111,112:112)-LOOKUP(C37,111:111,112:112)+100</f>
        <v>96</v>
      </c>
      <c r="K37" s="612">
        <v>2</v>
      </c>
      <c r="L37" s="1140"/>
      <c r="M37" s="1131"/>
      <c r="N37" s="1131"/>
      <c r="O37" s="1131"/>
      <c r="P37" s="3233"/>
      <c r="Q37" s="1801" t="str">
        <f t="shared" si="11"/>
        <v>成新度</v>
      </c>
      <c r="R37" s="774" t="s">
        <v>17</v>
      </c>
      <c r="S37" s="775">
        <f t="shared" si="12"/>
        <v>98</v>
      </c>
      <c r="T37" s="774" t="s">
        <v>17</v>
      </c>
      <c r="U37" s="775">
        <f t="shared" si="13"/>
        <v>98</v>
      </c>
      <c r="V37" s="774" t="s">
        <v>17</v>
      </c>
      <c r="W37" s="775">
        <f t="shared" si="14"/>
        <v>96</v>
      </c>
      <c r="X37" s="1804"/>
      <c r="Y37" s="3235"/>
      <c r="Z37" s="1805" t="str">
        <f t="shared" si="15"/>
        <v>成新度</v>
      </c>
      <c r="AA37" s="1802">
        <f t="shared" si="3"/>
        <v>1.0204081632653061</v>
      </c>
      <c r="AB37" s="1802">
        <f t="shared" si="4"/>
        <v>1.0204081632653061</v>
      </c>
      <c r="AC37" s="2665">
        <f t="shared" si="5"/>
        <v>1.0416666666666667</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86" t="str">
        <f t="shared" si="11"/>
        <v>写字楼等级</v>
      </c>
      <c r="R38" s="770" t="s">
        <v>17</v>
      </c>
      <c r="S38" s="771">
        <f t="shared" si="12"/>
        <v>100</v>
      </c>
      <c r="T38" s="770" t="s">
        <v>17</v>
      </c>
      <c r="U38" s="771">
        <f t="shared" si="13"/>
        <v>100</v>
      </c>
      <c r="V38" s="770" t="s">
        <v>17</v>
      </c>
      <c r="W38" s="771">
        <f t="shared" si="14"/>
        <v>100</v>
      </c>
      <c r="X38" s="772"/>
      <c r="Y38" s="3235"/>
      <c r="Z38" s="55" t="str">
        <f t="shared" si="15"/>
        <v>写字楼等级</v>
      </c>
      <c r="AA38" s="773">
        <f t="shared" si="3"/>
        <v>1</v>
      </c>
      <c r="AB38" s="773">
        <f t="shared" si="4"/>
        <v>1</v>
      </c>
      <c r="AC38" s="266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2564</v>
      </c>
      <c r="Q39" s="1801" t="str">
        <f t="shared" si="11"/>
        <v>物业管理</v>
      </c>
      <c r="R39" s="774" t="s">
        <v>17</v>
      </c>
      <c r="S39" s="775">
        <f t="shared" si="12"/>
        <v>100</v>
      </c>
      <c r="T39" s="774" t="s">
        <v>17</v>
      </c>
      <c r="U39" s="775">
        <f t="shared" si="13"/>
        <v>100</v>
      </c>
      <c r="V39" s="774" t="s">
        <v>17</v>
      </c>
      <c r="W39" s="775">
        <f t="shared" si="14"/>
        <v>100</v>
      </c>
      <c r="X39" s="1804"/>
      <c r="Y39" s="3235" t="s">
        <v>2564</v>
      </c>
      <c r="Z39" s="1805" t="str">
        <f t="shared" si="15"/>
        <v>物业管理</v>
      </c>
      <c r="AA39" s="1802">
        <f t="shared" si="3"/>
        <v>1</v>
      </c>
      <c r="AB39" s="1802">
        <f t="shared" si="4"/>
        <v>1</v>
      </c>
      <c r="AC39" s="266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1</v>
      </c>
      <c r="L40" s="1140"/>
      <c r="M40" s="1131"/>
      <c r="N40" s="1131"/>
      <c r="O40" s="1131"/>
      <c r="P40" s="3233"/>
      <c r="Q40" s="1801" t="str">
        <f t="shared" si="11"/>
        <v>市政基础设施</v>
      </c>
      <c r="R40" s="774" t="s">
        <v>17</v>
      </c>
      <c r="S40" s="775">
        <f t="shared" si="12"/>
        <v>100</v>
      </c>
      <c r="T40" s="774" t="s">
        <v>17</v>
      </c>
      <c r="U40" s="775">
        <f t="shared" si="13"/>
        <v>100</v>
      </c>
      <c r="V40" s="774" t="s">
        <v>17</v>
      </c>
      <c r="W40" s="775">
        <f t="shared" si="14"/>
        <v>100</v>
      </c>
      <c r="X40" s="1804"/>
      <c r="Y40" s="3235"/>
      <c r="Z40" s="1805" t="str">
        <f t="shared" si="15"/>
        <v>市政基础设施</v>
      </c>
      <c r="AA40" s="1802">
        <f t="shared" si="3"/>
        <v>1</v>
      </c>
      <c r="AB40" s="1802">
        <f t="shared" si="4"/>
        <v>1</v>
      </c>
      <c r="AC40" s="266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1" t="str">
        <f t="shared" si="11"/>
        <v>层高</v>
      </c>
      <c r="R41" s="774" t="s">
        <v>17</v>
      </c>
      <c r="S41" s="775">
        <f t="shared" si="12"/>
        <v>100</v>
      </c>
      <c r="T41" s="774" t="s">
        <v>17</v>
      </c>
      <c r="U41" s="775">
        <f t="shared" si="13"/>
        <v>100</v>
      </c>
      <c r="V41" s="774" t="s">
        <v>17</v>
      </c>
      <c r="W41" s="775">
        <f t="shared" si="14"/>
        <v>100</v>
      </c>
      <c r="X41" s="1804"/>
      <c r="Y41" s="3235"/>
      <c r="Z41" s="1805" t="str">
        <f t="shared" si="15"/>
        <v>层高</v>
      </c>
      <c r="AA41" s="1802">
        <f t="shared" si="3"/>
        <v>1</v>
      </c>
      <c r="AB41" s="1802">
        <f t="shared" si="4"/>
        <v>1</v>
      </c>
      <c r="AC41" s="2665">
        <f t="shared" si="5"/>
        <v>1</v>
      </c>
    </row>
    <row r="42" spans="1:29" s="471" customFormat="1" ht="15">
      <c r="A42" s="468"/>
      <c r="B42" s="180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35"/>
      <c r="Z42" s="780" t="str">
        <f t="shared" si="15"/>
        <v>单套建筑面积</v>
      </c>
      <c r="AA42" s="1802">
        <f t="shared" si="3"/>
        <v>1</v>
      </c>
      <c r="AB42" s="1802">
        <f t="shared" si="4"/>
        <v>1</v>
      </c>
      <c r="AC42" s="2665">
        <f t="shared" si="5"/>
        <v>1</v>
      </c>
    </row>
    <row r="43" spans="1:29" ht="15">
      <c r="A43" s="472"/>
      <c r="B43" s="422" t="s">
        <v>2667</v>
      </c>
      <c r="C43" s="460" t="s">
        <v>3239</v>
      </c>
      <c r="D43" s="435">
        <v>100</v>
      </c>
      <c r="E43" s="460" t="s">
        <v>3252</v>
      </c>
      <c r="F43" s="461">
        <f>SUMIF(123:123,E43,124:124)-SUMIF(123:123,C43,124:124)+100</f>
        <v>102</v>
      </c>
      <c r="G43" s="460" t="s">
        <v>3243</v>
      </c>
      <c r="H43" s="435">
        <f>SUMIF(123:123,G43,124:124)-SUMIF(123:123,C43,124:124)+100</f>
        <v>106</v>
      </c>
      <c r="I43" s="460" t="s">
        <v>3253</v>
      </c>
      <c r="J43" s="435">
        <f>SUMIF(123:123,I43,124:124)-SUMIF(123:123,C43,124:124)+100</f>
        <v>104</v>
      </c>
      <c r="K43" s="612">
        <v>2</v>
      </c>
      <c r="L43" s="1140"/>
      <c r="M43" s="1131"/>
      <c r="N43" s="1131"/>
      <c r="O43" s="1131"/>
      <c r="P43" s="3233"/>
      <c r="Q43" s="1801" t="str">
        <f t="shared" si="11"/>
        <v>内部装修</v>
      </c>
      <c r="R43" s="774" t="s">
        <v>17</v>
      </c>
      <c r="S43" s="775">
        <f t="shared" si="12"/>
        <v>102</v>
      </c>
      <c r="T43" s="774" t="s">
        <v>17</v>
      </c>
      <c r="U43" s="775">
        <f t="shared" si="13"/>
        <v>106</v>
      </c>
      <c r="V43" s="774" t="s">
        <v>17</v>
      </c>
      <c r="W43" s="775">
        <f t="shared" si="14"/>
        <v>104</v>
      </c>
      <c r="X43" s="1804"/>
      <c r="Y43" s="3235"/>
      <c r="Z43" s="1805" t="str">
        <f t="shared" si="15"/>
        <v>内部装修</v>
      </c>
      <c r="AA43" s="1802">
        <f t="shared" si="3"/>
        <v>0.98039215686274506</v>
      </c>
      <c r="AB43" s="1802">
        <f t="shared" si="4"/>
        <v>0.94339622641509435</v>
      </c>
      <c r="AC43" s="2665">
        <f t="shared" si="5"/>
        <v>0.96153846153846156</v>
      </c>
    </row>
    <row r="44" spans="1:29" ht="28.8">
      <c r="A44" s="472"/>
      <c r="B44" s="422" t="s">
        <v>2575</v>
      </c>
      <c r="C44" s="460"/>
      <c r="D44" s="435">
        <v>100</v>
      </c>
      <c r="E44" s="2604"/>
      <c r="F44" s="461">
        <f>SUMIF(125:125,E44,126:126)-SUMIF(125:125,C44,126:126)+100</f>
        <v>100</v>
      </c>
      <c r="G44" s="2604"/>
      <c r="H44" s="435">
        <f>SUMIF(125:125,G44,126:126)-SUMIF(125:125,C44,126:126)+100</f>
        <v>100</v>
      </c>
      <c r="I44" s="2604"/>
      <c r="J44" s="435">
        <f>SUMIF(125:125,I44,126:126)-SUMIF(125:125,C44,126:126)+100</f>
        <v>100</v>
      </c>
      <c r="K44" s="612">
        <v>2</v>
      </c>
      <c r="L44" s="1140"/>
      <c r="M44" s="1131"/>
      <c r="N44" s="1131"/>
      <c r="O44" s="1131"/>
      <c r="P44" s="3233"/>
      <c r="Q44" s="1801" t="str">
        <f t="shared" si="11"/>
        <v>内部装修维护情况</v>
      </c>
      <c r="R44" s="774" t="s">
        <v>17</v>
      </c>
      <c r="S44" s="775">
        <f t="shared" si="12"/>
        <v>100</v>
      </c>
      <c r="T44" s="774" t="s">
        <v>17</v>
      </c>
      <c r="U44" s="775">
        <f t="shared" si="13"/>
        <v>100</v>
      </c>
      <c r="V44" s="774" t="s">
        <v>17</v>
      </c>
      <c r="W44" s="775">
        <f t="shared" si="14"/>
        <v>100</v>
      </c>
      <c r="X44" s="1804"/>
      <c r="Y44" s="3235"/>
      <c r="Z44" s="1805" t="str">
        <f t="shared" si="15"/>
        <v>内部装修维护情况</v>
      </c>
      <c r="AA44" s="1802">
        <f t="shared" si="3"/>
        <v>1</v>
      </c>
      <c r="AB44" s="1802">
        <f t="shared" si="4"/>
        <v>1</v>
      </c>
      <c r="AC44" s="266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86">
        <f t="shared" si="11"/>
        <v>111</v>
      </c>
      <c r="R45" s="770" t="s">
        <v>17</v>
      </c>
      <c r="S45" s="771">
        <f t="shared" si="12"/>
        <v>100</v>
      </c>
      <c r="T45" s="770" t="s">
        <v>17</v>
      </c>
      <c r="U45" s="771">
        <f t="shared" si="13"/>
        <v>100</v>
      </c>
      <c r="V45" s="770" t="s">
        <v>17</v>
      </c>
      <c r="W45" s="771">
        <f t="shared" si="14"/>
        <v>100</v>
      </c>
      <c r="X45" s="772"/>
      <c r="Y45" s="3235"/>
      <c r="Z45" s="55">
        <f t="shared" si="15"/>
        <v>111</v>
      </c>
      <c r="AA45" s="773">
        <f t="shared" si="3"/>
        <v>1</v>
      </c>
      <c r="AB45" s="773">
        <f t="shared" si="4"/>
        <v>1</v>
      </c>
      <c r="AC45" s="266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1">
        <f t="shared" si="11"/>
        <v>111</v>
      </c>
      <c r="R46" s="774" t="s">
        <v>17</v>
      </c>
      <c r="S46" s="775">
        <f t="shared" si="12"/>
        <v>100</v>
      </c>
      <c r="T46" s="774" t="s">
        <v>17</v>
      </c>
      <c r="U46" s="775">
        <f t="shared" si="13"/>
        <v>100</v>
      </c>
      <c r="V46" s="774" t="s">
        <v>17</v>
      </c>
      <c r="W46" s="775">
        <f t="shared" si="14"/>
        <v>100</v>
      </c>
      <c r="X46" s="1804"/>
      <c r="Y46" s="3235"/>
      <c r="Z46" s="1805">
        <f t="shared" si="15"/>
        <v>111</v>
      </c>
      <c r="AA46" s="1802">
        <f t="shared" si="3"/>
        <v>1</v>
      </c>
      <c r="AB46" s="1802">
        <f t="shared" si="4"/>
        <v>1</v>
      </c>
      <c r="AC46" s="2665">
        <f t="shared" si="5"/>
        <v>1</v>
      </c>
    </row>
    <row r="47" spans="1:29" ht="15.6"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1">
        <f t="shared" si="11"/>
        <v>111</v>
      </c>
      <c r="R47" s="774" t="s">
        <v>17</v>
      </c>
      <c r="S47" s="775">
        <f t="shared" si="12"/>
        <v>100</v>
      </c>
      <c r="T47" s="774" t="s">
        <v>17</v>
      </c>
      <c r="U47" s="775">
        <f t="shared" si="13"/>
        <v>100</v>
      </c>
      <c r="V47" s="774" t="s">
        <v>17</v>
      </c>
      <c r="W47" s="775">
        <f t="shared" si="14"/>
        <v>100</v>
      </c>
      <c r="X47" s="1804"/>
      <c r="Y47" s="3236"/>
      <c r="Z47" s="1805">
        <f t="shared" si="15"/>
        <v>111</v>
      </c>
      <c r="AA47" s="1802">
        <f t="shared" si="3"/>
        <v>1</v>
      </c>
      <c r="AB47" s="1802">
        <f t="shared" si="4"/>
        <v>1</v>
      </c>
      <c r="AC47" s="2665">
        <f t="shared" si="5"/>
        <v>1</v>
      </c>
    </row>
    <row r="48" spans="1:29" ht="14.4">
      <c r="A48" s="479" t="s">
        <v>2576</v>
      </c>
      <c r="B48" s="480"/>
      <c r="C48" s="1407" t="s">
        <v>1</v>
      </c>
      <c r="D48" s="1408"/>
      <c r="E48" s="1409">
        <v>17000</v>
      </c>
      <c r="F48" s="1410"/>
      <c r="G48" s="1411">
        <v>21390</v>
      </c>
      <c r="H48" s="1412"/>
      <c r="I48" s="1409">
        <v>17500</v>
      </c>
      <c r="J48" s="485"/>
      <c r="K48" s="783"/>
      <c r="L48" s="1143"/>
      <c r="M48" s="1131"/>
      <c r="N48" s="1131"/>
      <c r="O48" s="1131"/>
      <c r="P48" s="3222" t="str">
        <f>A48</f>
        <v>成交单价（元/平方米）</v>
      </c>
      <c r="Q48" s="3223"/>
      <c r="R48" s="3224">
        <f>E48</f>
        <v>17000</v>
      </c>
      <c r="S48" s="3224"/>
      <c r="T48" s="3224">
        <f>G48</f>
        <v>21390</v>
      </c>
      <c r="U48" s="3224"/>
      <c r="V48" s="3224">
        <f>I48</f>
        <v>17500</v>
      </c>
      <c r="W48" s="3224"/>
      <c r="X48" s="446"/>
      <c r="Y48" s="781"/>
      <c r="Z48" s="446"/>
      <c r="AA48" s="446"/>
      <c r="AB48" s="446"/>
      <c r="AC48" s="630"/>
    </row>
    <row r="49" spans="1:29" ht="15" thickBot="1">
      <c r="A49" s="486" t="s">
        <v>2668</v>
      </c>
      <c r="B49" s="487"/>
      <c r="C49" s="1413">
        <f>R50</f>
        <v>17728</v>
      </c>
      <c r="D49" s="1414"/>
      <c r="E49" s="1415">
        <f>R49</f>
        <v>16188</v>
      </c>
      <c r="F49" s="1415"/>
      <c r="G49" s="1413">
        <f>T49</f>
        <v>19799</v>
      </c>
      <c r="H49" s="1414"/>
      <c r="I49" s="1415">
        <f>V49</f>
        <v>17198</v>
      </c>
      <c r="J49" s="489"/>
      <c r="K49" s="784"/>
      <c r="L49" s="1143"/>
      <c r="M49" s="1131"/>
      <c r="N49" s="1131"/>
      <c r="O49" s="1131"/>
      <c r="P49" s="3222" t="str">
        <f>A49</f>
        <v>比较价值（元/平方米）</v>
      </c>
      <c r="Q49" s="3223"/>
      <c r="R49" s="3224">
        <f>IF(F1="售价",ROUND(PRODUCT(R48,AA7:AA47),0),ROUND(PRODUCT(R48,AA7:AA47),1))</f>
        <v>16188</v>
      </c>
      <c r="S49" s="3224"/>
      <c r="T49" s="3224">
        <f>IF(F1="售价",ROUND(PRODUCT(T48,AB7:AB47),0),ROUND(PRODUCT(T48,AB7:AB47),1))</f>
        <v>19799</v>
      </c>
      <c r="U49" s="3224"/>
      <c r="V49" s="3224">
        <f>IF(F1="售价",ROUND(PRODUCT(V48,AC7:AC47),0),ROUND(PRODUCT(V48,AC7:AC47),1))</f>
        <v>17198</v>
      </c>
      <c r="W49" s="3224"/>
      <c r="X49" s="446"/>
      <c r="Y49" s="446"/>
      <c r="Z49" s="446"/>
      <c r="AA49" s="446"/>
      <c r="AB49" s="446"/>
      <c r="AC49" s="630"/>
    </row>
    <row r="50" spans="1:29" ht="15" thickBot="1">
      <c r="A50" s="492" t="s">
        <v>2669</v>
      </c>
      <c r="B50" s="493"/>
      <c r="C50" s="1417">
        <f>R50</f>
        <v>17728</v>
      </c>
      <c r="D50" s="1417"/>
      <c r="E50" s="1417"/>
      <c r="F50" s="1417"/>
      <c r="G50" s="1417"/>
      <c r="H50" s="1417"/>
      <c r="I50" s="1417"/>
      <c r="J50" s="494"/>
      <c r="K50" s="785"/>
      <c r="L50" s="1143"/>
      <c r="M50" s="1131"/>
      <c r="N50" s="1131"/>
      <c r="O50" s="1131"/>
      <c r="P50" s="3225" t="str">
        <f>A50</f>
        <v>估价对象XX用房的比较价值（楼面单价，元/平方米）</v>
      </c>
      <c r="Q50" s="3226"/>
      <c r="R50" s="3227">
        <f>IF(F1="售价",ROUND(AVERAGE(R49:V49),0),ROUND(AVERAGE(R49:V49),1))</f>
        <v>17728</v>
      </c>
      <c r="S50" s="3227"/>
      <c r="T50" s="3227"/>
      <c r="U50" s="3227"/>
      <c r="V50" s="3227"/>
      <c r="W50" s="3227"/>
      <c r="X50" s="2645"/>
      <c r="Y50" s="2645"/>
      <c r="Z50" s="2645"/>
      <c r="AA50" s="2645"/>
      <c r="AB50" s="2645"/>
      <c r="AC50" s="2646"/>
    </row>
    <row r="51" spans="1:29">
      <c r="A51" s="1144"/>
      <c r="B51" s="1144"/>
      <c r="C51" s="1144"/>
      <c r="D51" s="1144"/>
      <c r="E51" s="1144">
        <v>2013</v>
      </c>
      <c r="F51" s="1144"/>
      <c r="G51" s="3025">
        <v>2012</v>
      </c>
      <c r="H51" s="1144"/>
      <c r="I51" s="1144">
        <v>2006</v>
      </c>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5.0160612799604598E-2</v>
      </c>
      <c r="F53" s="500" t="str">
        <f>IF(OR(E53&gt;=0.3,E53&lt;=-0.3),"超过30%","")</f>
        <v/>
      </c>
      <c r="G53" s="499">
        <f>IF(G48&lt;G49,G49/G48-1,G48/G49-1)</f>
        <v>8.0357593817869555E-2</v>
      </c>
      <c r="H53" s="500" t="str">
        <f>IF(OR(G53&gt;=0.3,G53&lt;=-0.3),"超过30%","")</f>
        <v/>
      </c>
      <c r="I53" s="499">
        <f>IF(I48&lt;I49,I49/I48-1,I48/I49-1)</f>
        <v>1.7560181416443665E-2</v>
      </c>
      <c r="J53" s="500" t="str">
        <f>IF(OR(I53&gt;=0.3,I53&lt;=-0.3),"超过30%","")</f>
        <v/>
      </c>
      <c r="K53" s="1105"/>
      <c r="L53" s="1106"/>
      <c r="M53" s="1144"/>
      <c r="N53" s="1144"/>
      <c r="O53" s="1144"/>
    </row>
    <row r="54" spans="1:29" ht="13.5" customHeight="1">
      <c r="A54" s="1144"/>
      <c r="B54" s="1144"/>
      <c r="C54" s="497" t="s">
        <v>2671</v>
      </c>
      <c r="D54" s="501"/>
      <c r="E54" s="499">
        <f>IF(E49&lt;G49,G49/E49-1,E49/G49-1)</f>
        <v>0.22306646898937488</v>
      </c>
      <c r="F54" s="500" t="str">
        <f>IF(OR(E54&gt;=0.2,E54&lt;=-0.2),"超过20%","")</f>
        <v>超过20%</v>
      </c>
      <c r="G54" s="499">
        <f>IF(G49&lt;I49,I49/G49-1,G49/I49-1)</f>
        <v>0.15123851610652395</v>
      </c>
      <c r="H54" s="500" t="str">
        <f>IF(OR(G54&gt;=0.2,G54&lt;=-0.2),"超过20%","")</f>
        <v/>
      </c>
      <c r="I54" s="499">
        <f>IF(I49&lt;E49,E49/I49-1,I49/E49-1)</f>
        <v>6.2391895231035388E-2</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0.25823529411764712</v>
      </c>
      <c r="F55" s="500" t="str">
        <f>IF(OR(E55&gt;=0.3,E55&lt;=-0.3),"超过30%","")</f>
        <v/>
      </c>
      <c r="G55" s="499">
        <f>IF(G48&lt;I48,I48/G48-1,G48/I48-1)</f>
        <v>0.2222857142857142</v>
      </c>
      <c r="H55" s="500" t="str">
        <f>IF(OR(G55&gt;=0.3,G55&lt;=-0.3),"超过30%","")</f>
        <v/>
      </c>
      <c r="I55" s="499">
        <f>IF(I48&lt;E48,E48/I48-1,I48/E48-1)</f>
        <v>2.9411764705882248E-2</v>
      </c>
      <c r="J55" s="500" t="str">
        <f>IF(OR(I55&gt;=0.3,I55&lt;=-0.3),"超过30%","")</f>
        <v/>
      </c>
      <c r="K55" s="1148"/>
      <c r="L55" s="1149"/>
      <c r="M55" s="1145"/>
      <c r="N55" s="1145"/>
      <c r="O55" s="1145"/>
      <c r="P55" s="2671"/>
    </row>
    <row r="56" spans="1:29" s="502" customFormat="1">
      <c r="A56" s="1145"/>
      <c r="B56" s="1146"/>
      <c r="C56" s="1150"/>
      <c r="D56" s="1145"/>
      <c r="E56" s="1145"/>
      <c r="F56" s="1145"/>
      <c r="G56" s="1145"/>
      <c r="H56" s="1145"/>
      <c r="I56" s="1145"/>
      <c r="J56" s="1145"/>
      <c r="K56" s="1148"/>
      <c r="L56" s="1149"/>
      <c r="M56" s="1145"/>
      <c r="N56" s="1145"/>
      <c r="O56" s="1145"/>
      <c r="P56" s="2671"/>
    </row>
    <row r="57" spans="1:29">
      <c r="A57" s="1144"/>
      <c r="B57" s="1146"/>
      <c r="C57" s="1150"/>
      <c r="D57" s="1144"/>
      <c r="E57" s="1144"/>
      <c r="F57" s="1144"/>
      <c r="G57" s="1144"/>
      <c r="H57" s="1144"/>
      <c r="I57" s="1144"/>
      <c r="J57" s="1144"/>
      <c r="K57" s="1105"/>
      <c r="L57" s="1106"/>
      <c r="M57" s="1144"/>
      <c r="N57" s="1144"/>
      <c r="O57" s="1144"/>
    </row>
    <row r="58" spans="1:29" ht="22.2" thickBot="1">
      <c r="A58" s="763" t="s">
        <v>2673</v>
      </c>
      <c r="B58" s="759"/>
      <c r="C58" s="764"/>
      <c r="D58" s="764"/>
      <c r="E58" s="764"/>
      <c r="F58" s="765"/>
      <c r="G58" s="765"/>
      <c r="H58" s="764"/>
      <c r="I58" s="764"/>
      <c r="J58" s="764"/>
      <c r="K58" s="766"/>
      <c r="L58" s="1161"/>
      <c r="M58" s="1159"/>
      <c r="N58" s="1159"/>
      <c r="O58" s="1159"/>
      <c r="P58" s="2672"/>
      <c r="Q58" s="504"/>
    </row>
    <row r="59" spans="1:29" s="508" customFormat="1" ht="14.4">
      <c r="A59" s="505" t="s">
        <v>2547</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c r="A60" s="509"/>
      <c r="B60" s="510"/>
      <c r="C60" s="1572">
        <v>100</v>
      </c>
      <c r="D60" s="512"/>
      <c r="E60" s="512"/>
      <c r="F60" s="512"/>
      <c r="G60" s="512"/>
      <c r="H60" s="512"/>
      <c r="I60" s="512"/>
      <c r="J60" s="512"/>
      <c r="K60" s="512"/>
      <c r="L60" s="512"/>
      <c r="M60" s="513"/>
      <c r="N60" s="512"/>
      <c r="O60" s="513"/>
      <c r="P60" s="2673"/>
    </row>
    <row r="61" spans="1:29" s="117" customFormat="1" ht="15" thickBot="1">
      <c r="A61" s="515" t="s">
        <v>2584</v>
      </c>
      <c r="B61" s="516"/>
      <c r="C61" s="517"/>
      <c r="D61" s="518"/>
      <c r="E61" s="518"/>
      <c r="F61" s="518"/>
      <c r="G61" s="518"/>
      <c r="H61" s="518"/>
      <c r="I61" s="518"/>
      <c r="J61" s="518"/>
      <c r="K61" s="518"/>
      <c r="L61" s="518"/>
      <c r="M61" s="519"/>
      <c r="N61" s="518"/>
      <c r="O61" s="519"/>
      <c r="P61" s="2673"/>
      <c r="Q61" s="504"/>
    </row>
    <row r="62" spans="1:29" s="117" customFormat="1" ht="14.4">
      <c r="A62" s="521" t="s">
        <v>2549</v>
      </c>
      <c r="B62" s="510"/>
      <c r="C62" s="522" t="s">
        <v>2651</v>
      </c>
      <c r="D62" s="523"/>
      <c r="E62" s="523"/>
      <c r="F62" s="523"/>
      <c r="G62" s="523"/>
      <c r="H62" s="523"/>
      <c r="I62" s="523"/>
      <c r="J62" s="523"/>
      <c r="K62" s="523"/>
      <c r="L62" s="524"/>
      <c r="M62" s="525"/>
      <c r="N62" s="1151"/>
      <c r="O62" s="1151"/>
      <c r="P62" s="2674"/>
      <c r="Q62" s="504"/>
    </row>
    <row r="63" spans="1:29" s="117" customFormat="1" ht="14.4" thickBot="1">
      <c r="A63" s="521"/>
      <c r="B63" s="510"/>
      <c r="C63" s="511">
        <v>100</v>
      </c>
      <c r="D63" s="512"/>
      <c r="E63" s="512"/>
      <c r="F63" s="512"/>
      <c r="G63" s="512"/>
      <c r="H63" s="512"/>
      <c r="I63" s="512"/>
      <c r="J63" s="512"/>
      <c r="K63" s="512"/>
      <c r="L63" s="512"/>
      <c r="M63" s="514"/>
      <c r="N63" s="1151"/>
      <c r="O63" s="1151"/>
      <c r="P63" s="2673"/>
      <c r="Q63" s="504"/>
    </row>
    <row r="64" spans="1:29" ht="14.4">
      <c r="A64" s="527" t="s">
        <v>2587</v>
      </c>
      <c r="B64" s="528" t="s">
        <v>2553</v>
      </c>
      <c r="C64" s="529" t="str">
        <f>C9</f>
        <v>办公</v>
      </c>
      <c r="D64" s="530"/>
      <c r="E64" s="530"/>
      <c r="F64" s="530"/>
      <c r="G64" s="530"/>
      <c r="H64" s="530"/>
      <c r="I64" s="530"/>
      <c r="J64" s="530"/>
      <c r="K64" s="531"/>
      <c r="L64" s="532"/>
      <c r="M64" s="533"/>
      <c r="N64" s="1152"/>
      <c r="O64" s="1152"/>
      <c r="P64" s="2675"/>
      <c r="Q64" s="504"/>
    </row>
    <row r="65" spans="1:17" ht="14.4" thickBot="1">
      <c r="A65" s="534"/>
      <c r="B65" s="535"/>
      <c r="C65" s="536">
        <v>100</v>
      </c>
      <c r="D65" s="536"/>
      <c r="E65" s="536"/>
      <c r="F65" s="536"/>
      <c r="G65" s="536"/>
      <c r="H65" s="536"/>
      <c r="I65" s="536"/>
      <c r="J65" s="536"/>
      <c r="K65" s="536"/>
      <c r="L65" s="536"/>
      <c r="M65" s="537"/>
      <c r="N65" s="1153"/>
      <c r="O65" s="1153"/>
      <c r="P65" s="2675"/>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5"/>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75"/>
      <c r="Q67" s="504"/>
    </row>
    <row r="68" spans="1:17" ht="1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5"/>
      <c r="Q68" s="504"/>
    </row>
    <row r="69" spans="1:17">
      <c r="A69" s="534"/>
      <c r="B69" s="548"/>
      <c r="C69" s="549">
        <v>0</v>
      </c>
      <c r="D69" s="549"/>
      <c r="E69" s="549"/>
      <c r="F69" s="549"/>
      <c r="G69" s="549"/>
      <c r="H69" s="549"/>
      <c r="I69" s="549"/>
      <c r="J69" s="549"/>
      <c r="K69" s="550"/>
      <c r="L69" s="551"/>
      <c r="M69" s="552"/>
      <c r="N69" s="1152"/>
      <c r="O69" s="1152"/>
      <c r="P69" s="267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5"/>
      <c r="Q70" s="504"/>
    </row>
    <row r="71" spans="1:17" s="471" customFormat="1" ht="14.4" thickTop="1">
      <c r="A71" s="553"/>
      <c r="B71" s="538">
        <f>B12</f>
        <v>111</v>
      </c>
      <c r="C71" s="554"/>
      <c r="D71" s="554"/>
      <c r="E71" s="554"/>
      <c r="F71" s="554"/>
      <c r="G71" s="554"/>
      <c r="H71" s="555"/>
      <c r="I71" s="555"/>
      <c r="J71" s="555"/>
      <c r="K71" s="555"/>
      <c r="L71" s="556"/>
      <c r="M71" s="557"/>
      <c r="N71" s="1154"/>
      <c r="O71" s="1154"/>
      <c r="P71" s="2676"/>
      <c r="Q71" s="559"/>
    </row>
    <row r="72" spans="1:17" s="471" customFormat="1" ht="14.4" thickBot="1">
      <c r="A72" s="553"/>
      <c r="B72" s="543"/>
      <c r="C72" s="560"/>
      <c r="D72" s="536"/>
      <c r="E72" s="536"/>
      <c r="F72" s="536"/>
      <c r="G72" s="536"/>
      <c r="H72" s="536"/>
      <c r="I72" s="536"/>
      <c r="J72" s="536"/>
      <c r="K72" s="536"/>
      <c r="L72" s="536"/>
      <c r="M72" s="537"/>
      <c r="N72" s="1153"/>
      <c r="O72" s="1153"/>
      <c r="P72" s="2676"/>
      <c r="Q72" s="559"/>
    </row>
    <row r="73" spans="1:17" s="471" customFormat="1" ht="14.4" thickTop="1">
      <c r="A73" s="553"/>
      <c r="B73" s="538">
        <f>B13</f>
        <v>111</v>
      </c>
      <c r="C73" s="554"/>
      <c r="D73" s="554"/>
      <c r="E73" s="554"/>
      <c r="F73" s="554"/>
      <c r="G73" s="554"/>
      <c r="H73" s="555"/>
      <c r="I73" s="555"/>
      <c r="J73" s="555"/>
      <c r="K73" s="555"/>
      <c r="L73" s="556"/>
      <c r="M73" s="557"/>
      <c r="N73" s="1154"/>
      <c r="O73" s="1154"/>
      <c r="P73" s="2677"/>
      <c r="Q73" s="561"/>
    </row>
    <row r="74" spans="1:17" s="471" customFormat="1" ht="14.4" thickBot="1">
      <c r="A74" s="553"/>
      <c r="B74" s="543"/>
      <c r="C74" s="560"/>
      <c r="D74" s="560"/>
      <c r="E74" s="560"/>
      <c r="F74" s="560"/>
      <c r="G74" s="560"/>
      <c r="H74" s="562"/>
      <c r="I74" s="562"/>
      <c r="J74" s="562"/>
      <c r="K74" s="562"/>
      <c r="L74" s="562"/>
      <c r="M74" s="563"/>
      <c r="N74" s="1154"/>
      <c r="O74" s="1154"/>
      <c r="P74" s="2676"/>
      <c r="Q74" s="559"/>
    </row>
    <row r="75" spans="1:17" s="471" customFormat="1" ht="14.4" thickTop="1">
      <c r="A75" s="553"/>
      <c r="B75" s="546">
        <f>B14</f>
        <v>111</v>
      </c>
      <c r="C75" s="523"/>
      <c r="D75" s="523"/>
      <c r="E75" s="523"/>
      <c r="F75" s="523"/>
      <c r="G75" s="523"/>
      <c r="H75" s="564"/>
      <c r="I75" s="564"/>
      <c r="J75" s="564"/>
      <c r="K75" s="564"/>
      <c r="L75" s="565"/>
      <c r="M75" s="566"/>
      <c r="N75" s="1154"/>
      <c r="O75" s="1154"/>
      <c r="P75" s="2678"/>
      <c r="Q75" s="559"/>
    </row>
    <row r="76" spans="1:17" s="471" customFormat="1" ht="14.4" thickBot="1">
      <c r="A76" s="568"/>
      <c r="B76" s="569"/>
      <c r="C76" s="570"/>
      <c r="D76" s="570"/>
      <c r="E76" s="570"/>
      <c r="F76" s="570"/>
      <c r="G76" s="570"/>
      <c r="H76" s="571"/>
      <c r="I76" s="571"/>
      <c r="J76" s="571"/>
      <c r="K76" s="571"/>
      <c r="L76" s="571"/>
      <c r="M76" s="572"/>
      <c r="N76" s="1154"/>
      <c r="O76" s="1154"/>
      <c r="P76" s="2676"/>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2"/>
      <c r="O77" s="1152"/>
      <c r="P77" s="2679"/>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75"/>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2"/>
      <c r="O79" s="1152"/>
      <c r="P79" s="2675"/>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75"/>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2"/>
      <c r="O81" s="1152"/>
      <c r="P81" s="2675"/>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75"/>
      <c r="Q82" s="504"/>
    </row>
    <row r="83" spans="1:17" ht="15" thickTop="1">
      <c r="A83" s="534"/>
      <c r="B83" s="546" t="s">
        <v>2688</v>
      </c>
      <c r="C83" s="660" t="s">
        <v>2674</v>
      </c>
      <c r="D83" s="660" t="s">
        <v>2675</v>
      </c>
      <c r="E83" s="660" t="s">
        <v>2676</v>
      </c>
      <c r="F83" s="660" t="s">
        <v>2677</v>
      </c>
      <c r="G83" s="660" t="s">
        <v>2678</v>
      </c>
      <c r="H83" s="539"/>
      <c r="I83" s="539"/>
      <c r="J83" s="539"/>
      <c r="K83" s="539"/>
      <c r="L83" s="539"/>
      <c r="M83" s="1382"/>
      <c r="N83" s="1153"/>
      <c r="O83" s="1153"/>
      <c r="P83" s="2675"/>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75"/>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2"/>
      <c r="O85" s="1152"/>
      <c r="P85" s="2675"/>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75"/>
      <c r="Q86" s="504"/>
    </row>
    <row r="87" spans="1:17" s="117" customFormat="1" ht="29.4" thickTop="1">
      <c r="A87" s="579"/>
      <c r="B87" s="538" t="s">
        <v>2698</v>
      </c>
      <c r="C87" s="554"/>
      <c r="D87" s="554"/>
      <c r="E87" s="554"/>
      <c r="F87" s="554"/>
      <c r="G87" s="554"/>
      <c r="H87" s="554"/>
      <c r="I87" s="554"/>
      <c r="J87" s="554"/>
      <c r="K87" s="554"/>
      <c r="L87" s="580"/>
      <c r="M87" s="581"/>
      <c r="N87" s="1151"/>
      <c r="O87" s="1151"/>
      <c r="P87" s="267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5"/>
      <c r="Q88" s="504"/>
    </row>
    <row r="89" spans="1:17" s="117" customFormat="1" ht="14.4" thickTop="1">
      <c r="A89" s="579"/>
      <c r="B89" s="538" t="str">
        <f>B27</f>
        <v>楼层</v>
      </c>
      <c r="C89" s="554"/>
      <c r="D89" s="554"/>
      <c r="E89" s="554"/>
      <c r="F89" s="2626"/>
      <c r="G89" s="554"/>
      <c r="H89" s="554"/>
      <c r="I89" s="554"/>
      <c r="J89" s="554"/>
      <c r="K89" s="554"/>
      <c r="L89" s="554"/>
      <c r="M89" s="581"/>
      <c r="N89" s="1151"/>
      <c r="O89" s="1151"/>
      <c r="P89" s="267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6"/>
      <c r="Q92" s="559"/>
    </row>
    <row r="93" spans="1:17" ht="14.4" thickTop="1">
      <c r="A93" s="534"/>
      <c r="B93" s="538">
        <f>B29</f>
        <v>111</v>
      </c>
      <c r="C93" s="554"/>
      <c r="D93" s="554"/>
      <c r="E93" s="554"/>
      <c r="F93" s="554"/>
      <c r="G93" s="554"/>
      <c r="H93" s="554"/>
      <c r="I93" s="554"/>
      <c r="J93" s="554"/>
      <c r="K93" s="554"/>
      <c r="L93" s="580"/>
      <c r="M93" s="581"/>
      <c r="N93" s="1152"/>
      <c r="O93" s="1152"/>
      <c r="P93" s="2675"/>
      <c r="Q93" s="504"/>
    </row>
    <row r="94" spans="1:17" ht="14.4" thickBot="1">
      <c r="A94" s="534"/>
      <c r="B94" s="543"/>
      <c r="C94" s="560"/>
      <c r="D94" s="536"/>
      <c r="E94" s="536"/>
      <c r="F94" s="536"/>
      <c r="G94" s="536"/>
      <c r="H94" s="536"/>
      <c r="I94" s="536"/>
      <c r="J94" s="536"/>
      <c r="K94" s="536"/>
      <c r="L94" s="536"/>
      <c r="M94" s="537"/>
      <c r="N94" s="1153"/>
      <c r="O94" s="1153"/>
      <c r="P94" s="2675"/>
      <c r="Q94" s="504"/>
    </row>
    <row r="95" spans="1:17" ht="14.4" thickTop="1">
      <c r="A95" s="534"/>
      <c r="B95" s="538">
        <f>B30</f>
        <v>111</v>
      </c>
      <c r="C95" s="554"/>
      <c r="D95" s="554"/>
      <c r="E95" s="554"/>
      <c r="F95" s="554"/>
      <c r="G95" s="583"/>
      <c r="H95" s="583"/>
      <c r="I95" s="583"/>
      <c r="J95" s="583"/>
      <c r="K95" s="584"/>
      <c r="L95" s="585"/>
      <c r="M95" s="586"/>
      <c r="N95" s="1152"/>
      <c r="O95" s="1152"/>
      <c r="P95" s="2675"/>
      <c r="Q95" s="504"/>
    </row>
    <row r="96" spans="1:17" ht="14.4" thickBot="1">
      <c r="A96" s="534"/>
      <c r="B96" s="543"/>
      <c r="C96" s="560"/>
      <c r="D96" s="560"/>
      <c r="E96" s="560"/>
      <c r="F96" s="560"/>
      <c r="G96" s="536"/>
      <c r="H96" s="536"/>
      <c r="I96" s="536"/>
      <c r="J96" s="536"/>
      <c r="K96" s="536"/>
      <c r="L96" s="536"/>
      <c r="M96" s="537"/>
      <c r="N96" s="1153"/>
      <c r="O96" s="1153"/>
      <c r="P96" s="2675"/>
      <c r="Q96" s="504"/>
    </row>
    <row r="97" spans="1:17" ht="14.4" thickTop="1">
      <c r="A97" s="534"/>
      <c r="B97" s="538">
        <f>B31</f>
        <v>111</v>
      </c>
      <c r="C97" s="554"/>
      <c r="D97" s="554"/>
      <c r="E97" s="554"/>
      <c r="F97" s="554"/>
      <c r="G97" s="583"/>
      <c r="H97" s="583"/>
      <c r="I97" s="583"/>
      <c r="J97" s="583"/>
      <c r="K97" s="584"/>
      <c r="L97" s="585"/>
      <c r="M97" s="586"/>
      <c r="N97" s="1152"/>
      <c r="O97" s="1152"/>
      <c r="P97" s="2675"/>
      <c r="Q97" s="504"/>
    </row>
    <row r="98" spans="1:17" ht="14.4" thickBot="1">
      <c r="A98" s="534"/>
      <c r="B98" s="543"/>
      <c r="C98" s="560"/>
      <c r="D98" s="536"/>
      <c r="E98" s="536"/>
      <c r="F98" s="536"/>
      <c r="G98" s="536"/>
      <c r="H98" s="536"/>
      <c r="I98" s="536"/>
      <c r="J98" s="536"/>
      <c r="K98" s="536"/>
      <c r="L98" s="536"/>
      <c r="M98" s="537"/>
      <c r="N98" s="1153"/>
      <c r="O98" s="1153"/>
      <c r="P98" s="2675"/>
      <c r="Q98" s="504"/>
    </row>
    <row r="99" spans="1:17" ht="14.4" thickTop="1">
      <c r="A99" s="534"/>
      <c r="B99" s="546">
        <f>B32</f>
        <v>111</v>
      </c>
      <c r="C99" s="523"/>
      <c r="D99" s="523"/>
      <c r="E99" s="523"/>
      <c r="F99" s="523"/>
      <c r="G99" s="587"/>
      <c r="H99" s="587"/>
      <c r="I99" s="587"/>
      <c r="J99" s="587"/>
      <c r="K99" s="588"/>
      <c r="L99" s="589"/>
      <c r="M99" s="590"/>
      <c r="N99" s="1152"/>
      <c r="O99" s="1152"/>
      <c r="P99" s="2675"/>
      <c r="Q99" s="504"/>
    </row>
    <row r="100" spans="1:17" ht="14.4" thickBot="1">
      <c r="A100" s="2627"/>
      <c r="B100" s="569"/>
      <c r="C100" s="570"/>
      <c r="D100" s="570"/>
      <c r="E100" s="570"/>
      <c r="F100" s="570"/>
      <c r="G100" s="591"/>
      <c r="H100" s="591"/>
      <c r="I100" s="591"/>
      <c r="J100" s="591"/>
      <c r="K100" s="591"/>
      <c r="L100" s="591"/>
      <c r="M100" s="592"/>
      <c r="N100" s="1153"/>
      <c r="O100" s="1153"/>
      <c r="P100" s="2675"/>
      <c r="Q100" s="504"/>
    </row>
    <row r="101" spans="1:17" ht="14.4">
      <c r="A101" s="527" t="s">
        <v>2562</v>
      </c>
      <c r="B101" s="528" t="s">
        <v>2611</v>
      </c>
      <c r="C101" s="530"/>
      <c r="D101" s="530"/>
      <c r="E101" s="530"/>
      <c r="F101" s="530"/>
      <c r="G101" s="530"/>
      <c r="H101" s="530"/>
      <c r="I101" s="530"/>
      <c r="J101" s="530"/>
      <c r="K101" s="531"/>
      <c r="L101" s="532"/>
      <c r="M101" s="533"/>
      <c r="N101" s="1152"/>
      <c r="O101" s="1152"/>
      <c r="P101" s="267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5"/>
      <c r="Q102" s="504"/>
    </row>
    <row r="103" spans="1:17" ht="28.2" thickTop="1">
      <c r="A103" s="534"/>
      <c r="B103" s="538" t="s">
        <v>2612</v>
      </c>
      <c r="C103" s="578" t="str">
        <f>C104&amp;"(含)"&amp;"-"&amp;D104</f>
        <v>0(含)-4000</v>
      </c>
      <c r="D103" s="578" t="str">
        <f t="shared" ref="D103:L103" si="23">D104&amp;"(含)"&amp;"-"&amp;E104</f>
        <v>4000(含)-8000</v>
      </c>
      <c r="E103" s="578" t="str">
        <f t="shared" si="23"/>
        <v>8000(含)-12000</v>
      </c>
      <c r="F103" s="578" t="str">
        <f t="shared" si="23"/>
        <v>12000(含)-16000</v>
      </c>
      <c r="G103" s="578" t="str">
        <f t="shared" si="23"/>
        <v>16000(含)-20000</v>
      </c>
      <c r="H103" s="578" t="str">
        <f t="shared" si="23"/>
        <v>20000(含)-</v>
      </c>
      <c r="I103" s="578" t="str">
        <f t="shared" si="23"/>
        <v>(含)-</v>
      </c>
      <c r="J103" s="578" t="str">
        <f t="shared" si="23"/>
        <v>(含)-</v>
      </c>
      <c r="K103" s="578" t="str">
        <f t="shared" si="23"/>
        <v>(含)-</v>
      </c>
      <c r="L103" s="578" t="str">
        <f t="shared" si="23"/>
        <v>(含)-</v>
      </c>
      <c r="M103" s="622" t="str">
        <f>M104&amp;"(含)"&amp;"-"&amp;P104</f>
        <v>(含)-</v>
      </c>
      <c r="N103" s="1151"/>
      <c r="O103" s="1151"/>
      <c r="P103" s="2675"/>
      <c r="Q103" s="504"/>
    </row>
    <row r="104" spans="1:17" s="471" customFormat="1">
      <c r="A104" s="593"/>
      <c r="B104" s="594"/>
      <c r="C104" s="595">
        <v>0</v>
      </c>
      <c r="D104" s="595">
        <v>4000</v>
      </c>
      <c r="E104" s="595">
        <v>8000</v>
      </c>
      <c r="F104" s="595">
        <v>12000</v>
      </c>
      <c r="G104" s="595">
        <v>16000</v>
      </c>
      <c r="H104" s="595">
        <v>20000</v>
      </c>
      <c r="I104" s="595"/>
      <c r="J104" s="596"/>
      <c r="K104" s="596"/>
      <c r="L104" s="597"/>
      <c r="M104" s="598"/>
      <c r="N104" s="1154"/>
      <c r="O104" s="1154"/>
      <c r="P104" s="2676"/>
      <c r="Q104" s="559"/>
    </row>
    <row r="105" spans="1:17" s="471" customFormat="1" ht="14.4" thickBot="1">
      <c r="A105" s="553"/>
      <c r="B105" s="543"/>
      <c r="C105" s="560">
        <v>98</v>
      </c>
      <c r="D105" s="536">
        <v>99</v>
      </c>
      <c r="E105" s="536">
        <v>100</v>
      </c>
      <c r="F105" s="536">
        <v>99</v>
      </c>
      <c r="G105" s="536">
        <v>98</v>
      </c>
      <c r="H105" s="536">
        <v>97</v>
      </c>
      <c r="I105" s="536"/>
      <c r="J105" s="536"/>
      <c r="K105" s="536"/>
      <c r="L105" s="536"/>
      <c r="M105" s="537"/>
      <c r="N105" s="1153"/>
      <c r="O105" s="1153"/>
      <c r="P105" s="2676"/>
      <c r="Q105" s="559"/>
    </row>
    <row r="106" spans="1:17" ht="15" thickTop="1">
      <c r="A106" s="599"/>
      <c r="B106" s="538" t="s">
        <v>2613</v>
      </c>
      <c r="C106" s="554"/>
      <c r="D106" s="554"/>
      <c r="E106" s="583"/>
      <c r="F106" s="583"/>
      <c r="G106" s="583"/>
      <c r="H106" s="583"/>
      <c r="I106" s="583"/>
      <c r="J106" s="583"/>
      <c r="K106" s="584"/>
      <c r="L106" s="585"/>
      <c r="M106" s="586"/>
      <c r="N106" s="1152"/>
      <c r="O106" s="1152"/>
      <c r="P106" s="267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5"/>
      <c r="Q107" s="504"/>
    </row>
    <row r="108" spans="1:17" ht="15" thickTop="1">
      <c r="A108" s="599"/>
      <c r="B108" s="538" t="s">
        <v>2615</v>
      </c>
      <c r="C108" s="554"/>
      <c r="D108" s="554"/>
      <c r="E108" s="554"/>
      <c r="F108" s="583"/>
      <c r="G108" s="583"/>
      <c r="H108" s="583"/>
      <c r="I108" s="583"/>
      <c r="J108" s="583"/>
      <c r="K108" s="584"/>
      <c r="L108" s="585"/>
      <c r="M108" s="586"/>
      <c r="N108" s="1152"/>
      <c r="O108" s="1152"/>
      <c r="P108" s="267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5"/>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75"/>
      <c r="Q112" s="504"/>
    </row>
    <row r="113" spans="1:17" s="471" customFormat="1" ht="15" thickTop="1">
      <c r="A113" s="593"/>
      <c r="B113" s="538" t="s">
        <v>2699</v>
      </c>
      <c r="C113" s="2975" t="s">
        <v>3241</v>
      </c>
      <c r="D113" s="2975" t="s">
        <v>3242</v>
      </c>
      <c r="E113" s="554"/>
      <c r="F113" s="554"/>
      <c r="G113" s="554"/>
      <c r="H113" s="583"/>
      <c r="I113" s="583"/>
      <c r="J113" s="583"/>
      <c r="K113" s="584"/>
      <c r="L113" s="585"/>
      <c r="M113" s="586"/>
      <c r="N113" s="1154"/>
      <c r="O113" s="1154"/>
      <c r="P113" s="267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6"/>
      <c r="Q114" s="559"/>
    </row>
    <row r="115" spans="1:17" ht="15" thickTop="1">
      <c r="A115" s="599"/>
      <c r="B115" s="538" t="s">
        <v>2616</v>
      </c>
      <c r="C115" s="554"/>
      <c r="D115" s="554"/>
      <c r="E115" s="583"/>
      <c r="F115" s="583"/>
      <c r="G115" s="583"/>
      <c r="H115" s="583"/>
      <c r="I115" s="583"/>
      <c r="J115" s="583"/>
      <c r="K115" s="584"/>
      <c r="L115" s="585"/>
      <c r="M115" s="586"/>
      <c r="N115" s="1152"/>
      <c r="O115" s="1152"/>
      <c r="P115" s="267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5"/>
      <c r="Q116" s="504"/>
    </row>
    <row r="117" spans="1:17" ht="15" thickTop="1">
      <c r="A117" s="599"/>
      <c r="B117" s="538" t="s">
        <v>2617</v>
      </c>
      <c r="C117" s="2975" t="s">
        <v>3249</v>
      </c>
      <c r="D117" s="2975" t="s">
        <v>3250</v>
      </c>
      <c r="E117" s="2975" t="s">
        <v>3251</v>
      </c>
      <c r="F117" s="554"/>
      <c r="G117" s="554"/>
      <c r="H117" s="583"/>
      <c r="I117" s="583"/>
      <c r="J117" s="583"/>
      <c r="K117" s="584"/>
      <c r="L117" s="585"/>
      <c r="M117" s="586"/>
      <c r="N117" s="1152"/>
      <c r="O117" s="1152"/>
      <c r="P117" s="2675"/>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5"/>
      <c r="Q118" s="504"/>
    </row>
    <row r="119" spans="1:17" ht="15" thickTop="1">
      <c r="A119" s="599"/>
      <c r="B119" s="636" t="s">
        <v>2700</v>
      </c>
      <c r="C119" s="583"/>
      <c r="D119" s="583"/>
      <c r="E119" s="583"/>
      <c r="F119" s="583"/>
      <c r="G119" s="583"/>
      <c r="H119" s="583"/>
      <c r="I119" s="583"/>
      <c r="J119" s="583"/>
      <c r="K119" s="583"/>
      <c r="L119" s="2680"/>
      <c r="M119" s="2681"/>
      <c r="N119" s="1153"/>
      <c r="O119" s="1153"/>
      <c r="P119" s="268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6"/>
      <c r="Q122" s="559"/>
    </row>
    <row r="123" spans="1:17" ht="15" thickTop="1">
      <c r="A123" s="599"/>
      <c r="B123" s="538" t="s">
        <v>2619</v>
      </c>
      <c r="C123" s="2975" t="s">
        <v>3236</v>
      </c>
      <c r="D123" s="2975" t="s">
        <v>3237</v>
      </c>
      <c r="E123" s="2975" t="s">
        <v>3238</v>
      </c>
      <c r="F123" s="3024" t="s">
        <v>3240</v>
      </c>
      <c r="G123" s="583"/>
      <c r="H123" s="583"/>
      <c r="I123" s="583"/>
      <c r="J123" s="583"/>
      <c r="K123" s="584"/>
      <c r="L123" s="585"/>
      <c r="M123" s="586"/>
      <c r="N123" s="1152"/>
      <c r="O123" s="1152"/>
      <c r="P123" s="2675"/>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75"/>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6"/>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7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6"/>
      <c r="Q128" s="559"/>
    </row>
    <row r="129" spans="1:17" ht="14.4" thickTop="1">
      <c r="A129" s="599"/>
      <c r="B129" s="538">
        <f>B46</f>
        <v>111</v>
      </c>
      <c r="C129" s="554"/>
      <c r="D129" s="554"/>
      <c r="E129" s="554"/>
      <c r="F129" s="554"/>
      <c r="G129" s="583"/>
      <c r="H129" s="583"/>
      <c r="I129" s="583"/>
      <c r="J129" s="583"/>
      <c r="K129" s="584"/>
      <c r="L129" s="585"/>
      <c r="M129" s="586"/>
      <c r="N129" s="1152"/>
      <c r="O129" s="1152"/>
      <c r="P129" s="2675"/>
      <c r="Q129" s="504"/>
    </row>
    <row r="130" spans="1:17" ht="14.4" thickBot="1">
      <c r="A130" s="534"/>
      <c r="B130" s="543"/>
      <c r="C130" s="560"/>
      <c r="D130" s="560"/>
      <c r="E130" s="560"/>
      <c r="F130" s="560"/>
      <c r="G130" s="536"/>
      <c r="H130" s="536"/>
      <c r="I130" s="536"/>
      <c r="J130" s="536"/>
      <c r="K130" s="536"/>
      <c r="L130" s="536"/>
      <c r="M130" s="537"/>
      <c r="N130" s="1153"/>
      <c r="O130" s="1153"/>
      <c r="P130" s="2675"/>
      <c r="Q130" s="504"/>
    </row>
    <row r="131" spans="1:17" ht="14.4" thickTop="1">
      <c r="A131" s="599"/>
      <c r="B131" s="546">
        <f>B47</f>
        <v>111</v>
      </c>
      <c r="C131" s="523"/>
      <c r="D131" s="523"/>
      <c r="E131" s="523"/>
      <c r="F131" s="523"/>
      <c r="G131" s="587"/>
      <c r="H131" s="587"/>
      <c r="I131" s="587"/>
      <c r="J131" s="587"/>
      <c r="K131" s="523"/>
      <c r="L131" s="524"/>
      <c r="M131" s="590"/>
      <c r="N131" s="1152"/>
      <c r="O131" s="1152"/>
      <c r="P131" s="2675"/>
      <c r="Q131" s="504"/>
    </row>
    <row r="132" spans="1:17" ht="14.4" thickBot="1">
      <c r="A132" s="2627"/>
      <c r="B132" s="569"/>
      <c r="C132" s="570"/>
      <c r="D132" s="570"/>
      <c r="E132" s="570"/>
      <c r="F132" s="570"/>
      <c r="G132" s="591"/>
      <c r="H132" s="591"/>
      <c r="I132" s="591"/>
      <c r="J132" s="591"/>
      <c r="K132" s="591"/>
      <c r="L132" s="591"/>
      <c r="M132" s="592"/>
      <c r="N132" s="1153"/>
      <c r="O132" s="1153"/>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E80" sqref="E80"/>
    </sheetView>
  </sheetViews>
  <sheetFormatPr defaultRowHeight="14.4"/>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0" sqref="I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27</v>
      </c>
      <c r="D1" s="1811" t="s">
        <v>70</v>
      </c>
      <c r="E1" s="1812" t="s">
        <v>1381</v>
      </c>
      <c r="F1" s="1283">
        <f ca="1">J53</f>
        <v>45.1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81759</v>
      </c>
      <c r="C2" s="1836" t="s">
        <v>1510</v>
      </c>
      <c r="D2" s="1836"/>
      <c r="E2" s="1837"/>
      <c r="F2" s="1838"/>
      <c r="G2" s="1839"/>
      <c r="H2" s="1831"/>
      <c r="I2" s="1831"/>
      <c r="J2" s="1831"/>
      <c r="K2" s="1832"/>
      <c r="L2" s="1831"/>
      <c r="M2" s="1831"/>
    </row>
    <row r="3" spans="1:37" ht="18" customHeight="1" thickBot="1">
      <c r="A3" s="1840" t="s">
        <v>1511</v>
      </c>
      <c r="B3" s="1841">
        <f ca="1">IF(ISERROR(B2*10000/F43),0,ROUND(B2*10000/F43,0))</f>
        <v>16577</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4217</v>
      </c>
      <c r="D5" s="1813" t="s">
        <v>1396</v>
      </c>
      <c r="E5" s="1293"/>
      <c r="F5" s="1294"/>
      <c r="G5" s="1842"/>
      <c r="H5" s="344">
        <v>1</v>
      </c>
      <c r="I5" s="345" t="s">
        <v>1395</v>
      </c>
      <c r="J5" s="1292">
        <f ca="1">J6+J10+J12</f>
        <v>0</v>
      </c>
      <c r="K5" s="1813" t="s">
        <v>1396</v>
      </c>
      <c r="L5" s="1293"/>
      <c r="M5" s="1294"/>
    </row>
    <row r="6" spans="1:37" ht="18" customHeight="1">
      <c r="A6" s="1291" t="s">
        <v>1031</v>
      </c>
      <c r="B6" s="3217" t="s">
        <v>1397</v>
      </c>
      <c r="C6" s="1296">
        <f ca="1">ROUND(F6*F8*F7*(1-F9)/10000,0)</f>
        <v>4212</v>
      </c>
      <c r="D6" s="164" t="s">
        <v>3028</v>
      </c>
      <c r="E6" s="347" t="s">
        <v>1399</v>
      </c>
      <c r="F6" s="348">
        <f ca="1">INDIRECT("'数据-取费表'!u"&amp;$G$1)</f>
        <v>2.6</v>
      </c>
      <c r="G6" s="1842"/>
      <c r="H6" s="1291" t="s">
        <v>1031</v>
      </c>
      <c r="I6" s="3217" t="s">
        <v>1397</v>
      </c>
      <c r="J6" s="346">
        <f ca="1">ROUND(M6*M8*M7*(1-M9)/10000,0)</f>
        <v>0</v>
      </c>
      <c r="K6" s="164" t="s">
        <v>3027</v>
      </c>
      <c r="L6" s="347" t="s">
        <v>1399</v>
      </c>
      <c r="M6" s="348">
        <f ca="1">INDIRECT("'数据-取费表'!z"&amp;$G$1)</f>
        <v>0</v>
      </c>
    </row>
    <row r="7" spans="1:37" ht="18" customHeight="1">
      <c r="A7" s="1295"/>
      <c r="B7" s="3218"/>
      <c r="C7" s="1297"/>
      <c r="D7" s="352"/>
      <c r="E7" s="2964" t="s">
        <v>1400</v>
      </c>
      <c r="F7" s="348">
        <f ca="1">IF(INDIRECT("'数据-取费表'!ah"&amp;$G$1)="",INDIRECT("'数据-取费表'!k"&amp;$G$1),INDIRECT("'数据-取费表'!ah"&amp;$G$1))</f>
        <v>49320.17</v>
      </c>
      <c r="G7" s="1842"/>
      <c r="H7" s="349"/>
      <c r="I7" s="3218"/>
      <c r="J7" s="351"/>
      <c r="K7" s="352"/>
      <c r="L7" s="347" t="s">
        <v>1400</v>
      </c>
      <c r="M7" s="348">
        <f ca="1">F7</f>
        <v>49320.17</v>
      </c>
    </row>
    <row r="8" spans="1:37" ht="18" customHeight="1">
      <c r="A8" s="349"/>
      <c r="B8" s="3218"/>
      <c r="C8" s="351"/>
      <c r="D8" s="352"/>
      <c r="E8" s="347" t="s">
        <v>1401</v>
      </c>
      <c r="F8" s="348">
        <f ca="1">INDIRECT("'数据-取费表'!ai"&amp;$G$1)</f>
        <v>365</v>
      </c>
      <c r="G8" s="1842"/>
      <c r="H8" s="349"/>
      <c r="I8" s="3218"/>
      <c r="J8" s="351"/>
      <c r="K8" s="352"/>
      <c r="L8" s="347" t="s">
        <v>1401</v>
      </c>
      <c r="M8" s="348">
        <f ca="1">INDIRECT("'数据-取费表'!ai"&amp;$G$1)</f>
        <v>365</v>
      </c>
    </row>
    <row r="9" spans="1:37" ht="18" customHeight="1">
      <c r="A9" s="349"/>
      <c r="B9" s="3219"/>
      <c r="C9" s="351"/>
      <c r="D9" s="352"/>
      <c r="E9" s="347" t="s">
        <v>1402</v>
      </c>
      <c r="F9" s="357">
        <f ca="1">INDIRECT("'数据-取费表'!w"&amp;$G$1)</f>
        <v>0.1</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5</v>
      </c>
      <c r="D10" s="1815" t="s">
        <v>3035</v>
      </c>
      <c r="E10" s="358" t="s">
        <v>1404</v>
      </c>
      <c r="F10" s="1366" t="s">
        <v>3109</v>
      </c>
      <c r="G10" s="1842"/>
      <c r="H10" s="1291" t="s">
        <v>1035</v>
      </c>
      <c r="I10" s="1814" t="s">
        <v>1403</v>
      </c>
      <c r="J10" s="346">
        <f ca="1">ROUND(IF(M10="押一",J6/12*M11,IF(M10="押二",J6/12*2*M11,IF(M10="押三",J6/12*3*M11,J11*M11))),0)</f>
        <v>0</v>
      </c>
      <c r="K10" s="1815" t="s">
        <v>3035</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21146</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14872</v>
      </c>
      <c r="D14" s="2958" t="s">
        <v>1412</v>
      </c>
      <c r="E14" s="2956"/>
      <c r="F14" s="364"/>
      <c r="G14" s="1842"/>
      <c r="H14" s="1201" t="s">
        <v>1031</v>
      </c>
      <c r="I14" s="347" t="s">
        <v>1413</v>
      </c>
      <c r="J14" s="24">
        <f ca="1">C29</f>
        <v>22259</v>
      </c>
      <c r="K14" s="2963"/>
      <c r="L14" s="979"/>
      <c r="M14" s="980"/>
    </row>
    <row r="15" spans="1:37" s="1849" customFormat="1" ht="18" customHeight="1" thickBot="1">
      <c r="A15" s="1201" t="s">
        <v>1032</v>
      </c>
      <c r="B15" s="347" t="s">
        <v>1414</v>
      </c>
      <c r="C15" s="24">
        <f ca="1">ROUND(C14*F15,0)</f>
        <v>744</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523</v>
      </c>
      <c r="K16" s="1337" t="s">
        <v>1419</v>
      </c>
      <c r="L16" s="2959"/>
      <c r="M16" s="1294"/>
    </row>
    <row r="17" spans="1:37" s="1849" customFormat="1" ht="18" customHeight="1">
      <c r="A17" s="1201" t="s">
        <v>1384</v>
      </c>
      <c r="B17" s="347" t="s">
        <v>1420</v>
      </c>
      <c r="C17" s="24">
        <f ca="1">ROUND(F17*(F43+INDIRECT("'数据-取费表'!S"&amp;$G$1))/10000,0)</f>
        <v>992</v>
      </c>
      <c r="D17" s="347" t="s">
        <v>1421</v>
      </c>
      <c r="E17" s="347" t="s">
        <v>1422</v>
      </c>
      <c r="F17" s="26">
        <f>'数据-取费表'!B35</f>
        <v>200</v>
      </c>
      <c r="G17" s="1845"/>
      <c r="H17" s="1201" t="s">
        <v>1031</v>
      </c>
      <c r="I17" s="347" t="s">
        <v>1423</v>
      </c>
      <c r="J17" s="24">
        <f ca="1">ROUND(IF(项目基本情况!B11="自然人",J6*M17/(1+'数据-取费表'!C42),J18+J19+J20),1)</f>
        <v>189</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223</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16831</v>
      </c>
      <c r="D19" s="140" t="s">
        <v>1430</v>
      </c>
      <c r="E19" s="2962"/>
      <c r="F19" s="26"/>
      <c r="G19" s="1842"/>
      <c r="H19" s="1201" t="s">
        <v>1032</v>
      </c>
      <c r="I19" s="347" t="s">
        <v>1431</v>
      </c>
      <c r="J19" s="24">
        <f ca="1">IF(K19="按租金收入计税",ROUND(J6*M19/(1+'数据-取费表'!C42),2),ROUND(C29*M19*0.7,2))</f>
        <v>186.98</v>
      </c>
      <c r="K19" s="1819" t="s">
        <v>1432</v>
      </c>
      <c r="L19" s="347" t="s">
        <v>1416</v>
      </c>
      <c r="M19" s="367">
        <f>IF(K19="按租金收入计税",'数据-取费表'!B51,'数据-取费表'!B50)</f>
        <v>1.2E-2</v>
      </c>
    </row>
    <row r="20" spans="1:37" s="1849" customFormat="1" ht="18" customHeight="1">
      <c r="A20" s="1201" t="s">
        <v>1035</v>
      </c>
      <c r="B20" s="347" t="s">
        <v>1433</v>
      </c>
      <c r="C20" s="24">
        <f ca="1">ROUND(C19*F20,0)</f>
        <v>337</v>
      </c>
      <c r="D20" s="369" t="s">
        <v>1434</v>
      </c>
      <c r="E20" s="347" t="s">
        <v>1416</v>
      </c>
      <c r="F20" s="367">
        <f>'数据-取费表'!B37</f>
        <v>0.02</v>
      </c>
      <c r="G20" s="1845"/>
      <c r="H20" s="1201" t="s">
        <v>1383</v>
      </c>
      <c r="I20" s="164" t="s">
        <v>1435</v>
      </c>
      <c r="J20" s="25">
        <f ca="1">ROUND(M20*M21/10000,2)</f>
        <v>2.02</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13475.41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333.9</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815</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-523</v>
      </c>
      <c r="K25" s="1345" t="s">
        <v>1458</v>
      </c>
      <c r="L25" s="1346"/>
      <c r="M25" s="1347"/>
    </row>
    <row r="26" spans="1:37">
      <c r="A26" s="1201" t="s">
        <v>1030</v>
      </c>
      <c r="B26" s="347" t="s">
        <v>1459</v>
      </c>
      <c r="C26" s="24">
        <f ca="1">ROUND((C19+C20)*F26,0)</f>
        <v>2575</v>
      </c>
      <c r="D26" s="369" t="s">
        <v>1460</v>
      </c>
      <c r="E26" s="358" t="s">
        <v>1461</v>
      </c>
      <c r="F26" s="357">
        <f ca="1">INDIRECT("'数据-取费表'!q"&amp;$G$1)</f>
        <v>0.15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22259</v>
      </c>
      <c r="D29" s="1342"/>
      <c r="E29" s="1340"/>
      <c r="F29" s="1343"/>
      <c r="G29" s="1845"/>
      <c r="H29" s="380" t="s">
        <v>1029</v>
      </c>
      <c r="I29" s="381" t="s">
        <v>1473</v>
      </c>
      <c r="J29" s="382">
        <f ca="1">ROUND(J26/(1+F40)^F41,0)</f>
        <v>0</v>
      </c>
      <c r="K29" s="383" t="s">
        <v>1474</v>
      </c>
      <c r="L29" s="384"/>
      <c r="M29" s="385">
        <f ca="1">INDIRECT("'数据-取费表'!k"&amp;$G$1)</f>
        <v>49320.17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1133</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704</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220.63</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481.37</v>
      </c>
      <c r="D33" s="1819" t="s">
        <v>3110</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2.02</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13475.41</v>
      </c>
      <c r="G35" s="1842"/>
      <c r="H35" s="745"/>
      <c r="I35" s="1851"/>
      <c r="J35" s="1852"/>
      <c r="K35" s="1853"/>
      <c r="L35" s="1850"/>
      <c r="M35" s="1850"/>
    </row>
    <row r="36" spans="1:18" ht="18" customHeight="1">
      <c r="A36" s="1352" t="s">
        <v>1035</v>
      </c>
      <c r="B36" s="347" t="s">
        <v>1443</v>
      </c>
      <c r="C36" s="24">
        <f ca="1">ROUND(C29*F36,1)</f>
        <v>333.9</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31.7</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63.3</v>
      </c>
      <c r="D38" s="1342" t="s">
        <v>1453</v>
      </c>
      <c r="E38" s="1340" t="s">
        <v>1449</v>
      </c>
      <c r="F38" s="1336">
        <f ca="1">INDIRECT("'数据-取费表'!Am"&amp;$G$1)</f>
        <v>1.4999999999999999E-2</v>
      </c>
      <c r="G38" s="1842"/>
      <c r="H38" s="1850"/>
      <c r="I38" s="1851"/>
      <c r="J38" s="1852"/>
      <c r="K38" s="1856"/>
      <c r="L38" s="1850"/>
      <c r="M38" s="1850"/>
    </row>
    <row r="39" spans="1:18" ht="24.6" customHeight="1" thickTop="1">
      <c r="A39" s="1329" t="s">
        <v>1027</v>
      </c>
      <c r="B39" s="1344" t="s">
        <v>1457</v>
      </c>
      <c r="C39" s="355">
        <f ca="1">C5-C30</f>
        <v>3084</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81534</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16532</v>
      </c>
      <c r="D43" s="383" t="s">
        <v>1482</v>
      </c>
      <c r="E43" s="384" t="s">
        <v>1483</v>
      </c>
      <c r="F43" s="385">
        <f ca="1">INDIRECT("'数据-取费表'!k"&amp;$G$1)</f>
        <v>49320.17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-118571</v>
      </c>
      <c r="D46" s="1863" t="str">
        <f>C2</f>
        <v>万元</v>
      </c>
      <c r="E46" s="1857"/>
      <c r="F46" s="1857"/>
      <c r="I46" s="1864" t="s">
        <v>1515</v>
      </c>
      <c r="J46" s="1865"/>
      <c r="K46" s="1866"/>
      <c r="L46" s="1867">
        <f ca="1">IF(M47="住宅",0,IF(L48&gt;J51,L60,J60))</f>
        <v>225</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3111</v>
      </c>
      <c r="K47" s="1873" t="s">
        <v>1521</v>
      </c>
      <c r="L47" s="1874">
        <f ca="1">INDIRECT("'数据-取费表'!d"&amp;$G$1)</f>
        <v>50</v>
      </c>
      <c r="M47" s="1829" t="str">
        <f>IF(ISNUMBER(FIND("住宅",C1)),"住宅","非住宅")</f>
        <v>非住宅</v>
      </c>
      <c r="O47" s="1875" t="s">
        <v>1036</v>
      </c>
      <c r="P47" s="1876" t="s">
        <v>1522</v>
      </c>
      <c r="Q47" s="1877">
        <f ca="1">C40+J29</f>
        <v>81534</v>
      </c>
      <c r="R47" s="1877" t="s">
        <v>1523</v>
      </c>
    </row>
    <row r="48" spans="1:18" s="1833" customFormat="1" ht="40.200000000000003" thickBot="1">
      <c r="A48" s="1360" t="s">
        <v>1131</v>
      </c>
      <c r="B48" s="345" t="s">
        <v>1395</v>
      </c>
      <c r="C48" s="2961">
        <f ca="1">C49+C53+C55</f>
        <v>0</v>
      </c>
      <c r="D48" s="1362"/>
      <c r="E48" s="1363"/>
      <c r="F48" s="1181"/>
      <c r="G48" s="792"/>
      <c r="H48" s="793"/>
      <c r="I48" s="1878" t="s">
        <v>1524</v>
      </c>
      <c r="J48" s="1879" t="s">
        <v>3112</v>
      </c>
      <c r="K48" s="1880" t="s">
        <v>1525</v>
      </c>
      <c r="L48" s="1881">
        <f ca="1">INDIRECT("'数据-取费表'!f"&amp;$G$1)</f>
        <v>45.1</v>
      </c>
      <c r="O48" s="1875" t="s">
        <v>1037</v>
      </c>
      <c r="P48" s="1876" t="s">
        <v>1526</v>
      </c>
      <c r="Q48" s="1877">
        <f ca="1">J60</f>
        <v>225</v>
      </c>
      <c r="R48" s="1877" t="s">
        <v>1527</v>
      </c>
    </row>
    <row r="49" spans="1:18" s="1833" customFormat="1" ht="13.8" thickBot="1">
      <c r="A49" s="1194" t="s">
        <v>1132</v>
      </c>
      <c r="B49" s="1820" t="s">
        <v>1484</v>
      </c>
      <c r="C49" s="1364">
        <f ca="1">ROUND(F49*F51*F50*(1-F52)/10000,0)</f>
        <v>0</v>
      </c>
      <c r="D49" s="1276" t="s">
        <v>3027</v>
      </c>
      <c r="E49" s="1821" t="s">
        <v>1485</v>
      </c>
      <c r="F49" s="1281"/>
      <c r="G49" s="1882"/>
      <c r="H49" s="793"/>
      <c r="I49" s="1878" t="s">
        <v>1528</v>
      </c>
      <c r="J49" s="1883">
        <v>2017</v>
      </c>
      <c r="K49" s="1880" t="s">
        <v>1529</v>
      </c>
      <c r="L49" s="1884"/>
      <c r="O49" s="1885" t="s">
        <v>1038</v>
      </c>
      <c r="P49" s="1876" t="s">
        <v>1530</v>
      </c>
      <c r="Q49" s="1877">
        <f ca="1">C29</f>
        <v>22259</v>
      </c>
      <c r="R49" s="1877" t="s">
        <v>1523</v>
      </c>
    </row>
    <row r="50" spans="1:18" s="1833" customFormat="1" ht="13.8" thickBot="1">
      <c r="A50" s="1195"/>
      <c r="B50" s="1198"/>
      <c r="C50" s="1368"/>
      <c r="D50" s="1172"/>
      <c r="E50" s="1277" t="s">
        <v>1400</v>
      </c>
      <c r="F50" s="1278">
        <f ca="1">F7</f>
        <v>49320.17</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25287</v>
      </c>
      <c r="M51" s="1893"/>
      <c r="O51" s="1885" t="s">
        <v>1040</v>
      </c>
      <c r="P51" s="1876" t="s">
        <v>1536</v>
      </c>
      <c r="Q51" s="1888">
        <f>J52</f>
        <v>8.5000000000000006E-2</v>
      </c>
      <c r="R51" s="1877"/>
    </row>
    <row r="52" spans="1:18" s="1833" customFormat="1" ht="13.8"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36.6" thickBot="1">
      <c r="A53" s="1405" t="s">
        <v>1133</v>
      </c>
      <c r="B53" s="1822" t="s">
        <v>1403</v>
      </c>
      <c r="C53" s="361">
        <f ca="1">ROUND(IF(F53="押一",C49/12*F11,IF(F53="押二",C49/12*2*F11,IF(F53="押三",C49/12*3*F11,C54*F11))),0)</f>
        <v>0</v>
      </c>
      <c r="D53" s="1815" t="s">
        <v>3035</v>
      </c>
      <c r="E53" s="358" t="s">
        <v>1404</v>
      </c>
      <c r="F53" s="1366"/>
      <c r="I53" s="1896" t="s">
        <v>1541</v>
      </c>
      <c r="J53" s="2940">
        <f ca="1">IF(M47="住宅",IF(D1="——",MAX(J51,L48),MAX(J51,L48-'数据-取费表'!B24)),IF(D1="——",MIN(J51,L48),MIN(J51,L48-'数据-取费表'!B24)))</f>
        <v>45.1</v>
      </c>
      <c r="K53" s="3220" t="s">
        <v>1542</v>
      </c>
      <c r="L53" s="3221"/>
      <c r="O53" s="1875" t="s">
        <v>1042</v>
      </c>
      <c r="P53" s="1876" t="s">
        <v>1543</v>
      </c>
      <c r="Q53" s="1877">
        <f ca="1">Q47+Q48</f>
        <v>81759</v>
      </c>
      <c r="R53" s="1877" t="s">
        <v>1043</v>
      </c>
    </row>
    <row r="54" spans="1:18" s="1833" customFormat="1" ht="24.6"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21146</v>
      </c>
      <c r="D56" s="1904"/>
      <c r="E56" s="1905"/>
      <c r="F56" s="1897"/>
      <c r="I56" s="1906" t="s">
        <v>1548</v>
      </c>
      <c r="J56" s="1907" t="s">
        <v>3113</v>
      </c>
      <c r="K56" s="1878" t="s">
        <v>1549</v>
      </c>
      <c r="L56" s="1881" t="str">
        <f ca="1">IF(L48&lt;J51,"——",L48-J53)</f>
        <v>——</v>
      </c>
      <c r="O56" s="1875" t="s">
        <v>1036</v>
      </c>
      <c r="P56" s="1876" t="s">
        <v>1522</v>
      </c>
      <c r="Q56" s="1877">
        <f ca="1">C40+J29</f>
        <v>81534</v>
      </c>
      <c r="R56" s="1877" t="s">
        <v>1523</v>
      </c>
    </row>
    <row r="57" spans="1:18" s="1833" customFormat="1" ht="24.6" thickBot="1">
      <c r="A57" s="1908"/>
      <c r="B57" s="1169" t="s">
        <v>1472</v>
      </c>
      <c r="C57" s="282">
        <f ca="1">C29</f>
        <v>22259</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2237</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1871.8</v>
      </c>
      <c r="D59" s="1182" t="s">
        <v>1424</v>
      </c>
      <c r="E59" s="1183" t="s">
        <v>1425</v>
      </c>
      <c r="F59" s="368" t="str">
        <f ca="1">IF(项目基本情况!B11="企业","",IF(INDIRECT("'数据-取费表'!c"&amp;$G$1)="住宅",5%,IF(F49*F50*F51/12/(1+'数据-取费表'!C42)&gt;20000,12%,7%)))</f>
        <v/>
      </c>
      <c r="I59" s="1912" t="s">
        <v>1557</v>
      </c>
      <c r="J59" s="1913">
        <f ca="1">IF(OR(M47="住宅",J51&lt;L48,J56="是"),"——",ROUND(C29*J58,0))</f>
        <v>8904</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225</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1869.76</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2.02</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81534</v>
      </c>
      <c r="R62" s="1877" t="s">
        <v>1043</v>
      </c>
    </row>
    <row r="63" spans="1:18" s="1833" customFormat="1" ht="13.8" thickBot="1">
      <c r="A63" s="372"/>
      <c r="B63" s="1175"/>
      <c r="C63" s="29"/>
      <c r="D63" s="1185"/>
      <c r="E63" s="1169" t="s">
        <v>1493</v>
      </c>
      <c r="F63" s="348">
        <f t="shared" ca="1" si="0"/>
        <v>13475.41</v>
      </c>
      <c r="I63" s="1919" t="s">
        <v>1570</v>
      </c>
      <c r="J63" s="1920">
        <v>70</v>
      </c>
      <c r="K63" s="1920">
        <v>50</v>
      </c>
      <c r="L63" s="1920">
        <v>80</v>
      </c>
      <c r="M63" s="1922">
        <v>0.02</v>
      </c>
      <c r="O63" s="1860" t="s">
        <v>1571</v>
      </c>
      <c r="P63" s="1830"/>
      <c r="Q63" s="1830"/>
      <c r="R63" s="1830"/>
    </row>
    <row r="64" spans="1:18" s="1833" customFormat="1" ht="13.8" thickBot="1">
      <c r="A64" s="1201" t="s">
        <v>1035</v>
      </c>
      <c r="B64" s="1169" t="s">
        <v>1495</v>
      </c>
      <c r="C64" s="24">
        <f ca="1">ROUND(C57*F64,1)</f>
        <v>333.9</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31.7</v>
      </c>
      <c r="D65" s="1183" t="s">
        <v>1448</v>
      </c>
      <c r="E65" s="1169" t="s">
        <v>1449</v>
      </c>
      <c r="F65" s="376">
        <f t="shared" ca="1" si="0"/>
        <v>1.5E-3</v>
      </c>
      <c r="I65" s="1919" t="s">
        <v>1573</v>
      </c>
      <c r="J65" s="1920">
        <v>40</v>
      </c>
      <c r="K65" s="1920">
        <v>30</v>
      </c>
      <c r="L65" s="1920">
        <v>50</v>
      </c>
      <c r="M65" s="1922">
        <v>0.02</v>
      </c>
      <c r="O65" s="1875" t="s">
        <v>1036</v>
      </c>
      <c r="P65" s="1876" t="s">
        <v>1522</v>
      </c>
      <c r="Q65" s="1877">
        <f ca="1">C40+J29</f>
        <v>81534</v>
      </c>
      <c r="R65" s="1877" t="s">
        <v>1523</v>
      </c>
    </row>
    <row r="66" spans="1:18" s="1833" customFormat="1" ht="16.2" thickBot="1">
      <c r="A66" s="1201" t="s">
        <v>1498</v>
      </c>
      <c r="B66" s="1169" t="s">
        <v>1433</v>
      </c>
      <c r="C66" s="24">
        <f ca="1">ROUND(C48*F66,1)</f>
        <v>0</v>
      </c>
      <c r="D66" s="1183" t="s">
        <v>1453</v>
      </c>
      <c r="E66" s="1169" t="s">
        <v>1416</v>
      </c>
      <c r="F66" s="357">
        <f t="shared" ca="1" si="0"/>
        <v>1.4999999999999999E-2</v>
      </c>
      <c r="O66" s="1875" t="s">
        <v>1037</v>
      </c>
      <c r="P66" s="1876" t="s">
        <v>1552</v>
      </c>
      <c r="Q66" s="1877">
        <f ca="1">L60</f>
        <v>0</v>
      </c>
      <c r="R66" s="1877" t="s">
        <v>1575</v>
      </c>
    </row>
    <row r="67" spans="1:18" s="1833" customFormat="1" ht="24.6" thickBot="1">
      <c r="A67" s="1176" t="s">
        <v>1027</v>
      </c>
      <c r="B67" s="1186" t="s">
        <v>1457</v>
      </c>
      <c r="C67" s="361">
        <f ca="1">C48-C58</f>
        <v>-2237</v>
      </c>
      <c r="D67" s="1182" t="s">
        <v>1458</v>
      </c>
      <c r="E67" s="1187"/>
      <c r="F67" s="1188"/>
      <c r="O67" s="1885" t="s">
        <v>1038</v>
      </c>
      <c r="P67" s="1876" t="s">
        <v>1556</v>
      </c>
      <c r="Q67" s="1923">
        <f ca="1">L51</f>
        <v>25287</v>
      </c>
      <c r="R67" s="1877" t="s">
        <v>1576</v>
      </c>
    </row>
    <row r="68" spans="1:18" s="1833" customFormat="1" ht="16.2" thickBot="1">
      <c r="A68" s="1166" t="s">
        <v>1028</v>
      </c>
      <c r="B68" s="1167" t="s">
        <v>1479</v>
      </c>
      <c r="C68" s="346">
        <f ca="1">ROUND(C67*(1-((1+F70)/(1+F68))^F69)/(F68-F70),0)</f>
        <v>-37037</v>
      </c>
      <c r="D68" s="1184" t="s">
        <v>1463</v>
      </c>
      <c r="E68" s="1169" t="s">
        <v>1464</v>
      </c>
      <c r="F68" s="357">
        <f ca="1">F40</f>
        <v>5.5E-2</v>
      </c>
      <c r="O68" s="1885" t="s">
        <v>1039</v>
      </c>
      <c r="P68" s="1924" t="s">
        <v>1577</v>
      </c>
      <c r="Q68" s="1877">
        <f ca="1">ROUND(Q69-Q70*Q71,0)</f>
        <v>1392</v>
      </c>
      <c r="R68" s="1877" t="s">
        <v>1047</v>
      </c>
    </row>
    <row r="69" spans="1:18" s="1833" customFormat="1" ht="13.8" thickBot="1">
      <c r="A69" s="1170"/>
      <c r="B69" s="1171"/>
      <c r="C69" s="351"/>
      <c r="D69" s="1189" t="s">
        <v>1467</v>
      </c>
      <c r="E69" s="1169" t="s">
        <v>1468</v>
      </c>
      <c r="F69" s="379">
        <f ca="1">F41</f>
        <v>45.1</v>
      </c>
      <c r="O69" s="1885" t="s">
        <v>1044</v>
      </c>
      <c r="P69" s="1924" t="s">
        <v>1578</v>
      </c>
      <c r="Q69" s="1877">
        <f ca="1">C39</f>
        <v>3084</v>
      </c>
      <c r="R69" s="1877" t="s">
        <v>1523</v>
      </c>
    </row>
    <row r="70" spans="1:18" s="1833" customFormat="1" ht="13.8" thickBot="1">
      <c r="A70" s="1173"/>
      <c r="B70" s="1174"/>
      <c r="C70" s="355"/>
      <c r="D70" s="1185"/>
      <c r="E70" s="1169" t="s">
        <v>1471</v>
      </c>
      <c r="F70" s="1275"/>
      <c r="O70" s="1885" t="s">
        <v>1045</v>
      </c>
      <c r="P70" s="1924" t="s">
        <v>1579</v>
      </c>
      <c r="Q70" s="1877">
        <f ca="1">C13</f>
        <v>21146</v>
      </c>
      <c r="R70" s="1877" t="s">
        <v>1523</v>
      </c>
    </row>
    <row r="71" spans="1:18" s="1833" customFormat="1" ht="13.8" thickBot="1">
      <c r="A71" s="1190" t="s">
        <v>1029</v>
      </c>
      <c r="B71" s="1191" t="s">
        <v>1481</v>
      </c>
      <c r="C71" s="382">
        <f ca="1">ROUND(C68*10000/F71,0)</f>
        <v>-7510</v>
      </c>
      <c r="D71" s="1192" t="s">
        <v>1482</v>
      </c>
      <c r="E71" s="1193" t="s">
        <v>1483</v>
      </c>
      <c r="F71" s="385">
        <f ca="1">F43</f>
        <v>49320.17</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1692</v>
      </c>
      <c r="D75" s="1833"/>
      <c r="E75" s="1833"/>
      <c r="F75" s="1833"/>
      <c r="K75" s="1859"/>
      <c r="L75" s="1833"/>
      <c r="O75" s="1875" t="s">
        <v>1042</v>
      </c>
      <c r="P75" s="1876" t="s">
        <v>1543</v>
      </c>
      <c r="Q75" s="1877">
        <f ca="1">Q65+Q66</f>
        <v>81534</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0.45099999999999996</v>
      </c>
    </row>
    <row r="80" spans="1:18">
      <c r="B80" s="386" t="s">
        <v>1505</v>
      </c>
      <c r="C80" s="318">
        <f ca="1">ROUND(C75/C39,3)</f>
        <v>0.54900000000000004</v>
      </c>
    </row>
    <row r="81" spans="2:3">
      <c r="B81" s="314" t="s">
        <v>1506</v>
      </c>
      <c r="C81" s="282"/>
    </row>
    <row r="82" spans="2:3">
      <c r="B82" s="317" t="s">
        <v>1507</v>
      </c>
      <c r="C82" s="319">
        <f ca="1">1-C83</f>
        <v>0.74099999999999999</v>
      </c>
    </row>
    <row r="83" spans="2:3">
      <c r="B83" s="317" t="s">
        <v>1508</v>
      </c>
      <c r="C83" s="318">
        <f ca="1">ROUND(C13/C40,3)</f>
        <v>0.25900000000000001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92" sqref="N92"/>
    </sheetView>
  </sheetViews>
  <sheetFormatPr defaultRowHeight="14.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3" sqref="H23"/>
    </sheetView>
  </sheetViews>
  <sheetFormatPr defaultColWidth="12.6640625" defaultRowHeight="21.75" customHeight="1"/>
  <cols>
    <col min="1" max="2" width="12.6640625" style="2413"/>
    <col min="3" max="4" width="12.6640625" style="2413" customWidth="1"/>
    <col min="5" max="9" width="12.6640625" style="2413"/>
    <col min="10" max="11" width="12.6640625" style="795" customWidth="1"/>
    <col min="12" max="12" width="12.6640625" style="795"/>
    <col min="13" max="13" width="14.109375" style="795" bestFit="1" customWidth="1"/>
    <col min="14" max="26" width="12.6640625" style="795"/>
    <col min="27" max="35" width="12.6640625" style="2412"/>
    <col min="36" max="16384" width="12.6640625" style="2413"/>
  </cols>
  <sheetData>
    <row r="1" spans="1:12" ht="21.75" customHeight="1" thickBot="1">
      <c r="A1" s="2215" t="s">
        <v>2116</v>
      </c>
      <c r="B1" s="2407"/>
      <c r="C1" s="2408" t="s">
        <v>1372</v>
      </c>
      <c r="D1" s="2407"/>
      <c r="E1" s="2407"/>
      <c r="F1" s="2409" t="s">
        <v>2117</v>
      </c>
      <c r="G1" s="2061" t="s">
        <v>3115</v>
      </c>
      <c r="H1" s="2410" t="str">
        <f>IF(G1="现房","——","估价对象范围")</f>
        <v>——</v>
      </c>
      <c r="I1" s="2411"/>
    </row>
    <row r="2" spans="1:12" ht="21.75" customHeight="1" thickBot="1">
      <c r="A2" s="3152" t="str">
        <f>项目基本情况!S2</f>
        <v>北京市大兴区隆盛大街6号院1号楼-8幢等办公、商业、车库、地下仓储用房房地产</v>
      </c>
      <c r="B2" s="3153"/>
      <c r="C2" s="3153"/>
      <c r="D2" s="3153"/>
      <c r="E2" s="3153"/>
      <c r="F2" s="3153"/>
      <c r="G2" s="3153"/>
      <c r="H2" s="3153"/>
      <c r="I2" s="3154"/>
    </row>
    <row r="3" spans="1:12" ht="13.2">
      <c r="A3" s="3156" t="s">
        <v>2118</v>
      </c>
      <c r="B3" s="3157"/>
      <c r="C3" s="3157"/>
      <c r="D3" s="3157"/>
      <c r="E3" s="3157"/>
      <c r="F3" s="3157"/>
      <c r="G3" s="3157"/>
      <c r="H3" s="3157"/>
      <c r="I3" s="3157"/>
    </row>
    <row r="4" spans="1:12" ht="14.4">
      <c r="A4" s="2414" t="s">
        <v>2119</v>
      </c>
      <c r="B4" s="2415" t="s">
        <v>2120</v>
      </c>
      <c r="C4" s="2416" t="s">
        <v>3233</v>
      </c>
      <c r="D4" s="2416" t="s">
        <v>3102</v>
      </c>
      <c r="E4" s="3149" t="s">
        <v>2121</v>
      </c>
      <c r="F4" s="3150"/>
      <c r="G4" s="3150"/>
      <c r="H4" s="3150"/>
      <c r="I4" s="3158"/>
      <c r="K4" s="241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32" t="s">
        <v>2122</v>
      </c>
      <c r="B5" s="3070">
        <v>25</v>
      </c>
      <c r="C5" s="3135"/>
      <c r="D5" s="3155"/>
      <c r="E5" s="140" t="s">
        <v>2123</v>
      </c>
      <c r="F5" s="2418"/>
      <c r="G5" s="2418"/>
      <c r="H5" s="2418"/>
      <c r="I5" s="1822"/>
    </row>
    <row r="6" spans="1:12" ht="13.2">
      <c r="A6" s="3132"/>
      <c r="B6" s="3070"/>
      <c r="C6" s="3136"/>
      <c r="D6" s="3155"/>
      <c r="E6" s="140" t="s">
        <v>2124</v>
      </c>
      <c r="F6" s="2418"/>
      <c r="G6" s="2418"/>
      <c r="H6" s="2418"/>
      <c r="I6" s="1822"/>
    </row>
    <row r="7" spans="1:12" ht="13.2">
      <c r="A7" s="3132"/>
      <c r="B7" s="3070"/>
      <c r="C7" s="3137"/>
      <c r="D7" s="3155"/>
      <c r="E7" s="140" t="s">
        <v>2125</v>
      </c>
      <c r="F7" s="2418"/>
      <c r="G7" s="2418"/>
      <c r="H7" s="2418"/>
      <c r="I7" s="1822"/>
    </row>
    <row r="8" spans="1:12" ht="13.2">
      <c r="A8" s="3132" t="s">
        <v>2126</v>
      </c>
      <c r="B8" s="3070">
        <v>15</v>
      </c>
      <c r="C8" s="3135"/>
      <c r="D8" s="3155"/>
      <c r="E8" s="140" t="s">
        <v>2127</v>
      </c>
      <c r="F8" s="2418"/>
      <c r="G8" s="2418"/>
      <c r="H8" s="2418"/>
      <c r="I8" s="1822"/>
    </row>
    <row r="9" spans="1:12" ht="13.2">
      <c r="A9" s="3132"/>
      <c r="B9" s="3070"/>
      <c r="C9" s="3137"/>
      <c r="D9" s="3155"/>
      <c r="E9" s="140" t="s">
        <v>2128</v>
      </c>
      <c r="F9" s="2418"/>
      <c r="G9" s="2418"/>
      <c r="H9" s="2418"/>
      <c r="I9" s="1822"/>
    </row>
    <row r="10" spans="1:12" ht="13.2">
      <c r="A10" s="3132" t="s">
        <v>2129</v>
      </c>
      <c r="B10" s="3070">
        <v>15</v>
      </c>
      <c r="C10" s="3135"/>
      <c r="D10" s="3155"/>
      <c r="E10" s="140" t="s">
        <v>2130</v>
      </c>
      <c r="F10" s="2418"/>
      <c r="G10" s="2418"/>
      <c r="H10" s="2418"/>
      <c r="I10" s="1822"/>
    </row>
    <row r="11" spans="1:12" ht="13.2">
      <c r="A11" s="3132"/>
      <c r="B11" s="3070"/>
      <c r="C11" s="3137"/>
      <c r="D11" s="3155"/>
      <c r="E11" s="140" t="s">
        <v>2131</v>
      </c>
      <c r="F11" s="2418"/>
      <c r="G11" s="2418"/>
      <c r="H11" s="2418"/>
      <c r="I11" s="1822"/>
    </row>
    <row r="12" spans="1:12" ht="13.2">
      <c r="A12" s="3132" t="s">
        <v>2132</v>
      </c>
      <c r="B12" s="3070">
        <v>15</v>
      </c>
      <c r="C12" s="3135"/>
      <c r="D12" s="3155"/>
      <c r="E12" s="140" t="s">
        <v>2133</v>
      </c>
      <c r="F12" s="2418"/>
      <c r="G12" s="2418"/>
      <c r="H12" s="2418"/>
      <c r="I12" s="1822"/>
    </row>
    <row r="13" spans="1:12" ht="13.2">
      <c r="A13" s="3132"/>
      <c r="B13" s="3070"/>
      <c r="C13" s="3137"/>
      <c r="D13" s="3155"/>
      <c r="E13" s="140" t="s">
        <v>2134</v>
      </c>
      <c r="F13" s="2418"/>
      <c r="G13" s="2418"/>
      <c r="H13" s="2418"/>
      <c r="I13" s="1822"/>
    </row>
    <row r="14" spans="1:12" ht="13.2">
      <c r="A14" s="3132" t="s">
        <v>2135</v>
      </c>
      <c r="B14" s="3070">
        <v>30</v>
      </c>
      <c r="C14" s="3135">
        <v>6</v>
      </c>
      <c r="D14" s="3155">
        <v>4</v>
      </c>
      <c r="E14" s="140" t="s">
        <v>2136</v>
      </c>
      <c r="F14" s="2418"/>
      <c r="G14" s="2418"/>
      <c r="H14" s="2418"/>
      <c r="I14" s="1822"/>
    </row>
    <row r="15" spans="1:12" ht="13.2">
      <c r="A15" s="3132"/>
      <c r="B15" s="3070"/>
      <c r="C15" s="3136"/>
      <c r="D15" s="3155"/>
      <c r="E15" s="140" t="s">
        <v>2137</v>
      </c>
      <c r="F15" s="2418"/>
      <c r="G15" s="2418"/>
      <c r="H15" s="2418"/>
      <c r="I15" s="1822"/>
    </row>
    <row r="16" spans="1:12" ht="13.2">
      <c r="A16" s="3132"/>
      <c r="B16" s="3070"/>
      <c r="C16" s="3137"/>
      <c r="D16" s="3155"/>
      <c r="E16" s="140" t="s">
        <v>2138</v>
      </c>
      <c r="F16" s="2418"/>
      <c r="G16" s="2418"/>
      <c r="H16" s="2418"/>
      <c r="I16" s="1822"/>
    </row>
    <row r="17" spans="1:35" ht="14.4">
      <c r="A17" s="2419" t="s">
        <v>2139</v>
      </c>
      <c r="B17" s="64"/>
      <c r="C17" s="141">
        <f>SUM(C5:C16)</f>
        <v>6</v>
      </c>
      <c r="D17" s="141">
        <f>SUM(D5:D16)</f>
        <v>4</v>
      </c>
      <c r="E17" s="138"/>
      <c r="F17" s="138"/>
      <c r="G17" s="138"/>
      <c r="H17" s="138"/>
      <c r="I17" s="138"/>
      <c r="K17" s="2417"/>
      <c r="L17" s="2420" t="s">
        <v>2140</v>
      </c>
      <c r="M17" s="2420" t="s">
        <v>2141</v>
      </c>
    </row>
    <row r="18" spans="1:35" ht="15" thickBot="1">
      <c r="A18" s="2421" t="s">
        <v>2142</v>
      </c>
      <c r="B18" s="2422"/>
      <c r="C18" s="142">
        <f>ROUND(C17/SUM(C17:D17),2)</f>
        <v>0.6</v>
      </c>
      <c r="D18" s="142">
        <f>1-C18</f>
        <v>0.4</v>
      </c>
      <c r="E18" s="138"/>
      <c r="F18" s="138"/>
      <c r="G18" s="138"/>
      <c r="H18" s="138"/>
      <c r="I18" s="138"/>
      <c r="K18" s="2417" t="s">
        <v>2143</v>
      </c>
      <c r="L18" s="2417">
        <f>IF(C1="",'数据-汇总表'!E3,SUMIF(项目类型,C1,'数据-汇总表'!E17:E26)+SUMIF(项目类型,C1,'数据-汇总表'!I17:I26))</f>
        <v>935.9799999999999</v>
      </c>
      <c r="M18" s="2417">
        <f>IF(C1="",'数据-汇总表'!E3,SUMIF(项目类型,C1,'数据-汇总表'!E17:E26))</f>
        <v>930.84999999999991</v>
      </c>
    </row>
    <row r="19" spans="1:35" ht="14.4">
      <c r="A19" s="2423" t="s">
        <v>2144</v>
      </c>
      <c r="B19" s="2424" t="s">
        <v>2145</v>
      </c>
      <c r="C19" s="143">
        <f ca="1">SUMIF(INDIRECT("'"&amp;C4&amp;"'"&amp;"!A:A"),结果表商业!B19,INDIRECT("'"&amp;C4&amp;"'"&amp;"!B:B"))</f>
        <v>1598</v>
      </c>
      <c r="D19" s="144">
        <f ca="1">SUMIF(INDIRECT("'"&amp;D4&amp;"'"&amp;"!A:A"),结果表商业!B19,INDIRECT("'"&amp;D4&amp;"'"&amp;"!B:B"))</f>
        <v>1148</v>
      </c>
      <c r="E19" s="2423" t="s">
        <v>2146</v>
      </c>
      <c r="F19" s="2424" t="s">
        <v>2145</v>
      </c>
      <c r="G19" s="145">
        <f ca="1">ROUND(C19*$C$18+D19*$D$18,0)</f>
        <v>1418</v>
      </c>
      <c r="H19" s="2425" t="s">
        <v>2147</v>
      </c>
      <c r="I19" s="138"/>
      <c r="K19" s="2417" t="s">
        <v>2148</v>
      </c>
      <c r="L19" s="2417">
        <f>IF(C1="",'数据-汇总表'!D3,SUMIF(项目类型,C1,'数据-汇总表'!D17:D26)+SUMIF(项目类型,C1,'数据-汇总表'!H17:H27))</f>
        <v>254.32999999999998</v>
      </c>
      <c r="M19" s="2417">
        <f>IF(C1="",'数据-汇总表'!D3,SUMIF(项目类型,C1,'数据-汇总表'!D17:D26))</f>
        <v>252.94</v>
      </c>
    </row>
    <row r="20" spans="1:35" ht="14.4">
      <c r="A20" s="2426"/>
      <c r="B20" s="1247" t="s">
        <v>2149</v>
      </c>
      <c r="C20" s="146">
        <f ca="1">SUMIF(INDIRECT("'"&amp;C4&amp;"'"&amp;"!A:A"),结果表商业!B20,INDIRECT("'"&amp;C4&amp;"'"&amp;"!B:B"))</f>
        <v>17167</v>
      </c>
      <c r="D20" s="147">
        <f ca="1">SUMIF(INDIRECT("'"&amp;D4&amp;"'"&amp;"!A:A"),结果表商业!B20,INDIRECT("'"&amp;D4&amp;"'"&amp;"!B:B"))</f>
        <v>12333</v>
      </c>
      <c r="E20" s="2426"/>
      <c r="F20" s="1247" t="s">
        <v>2149</v>
      </c>
      <c r="G20" s="148">
        <f ca="1">ROUND(C20*$C$18+D20*$D$18,0)</f>
        <v>15233</v>
      </c>
      <c r="H20" s="980" t="s">
        <v>2150</v>
      </c>
      <c r="I20" s="138"/>
    </row>
    <row r="21" spans="1:35" ht="15" customHeight="1" thickBot="1">
      <c r="A21" s="1000"/>
      <c r="B21" s="2427" t="s">
        <v>2151</v>
      </c>
      <c r="C21" s="789">
        <f ca="1">ROUND(C19*10000/L19,0)</f>
        <v>62832</v>
      </c>
      <c r="D21" s="790">
        <f ca="1">ROUND(D19*10000/L19,0)</f>
        <v>45138</v>
      </c>
      <c r="E21" s="1000"/>
      <c r="F21" s="2427" t="s">
        <v>2151</v>
      </c>
      <c r="G21" s="149">
        <f ca="1">ROUND(G19*10000/L19,0)</f>
        <v>55754</v>
      </c>
      <c r="H21" s="2428" t="s">
        <v>2150</v>
      </c>
      <c r="I21" s="138"/>
    </row>
    <row r="22" spans="1:35" ht="15" thickBot="1">
      <c r="A22" s="2270" t="s">
        <v>2152</v>
      </c>
      <c r="B22" s="2429"/>
      <c r="C22" s="2430"/>
      <c r="D22" s="791">
        <f ca="1">IF(C19&lt;D19,D19/C19-1,C19/D19-1)</f>
        <v>0.39198606271777003</v>
      </c>
      <c r="E22" s="138"/>
      <c r="F22" s="138"/>
      <c r="G22" s="138"/>
      <c r="H22" s="138"/>
      <c r="I22" s="138"/>
    </row>
    <row r="23" spans="1:35" ht="13.8" thickBot="1">
      <c r="A23" s="2407"/>
      <c r="B23" s="2407"/>
      <c r="C23" s="2407"/>
      <c r="D23" s="2407"/>
      <c r="E23" s="138"/>
      <c r="F23" s="138"/>
      <c r="G23" s="138"/>
      <c r="H23" s="138"/>
      <c r="I23" s="138"/>
    </row>
    <row r="24" spans="1:35" ht="14.4">
      <c r="A24" s="3126" t="s">
        <v>2153</v>
      </c>
      <c r="B24" s="2424" t="s">
        <v>2145</v>
      </c>
      <c r="C24" s="145">
        <f>IF(B30=0,0,D30)</f>
        <v>0</v>
      </c>
      <c r="D24" s="2431"/>
      <c r="E24" s="138"/>
      <c r="F24" s="138"/>
      <c r="G24" s="138"/>
      <c r="H24" s="138"/>
      <c r="I24" s="138"/>
    </row>
    <row r="25" spans="1:35" ht="14.4">
      <c r="A25" s="3127"/>
      <c r="B25" s="1247" t="s">
        <v>2149</v>
      </c>
      <c r="C25" s="150">
        <f>IF(B30=0,0,C30)</f>
        <v>0</v>
      </c>
      <c r="D25" s="2432"/>
      <c r="E25" s="138"/>
      <c r="F25" s="138"/>
      <c r="G25" s="138"/>
      <c r="H25" s="138"/>
      <c r="I25" s="138"/>
    </row>
    <row r="26" spans="1:35" ht="13.5" customHeight="1">
      <c r="A26" s="2433" t="s">
        <v>2154</v>
      </c>
      <c r="B26" s="151" t="s">
        <v>2155</v>
      </c>
      <c r="C26" s="151" t="s">
        <v>2156</v>
      </c>
      <c r="D26" s="152" t="s">
        <v>2157</v>
      </c>
      <c r="E26" s="138"/>
      <c r="F26" s="138"/>
      <c r="G26" s="138"/>
      <c r="H26" s="138"/>
      <c r="I26" s="138"/>
    </row>
    <row r="27" spans="1:35" ht="13.8">
      <c r="A27" s="2433"/>
      <c r="B27" s="151">
        <v>0</v>
      </c>
      <c r="C27" s="151">
        <v>0</v>
      </c>
      <c r="D27" s="152">
        <f>ROUND(C27*B27/10000,0)</f>
        <v>0</v>
      </c>
      <c r="E27" s="138"/>
      <c r="F27" s="138"/>
      <c r="G27" s="138"/>
      <c r="H27" s="138"/>
      <c r="I27" s="138"/>
    </row>
    <row r="28" spans="1:35" ht="13.8">
      <c r="A28" s="2433"/>
      <c r="B28" s="151"/>
      <c r="C28" s="151"/>
      <c r="D28" s="152"/>
      <c r="E28" s="138"/>
      <c r="F28" s="138"/>
      <c r="G28" s="138"/>
      <c r="H28" s="138"/>
      <c r="I28" s="138"/>
    </row>
    <row r="29" spans="1:35" ht="13.8">
      <c r="A29" s="2433"/>
      <c r="B29" s="151"/>
      <c r="C29" s="151"/>
      <c r="D29" s="152"/>
      <c r="E29" s="138"/>
      <c r="F29" s="138"/>
      <c r="G29" s="138"/>
      <c r="H29" s="138"/>
      <c r="I29" s="138"/>
    </row>
    <row r="30" spans="1:35" ht="14.4">
      <c r="A30" s="151" t="s">
        <v>2158</v>
      </c>
      <c r="B30" s="151"/>
      <c r="C30" s="151"/>
      <c r="D30" s="151"/>
      <c r="E30" s="2906" t="s">
        <v>3031</v>
      </c>
      <c r="F30" s="138"/>
      <c r="G30" s="138"/>
      <c r="H30" s="138"/>
      <c r="I30" s="138"/>
    </row>
    <row r="31" spans="1:35" s="2435" customFormat="1" ht="14.4"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 thickBot="1">
      <c r="A32" s="2436" t="s">
        <v>2159</v>
      </c>
      <c r="B32" s="2437"/>
      <c r="C32" s="153">
        <f ca="1">IF(D32="总价",G19-C24,G20-C25)</f>
        <v>1418</v>
      </c>
      <c r="D32" s="2438" t="s">
        <v>2160</v>
      </c>
      <c r="E32" s="138"/>
      <c r="F32" s="138"/>
      <c r="G32" s="138"/>
      <c r="H32" s="138"/>
      <c r="I32" s="138"/>
    </row>
    <row r="33" spans="1:15" ht="14.4">
      <c r="A33" s="957" t="s">
        <v>2161</v>
      </c>
      <c r="B33" s="2439"/>
      <c r="C33" s="2440"/>
      <c r="D33" s="2441"/>
      <c r="E33" s="2442" t="s">
        <v>2162</v>
      </c>
      <c r="F33" s="3009" t="str">
        <f>IF(D32="楼面单价","取值（单价）","取值（总价）")</f>
        <v>取值（总价）</v>
      </c>
      <c r="G33" s="138"/>
      <c r="H33" s="138"/>
      <c r="I33" s="138"/>
    </row>
    <row r="34" spans="1:15" ht="14.4">
      <c r="A34" s="2444"/>
      <c r="B34" s="244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6" t="s">
        <v>2164</v>
      </c>
      <c r="F34" s="1735"/>
      <c r="G34" s="138"/>
      <c r="H34" s="138"/>
      <c r="I34" s="138"/>
    </row>
    <row r="35" spans="1:15" ht="15" thickBot="1">
      <c r="A35" s="2447"/>
      <c r="B35" s="244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49" t="s">
        <v>2166</v>
      </c>
      <c r="F35" s="163"/>
      <c r="G35" s="138"/>
      <c r="H35" s="138"/>
      <c r="I35" s="138"/>
    </row>
    <row r="36" spans="1:15" ht="15" thickBot="1">
      <c r="A36" s="3144" t="s">
        <v>2167</v>
      </c>
      <c r="B36" s="2450" t="s">
        <v>2168</v>
      </c>
      <c r="C36" s="154"/>
      <c r="D36" s="2451"/>
      <c r="E36" s="2452"/>
      <c r="F36" s="2453"/>
      <c r="G36" s="138"/>
      <c r="H36" s="138"/>
      <c r="I36" s="138"/>
    </row>
    <row r="37" spans="1:15" ht="15" thickBot="1">
      <c r="A37" s="3145"/>
      <c r="B37" s="2256" t="s">
        <v>2169</v>
      </c>
      <c r="C37" s="156"/>
      <c r="D37" s="1392"/>
      <c r="E37" s="1392"/>
      <c r="F37" s="2453"/>
      <c r="G37" s="138"/>
      <c r="H37" s="138"/>
      <c r="I37" s="138"/>
    </row>
    <row r="38" spans="1:15" ht="15" thickBot="1">
      <c r="A38" s="3146"/>
      <c r="B38" s="2454" t="s">
        <v>2170</v>
      </c>
      <c r="C38" s="727"/>
      <c r="D38" s="2455" t="s">
        <v>2171</v>
      </c>
      <c r="E38" s="1392"/>
      <c r="F38" s="2453"/>
      <c r="G38" s="138"/>
      <c r="H38" s="138"/>
      <c r="I38" s="138"/>
    </row>
    <row r="39" spans="1:15" ht="14.4">
      <c r="A39" s="2426" t="s">
        <v>2172</v>
      </c>
      <c r="B39" s="2456" t="s">
        <v>2155</v>
      </c>
      <c r="C39" s="2457" t="s">
        <v>2156</v>
      </c>
      <c r="D39" s="2457" t="s">
        <v>2175</v>
      </c>
      <c r="E39" s="2458" t="s">
        <v>2157</v>
      </c>
      <c r="F39" s="2453"/>
      <c r="G39" s="138"/>
      <c r="H39" s="138"/>
      <c r="I39" s="138"/>
    </row>
    <row r="40" spans="1:15" ht="13.8">
      <c r="A40" s="2459" t="s">
        <v>2177</v>
      </c>
      <c r="B40" s="158"/>
      <c r="C40" s="159"/>
      <c r="D40" s="159"/>
      <c r="E40" s="160"/>
      <c r="F40" s="2453"/>
      <c r="G40" s="138"/>
      <c r="H40" s="138"/>
      <c r="I40" s="138"/>
    </row>
    <row r="41" spans="1:15" ht="13.8">
      <c r="A41" s="2459" t="s">
        <v>2178</v>
      </c>
      <c r="B41" s="158"/>
      <c r="C41" s="159"/>
      <c r="D41" s="159"/>
      <c r="E41" s="160"/>
      <c r="F41" s="2453"/>
      <c r="G41" s="138"/>
      <c r="H41" s="138"/>
      <c r="I41" s="138"/>
    </row>
    <row r="42" spans="1:15" ht="14.4" thickBot="1">
      <c r="A42" s="2460"/>
      <c r="B42" s="161"/>
      <c r="C42" s="162"/>
      <c r="D42" s="162"/>
      <c r="E42" s="163"/>
      <c r="F42" s="2453"/>
      <c r="G42" s="138"/>
      <c r="H42" s="138"/>
      <c r="I42" s="138"/>
    </row>
    <row r="43" spans="1:15" ht="13.2">
      <c r="A43" s="2155"/>
      <c r="B43" s="2155"/>
      <c r="C43" s="2155"/>
      <c r="D43" s="2155"/>
      <c r="E43" s="2155"/>
      <c r="F43" s="2461"/>
      <c r="G43" s="2461"/>
      <c r="H43" s="2461"/>
      <c r="I43" s="2462"/>
    </row>
    <row r="44" spans="1:15" ht="17.399999999999999">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23" t="s">
        <v>2181</v>
      </c>
      <c r="B45" s="3124"/>
      <c r="C45" s="3125"/>
      <c r="D45" s="164">
        <f ca="1">ROUND(H101*F45,0)</f>
        <v>1418</v>
      </c>
      <c r="E45" s="165" t="s">
        <v>2182</v>
      </c>
      <c r="F45" s="166">
        <v>1</v>
      </c>
      <c r="G45" s="167" t="s">
        <v>2183</v>
      </c>
      <c r="H45" s="138"/>
      <c r="I45" s="138"/>
      <c r="J45" s="3183" t="s">
        <v>2184</v>
      </c>
      <c r="K45" s="3183"/>
      <c r="L45" s="3183"/>
      <c r="M45" s="3183"/>
      <c r="N45" s="3183"/>
      <c r="O45" s="3183"/>
    </row>
    <row r="46" spans="1:15" ht="14.25" customHeight="1">
      <c r="A46" s="3120" t="s">
        <v>2185</v>
      </c>
      <c r="B46" s="3121"/>
      <c r="C46" s="3121"/>
      <c r="D46" s="3121"/>
      <c r="E46" s="3121"/>
      <c r="F46" s="3121"/>
      <c r="G46" s="3122"/>
      <c r="H46" s="2469"/>
      <c r="I46" s="168"/>
      <c r="J46" s="3019">
        <v>1</v>
      </c>
      <c r="K46" s="3183" t="s">
        <v>2186</v>
      </c>
      <c r="L46" s="3183"/>
      <c r="M46" s="3203"/>
      <c r="N46" s="3203"/>
      <c r="O46" s="3203"/>
    </row>
    <row r="47" spans="1:15" ht="12" customHeight="1">
      <c r="A47" s="169" t="s">
        <v>2187</v>
      </c>
      <c r="B47" s="170"/>
      <c r="C47" s="171"/>
      <c r="D47" s="172" t="s">
        <v>2188</v>
      </c>
      <c r="E47" s="24" t="s">
        <v>2189</v>
      </c>
      <c r="F47" s="173" t="s">
        <v>2190</v>
      </c>
      <c r="G47" s="174" t="s">
        <v>2191</v>
      </c>
      <c r="H47" s="2469"/>
      <c r="I47" s="168"/>
      <c r="J47" s="3019">
        <v>2</v>
      </c>
      <c r="K47" s="3183" t="s">
        <v>2192</v>
      </c>
      <c r="L47" s="3183"/>
      <c r="M47" s="3204">
        <f>'数据-取费表'!B2</f>
        <v>44012</v>
      </c>
      <c r="N47" s="3204"/>
      <c r="O47" s="3204"/>
    </row>
    <row r="48" spans="1:15" ht="26.4">
      <c r="A48" s="3151" t="s">
        <v>2193</v>
      </c>
      <c r="B48" s="3134"/>
      <c r="C48" s="3134"/>
      <c r="D48" s="140">
        <f>IF(H48="情况1",0,IF(H48="情况2",D52,IF(H48="情况3",D53,IF(H48="情况4",D54))))</f>
        <v>0</v>
      </c>
      <c r="E48" s="3013" t="str">
        <f>IF(H48="情况4","(销售额-原购置价)×税（费）率","销售额×税（费）率")</f>
        <v>销售额×税（费）率</v>
      </c>
      <c r="F48" s="175" t="str">
        <f>IF(H48="情况1","免征",'数据-取费表'!B41)</f>
        <v>免征</v>
      </c>
      <c r="G48" s="2470" t="s">
        <v>2194</v>
      </c>
      <c r="H48" s="2471" t="s">
        <v>2195</v>
      </c>
      <c r="I48" s="2469"/>
      <c r="J48" s="3019">
        <v>3</v>
      </c>
      <c r="K48" s="3183" t="s">
        <v>2196</v>
      </c>
      <c r="L48" s="3183"/>
      <c r="M48" s="3205">
        <f ca="1">H101</f>
        <v>1418</v>
      </c>
      <c r="N48" s="3205"/>
      <c r="O48" s="3205"/>
    </row>
    <row r="49" spans="1:35" ht="25.5" customHeight="1">
      <c r="A49" s="176" t="s">
        <v>2197</v>
      </c>
      <c r="B49" s="3119" t="s">
        <v>2198</v>
      </c>
      <c r="C49" s="3119"/>
      <c r="D49" s="177">
        <v>0</v>
      </c>
      <c r="E49" s="23" t="s">
        <v>2199</v>
      </c>
      <c r="F49" s="28" t="s">
        <v>34</v>
      </c>
      <c r="G49" s="3189"/>
      <c r="H49" s="138"/>
      <c r="I49" s="2472"/>
      <c r="J49" s="3019">
        <v>4</v>
      </c>
      <c r="K49" s="3183" t="str">
        <f>IF(项目基本情况!E8="房地产抵押价值","房地产抵押价值","抵押担保权已注销时的房地产抵押价值")</f>
        <v>房地产抵押价值</v>
      </c>
      <c r="L49" s="3183"/>
      <c r="M49" s="3205">
        <f ca="1">IF(项目基本情况!E8="房地产抵押价值",H107,H109)</f>
        <v>1418</v>
      </c>
      <c r="N49" s="3205"/>
      <c r="O49" s="3205"/>
    </row>
    <row r="50" spans="1:35" ht="25.5" customHeight="1">
      <c r="A50" s="178"/>
      <c r="B50" s="3119" t="s">
        <v>2200</v>
      </c>
      <c r="C50" s="3119"/>
      <c r="D50" s="179"/>
      <c r="E50" s="31"/>
      <c r="F50" s="180"/>
      <c r="G50" s="3190"/>
      <c r="H50" s="138"/>
      <c r="I50" s="2472"/>
      <c r="J50" s="3183" t="s">
        <v>2201</v>
      </c>
      <c r="K50" s="3183"/>
      <c r="L50" s="3183"/>
      <c r="M50" s="3183"/>
      <c r="N50" s="3183"/>
      <c r="O50" s="3183"/>
    </row>
    <row r="51" spans="1:35" ht="12" customHeight="1">
      <c r="A51" s="181"/>
      <c r="B51" s="3119" t="s">
        <v>2202</v>
      </c>
      <c r="C51" s="3119"/>
      <c r="D51" s="182"/>
      <c r="E51" s="30"/>
      <c r="F51" s="180"/>
      <c r="G51" s="3191"/>
      <c r="H51" s="138"/>
      <c r="I51" s="2472"/>
      <c r="J51" s="3018" t="s">
        <v>2203</v>
      </c>
      <c r="K51" s="3183" t="s">
        <v>2204</v>
      </c>
      <c r="L51" s="3183"/>
      <c r="M51" s="3018" t="s">
        <v>2205</v>
      </c>
      <c r="N51" s="3018" t="s">
        <v>2206</v>
      </c>
      <c r="O51" s="3018" t="s">
        <v>2207</v>
      </c>
    </row>
    <row r="52" spans="1:35" ht="24" customHeight="1">
      <c r="A52" s="183" t="s">
        <v>2208</v>
      </c>
      <c r="B52" s="3119" t="s">
        <v>2209</v>
      </c>
      <c r="C52" s="3119"/>
      <c r="D52" s="182">
        <f ca="1">ROUND(D45*'数据-取费表'!B41/(1+'数据-取费表'!C42),0)</f>
        <v>74</v>
      </c>
      <c r="E52" s="11" t="s">
        <v>2210</v>
      </c>
      <c r="F52" s="184">
        <f>'数据-取费表'!B41</f>
        <v>5.5000000000000007E-2</v>
      </c>
      <c r="G52" s="2474"/>
      <c r="H52" s="138"/>
      <c r="I52" s="2472"/>
      <c r="J52" s="3019">
        <v>1</v>
      </c>
      <c r="K52" s="3184" t="s">
        <v>2211</v>
      </c>
      <c r="L52" s="3184"/>
      <c r="M52" s="1742">
        <f>D48</f>
        <v>0</v>
      </c>
      <c r="N52" s="3019" t="str">
        <f>E48</f>
        <v>销售额×税（费）率</v>
      </c>
      <c r="O52" s="1743" t="str">
        <f>F48</f>
        <v>免征</v>
      </c>
    </row>
    <row r="53" spans="1:35" ht="12" customHeight="1">
      <c r="A53" s="183" t="s">
        <v>2212</v>
      </c>
      <c r="B53" s="3142" t="s">
        <v>2213</v>
      </c>
      <c r="C53" s="3143"/>
      <c r="D53" s="182">
        <f ca="1">ROUND(D45*'数据-取费表'!B41/(1+'数据-取费表'!C42),0)</f>
        <v>74</v>
      </c>
      <c r="E53" s="11" t="s">
        <v>2210</v>
      </c>
      <c r="F53" s="184">
        <f>'数据-取费表'!B41</f>
        <v>5.5000000000000007E-2</v>
      </c>
      <c r="G53" s="2474"/>
      <c r="H53" s="138"/>
      <c r="I53" s="2472"/>
      <c r="J53" s="3019">
        <v>2</v>
      </c>
      <c r="K53" s="3184" t="s">
        <v>2214</v>
      </c>
      <c r="L53" s="3184"/>
      <c r="M53" s="1742">
        <f t="shared" ref="M53:O54" ca="1" si="0">D55</f>
        <v>1</v>
      </c>
      <c r="N53" s="3019" t="str">
        <f t="shared" si="0"/>
        <v>销售额×税（费）率</v>
      </c>
      <c r="O53" s="1743">
        <f t="shared" si="0"/>
        <v>5.0000000000000001E-4</v>
      </c>
    </row>
    <row r="54" spans="1:35" ht="12" customHeight="1">
      <c r="A54" s="183" t="s">
        <v>2215</v>
      </c>
      <c r="B54" s="3142" t="s">
        <v>2216</v>
      </c>
      <c r="C54" s="3143"/>
      <c r="D54" s="182">
        <f ca="1">C68</f>
        <v>74</v>
      </c>
      <c r="E54" s="30" t="s">
        <v>2217</v>
      </c>
      <c r="F54" s="184">
        <f>'数据-取费表'!B41</f>
        <v>5.5000000000000007E-2</v>
      </c>
      <c r="G54" s="2474"/>
      <c r="H54" s="2475"/>
      <c r="I54" s="2472"/>
      <c r="J54" s="3019">
        <v>3</v>
      </c>
      <c r="K54" s="3184" t="s">
        <v>2218</v>
      </c>
      <c r="L54" s="3184"/>
      <c r="M54" s="1742">
        <f t="shared" ca="1" si="0"/>
        <v>803</v>
      </c>
      <c r="N54" s="3019" t="str">
        <f t="shared" si="0"/>
        <v>增值额×税（费）率</v>
      </c>
      <c r="O54" s="1744" t="str">
        <f t="shared" si="0"/>
        <v>——</v>
      </c>
    </row>
    <row r="55" spans="1:35" ht="24" customHeight="1">
      <c r="A55" s="3133" t="s">
        <v>2219</v>
      </c>
      <c r="B55" s="3134"/>
      <c r="C55" s="3134"/>
      <c r="D55" s="185">
        <f ca="1">IF(H55="个人住宅",0,ROUND(D45*I55,0))</f>
        <v>1</v>
      </c>
      <c r="E55" s="11" t="s">
        <v>2220</v>
      </c>
      <c r="F55" s="184">
        <f>IF(H55="正常",I55,"免征")</f>
        <v>5.0000000000000001E-4</v>
      </c>
      <c r="G55" s="2474"/>
      <c r="H55" s="2471" t="s">
        <v>2221</v>
      </c>
      <c r="I55" s="186">
        <f>'数据-取费表'!B49</f>
        <v>5.0000000000000001E-4</v>
      </c>
      <c r="J55" s="3019" t="str">
        <f>IF(H59="非个人房产","",4)</f>
        <v/>
      </c>
      <c r="K55" s="3184" t="str">
        <f>IF(H59="非个人房产","——","个人所得税")</f>
        <v>——</v>
      </c>
      <c r="L55" s="3184"/>
      <c r="M55" s="1745" t="str">
        <f>D59</f>
        <v>——</v>
      </c>
      <c r="N55" s="3020" t="str">
        <f>E59</f>
        <v>——</v>
      </c>
      <c r="O55" s="1746" t="str">
        <f>F59</f>
        <v>——</v>
      </c>
    </row>
    <row r="56" spans="1:35" ht="25.2">
      <c r="A56" s="3133" t="s">
        <v>2222</v>
      </c>
      <c r="B56" s="3134"/>
      <c r="C56" s="3134"/>
      <c r="D56" s="185">
        <f ca="1">IF(H56="个人住宅",D57,D58)</f>
        <v>803</v>
      </c>
      <c r="E56" s="11" t="s">
        <v>2223</v>
      </c>
      <c r="F56" s="184" t="str">
        <f>IF(H56="正常",F58,"免征")</f>
        <v>——</v>
      </c>
      <c r="G56" s="2476" t="s">
        <v>2224</v>
      </c>
      <c r="H56" s="2477" t="s">
        <v>2221</v>
      </c>
      <c r="I56" s="2478"/>
      <c r="J56" s="3019" t="str">
        <f>IF(项目基本情况!K6="上海银行",IF(J55="",4,J55+1),"")</f>
        <v/>
      </c>
      <c r="K56" s="3207" t="str">
        <f>IF(项目基本情况!K6="上海银行","其他处置费用","")</f>
        <v/>
      </c>
      <c r="L56" s="3208"/>
      <c r="M56" s="1742" t="str">
        <f>IF(项目基本情况!K6="上海银行",M69,"")</f>
        <v/>
      </c>
      <c r="N56" s="3210" t="str">
        <f>IF(项目基本情况!K6="上海银行","包含处置中涉及的律师、诉讼、拍卖、评估等费用","")</f>
        <v/>
      </c>
      <c r="O56" s="3211"/>
    </row>
    <row r="57" spans="1:35" ht="13.2">
      <c r="A57" s="183" t="s">
        <v>2197</v>
      </c>
      <c r="B57" s="3149" t="s">
        <v>2225</v>
      </c>
      <c r="C57" s="3158"/>
      <c r="D57" s="187">
        <v>0</v>
      </c>
      <c r="E57" s="23" t="s">
        <v>2199</v>
      </c>
      <c r="F57" s="155"/>
      <c r="G57" s="2474"/>
      <c r="H57" s="2478"/>
      <c r="I57" s="2478"/>
      <c r="J57" s="3184">
        <f>IF(AND(J55="",J56=""),4,IF(项目基本情况!K6="上海银行",结果表商业!J56+1,结果表商业!J55+1))</f>
        <v>4</v>
      </c>
      <c r="K57" s="3184" t="s">
        <v>2226</v>
      </c>
      <c r="L57" s="2479" t="s">
        <v>2227</v>
      </c>
      <c r="M57" s="1747"/>
      <c r="N57" s="1748">
        <f ca="1">SUMIF(M52:M56,"&lt;9e307")</f>
        <v>804</v>
      </c>
      <c r="O57" s="2480"/>
      <c r="P57" s="1741">
        <f ca="1">N57/M49</f>
        <v>0.56699576868829338</v>
      </c>
    </row>
    <row r="58" spans="1:35" ht="25.2">
      <c r="A58" s="183" t="s">
        <v>2208</v>
      </c>
      <c r="B58" s="3149" t="s">
        <v>2228</v>
      </c>
      <c r="C58" s="3150"/>
      <c r="D58" s="185">
        <f ca="1">IF(H58="转让取得",C81,C97)</f>
        <v>803</v>
      </c>
      <c r="E58" s="11" t="s">
        <v>2223</v>
      </c>
      <c r="F58" s="24" t="s">
        <v>34</v>
      </c>
      <c r="G58" s="2474"/>
      <c r="H58" s="2477" t="s">
        <v>2229</v>
      </c>
      <c r="I58" s="2478"/>
      <c r="J58" s="3184"/>
      <c r="K58" s="3184"/>
      <c r="L58" s="2479" t="s">
        <v>2230</v>
      </c>
      <c r="M58" s="1749"/>
      <c r="N58" s="2481" t="str">
        <f ca="1">NUMBERSTRING(INT(N57*10000),2)&amp;"元整"</f>
        <v>捌佰零肆万元整</v>
      </c>
      <c r="O58" s="2482"/>
    </row>
    <row r="59" spans="1:35" ht="24.6" thickBot="1">
      <c r="A59" s="3187" t="s">
        <v>2231</v>
      </c>
      <c r="B59" s="3188"/>
      <c r="C59" s="3188"/>
      <c r="D59" s="188" t="str">
        <f>IF(H59="非个人房产","——",IF(H59="个人住宅",0,ROUND(D45*I59,0)))</f>
        <v>——</v>
      </c>
      <c r="E59" s="189" t="str">
        <f>IF(H59="非个人房产","——","销售额×税（费）率")</f>
        <v>——</v>
      </c>
      <c r="F59" s="190" t="str">
        <f>IF(H59="非个人房产","——",IF(H59="个人住宅","免征",I59))</f>
        <v>——</v>
      </c>
      <c r="G59" s="2483" t="s">
        <v>2224</v>
      </c>
      <c r="H59" s="2477" t="s">
        <v>2232</v>
      </c>
      <c r="I59" s="191">
        <v>0.01</v>
      </c>
      <c r="J59" s="3185">
        <f>J57+1</f>
        <v>5</v>
      </c>
      <c r="K59" s="3184" t="s">
        <v>2233</v>
      </c>
      <c r="L59" s="3019" t="s">
        <v>2227</v>
      </c>
      <c r="M59" s="1750"/>
      <c r="N59" s="1751">
        <f ca="1">M49-N57</f>
        <v>614</v>
      </c>
      <c r="O59" s="2484"/>
    </row>
    <row r="60" spans="1:35" ht="12" customHeight="1">
      <c r="A60" s="2485"/>
      <c r="B60" s="2407"/>
      <c r="C60" s="2407"/>
      <c r="D60" s="2407"/>
      <c r="E60" s="2156"/>
      <c r="F60" s="2478"/>
      <c r="G60" s="2478"/>
      <c r="H60" s="2486"/>
      <c r="I60" s="138"/>
      <c r="J60" s="3186"/>
      <c r="K60" s="3184"/>
      <c r="L60" s="2479" t="s">
        <v>2230</v>
      </c>
      <c r="M60" s="1749"/>
      <c r="N60" s="2481" t="str">
        <f ca="1">NUMBERSTRING(INT(N59*10000),2)&amp;"元整"</f>
        <v>陆佰壹拾肆万元整</v>
      </c>
      <c r="O60" s="2482"/>
    </row>
    <row r="61" spans="1:35" ht="13.8" thickBot="1">
      <c r="A61" s="3131" t="s">
        <v>2234</v>
      </c>
      <c r="B61" s="3131"/>
      <c r="C61" s="3131"/>
      <c r="D61" s="3131"/>
      <c r="E61" s="3131"/>
      <c r="F61" s="2478"/>
      <c r="G61" s="2478"/>
      <c r="H61" s="2486"/>
      <c r="I61" s="138"/>
      <c r="J61" s="3019">
        <f>J59+1</f>
        <v>6</v>
      </c>
      <c r="K61" s="3184" t="s">
        <v>2235</v>
      </c>
      <c r="L61" s="3184"/>
      <c r="M61" s="1752"/>
      <c r="N61" s="1753">
        <f ca="1">ROUND(N59*10000/'数据-汇总表'!E3,0)</f>
        <v>72</v>
      </c>
      <c r="O61" s="2487"/>
    </row>
    <row r="62" spans="1:35" ht="13.2">
      <c r="A62" s="3147" t="s">
        <v>2236</v>
      </c>
      <c r="B62" s="3148"/>
      <c r="C62" s="3016"/>
      <c r="D62" s="3016" t="s">
        <v>2237</v>
      </c>
      <c r="E62" s="192" t="s">
        <v>2238</v>
      </c>
      <c r="F62" s="2478"/>
      <c r="G62" s="2478"/>
      <c r="H62" s="2486"/>
      <c r="I62" s="138"/>
    </row>
    <row r="63" spans="1:35" ht="13.2">
      <c r="A63" s="203" t="s">
        <v>775</v>
      </c>
      <c r="B63" s="193" t="s">
        <v>2239</v>
      </c>
      <c r="C63" s="194">
        <f ca="1">ROUND((C64+C65)/(1+'数据-取费表'!C42),0)</f>
        <v>1350</v>
      </c>
      <c r="D63" s="195"/>
      <c r="E63" s="196"/>
      <c r="F63" s="2478"/>
      <c r="G63" s="2478"/>
      <c r="H63" s="2486"/>
      <c r="I63" s="138"/>
      <c r="J63" s="3209" t="s">
        <v>2240</v>
      </c>
      <c r="K63" s="3021" t="s">
        <v>2241</v>
      </c>
      <c r="L63" s="1740">
        <f ca="1">IF(M49&gt;10000,M49*0.5%,IF(AND(M49&gt;1000,M49&lt;=10000),M49*1%,IF(AND(M49&gt;100,M49&lt;=1000),M49*3%,IF(AND(M49&gt;10,M49&lt;=100),M49*5%,M49*8%))))</f>
        <v>14.18</v>
      </c>
      <c r="M63" s="24">
        <f ca="1">ROUND(L63,1)</f>
        <v>14.2</v>
      </c>
      <c r="Z63" s="2412"/>
      <c r="AI63" s="2413"/>
    </row>
    <row r="64" spans="1:35" ht="14.25" customHeight="1">
      <c r="A64" s="197" t="s">
        <v>770</v>
      </c>
      <c r="B64" s="198" t="s">
        <v>2242</v>
      </c>
      <c r="C64" s="199">
        <f ca="1">D45</f>
        <v>1418</v>
      </c>
      <c r="D64" s="200" t="s">
        <v>32</v>
      </c>
      <c r="E64" s="201"/>
      <c r="F64" s="2478"/>
      <c r="G64" s="2478"/>
      <c r="H64" s="2486"/>
      <c r="I64" s="138"/>
      <c r="J64" s="3209"/>
      <c r="K64" s="3021" t="s">
        <v>2243</v>
      </c>
      <c r="L64" s="1740">
        <f ca="1">IF(M49&gt;2000,M49*0.5%,IF(AND(M49&gt;1000,M49&lt;=2000),M49*0.6%,IF(AND(M49&gt;500,M49&lt;=1000),M49*0.7%,IF(AND(M49&gt;200,M49&lt;=500),M49*0.8%,IF(AND(M49&gt;100,M49&lt;=200),M49*0.9%,IF(AND(M49&gt;50,M49&lt;=100),M49*1%,IF(AND(M49&gt;20,M49&lt;=50),M49*1.5%,IF(AND(M49&gt;10,M49&lt;=20),M49*2%,IF(AND(M49&gt;1,M49&lt;=10),M49*2.5%)))))))))</f>
        <v>8.5080000000000009</v>
      </c>
      <c r="M64" s="24">
        <f t="shared" ref="M64:M65" ca="1" si="1">ROUND(L64,1)</f>
        <v>8.5</v>
      </c>
      <c r="N64" s="138" t="s">
        <v>2244</v>
      </c>
      <c r="Z64" s="2412"/>
      <c r="AI64" s="2413"/>
    </row>
    <row r="65" spans="1:35" ht="14.25" customHeight="1">
      <c r="A65" s="197" t="s">
        <v>771</v>
      </c>
      <c r="B65" s="198" t="s">
        <v>2245</v>
      </c>
      <c r="C65" s="202"/>
      <c r="D65" s="200"/>
      <c r="E65" s="201"/>
      <c r="F65" s="2478"/>
      <c r="G65" s="2478"/>
      <c r="H65" s="2486"/>
      <c r="I65" s="138"/>
      <c r="J65" s="3209"/>
      <c r="K65" s="3021" t="s">
        <v>2246</v>
      </c>
      <c r="L65" s="1740">
        <f ca="1">IF(M49&gt;1000,M49*0.1%,IF(AND(M49&gt;500,M49&lt;=1000),M49*0.5%,IF(AND(M49&gt;50,M49&lt;=500),M49*1%,IF(AND(M49&gt;1,M49&lt;=50),M49*1.5%))))</f>
        <v>1.4179999999999999</v>
      </c>
      <c r="M65" s="24">
        <f t="shared" ca="1" si="1"/>
        <v>1.4</v>
      </c>
      <c r="N65" s="138" t="s">
        <v>2244</v>
      </c>
      <c r="Z65" s="2412"/>
      <c r="AI65" s="2413"/>
    </row>
    <row r="66" spans="1:35" ht="14.25" customHeight="1">
      <c r="A66" s="203" t="s">
        <v>772</v>
      </c>
      <c r="B66" s="204" t="s">
        <v>2247</v>
      </c>
      <c r="C66" s="205"/>
      <c r="D66" s="206" t="s">
        <v>32</v>
      </c>
      <c r="E66" s="1764" t="s">
        <v>1366</v>
      </c>
      <c r="F66" s="2478"/>
      <c r="G66" s="2478"/>
      <c r="H66" s="2486"/>
      <c r="I66" s="138"/>
      <c r="J66" s="3209"/>
      <c r="K66" s="3021" t="s">
        <v>2248</v>
      </c>
      <c r="L66" s="1740">
        <f ca="1">M49*0.5%</f>
        <v>7.09</v>
      </c>
      <c r="M66" s="24">
        <f ca="1">IF(L66&gt;0.5,0.5,ROUND(L66,0))</f>
        <v>0.5</v>
      </c>
      <c r="N66" s="138" t="s">
        <v>2249</v>
      </c>
      <c r="Z66" s="2412"/>
      <c r="AI66" s="2413"/>
    </row>
    <row r="67" spans="1:35" ht="14.25" customHeight="1">
      <c r="A67" s="203" t="s">
        <v>773</v>
      </c>
      <c r="B67" s="204" t="s">
        <v>2250</v>
      </c>
      <c r="C67" s="207">
        <f ca="1">C63-C66</f>
        <v>1350</v>
      </c>
      <c r="D67" s="200" t="s">
        <v>32</v>
      </c>
      <c r="E67" s="201"/>
      <c r="F67" s="2478"/>
      <c r="G67" s="2478"/>
      <c r="H67" s="2486"/>
      <c r="I67" s="138"/>
      <c r="J67" s="3209"/>
      <c r="K67" s="3021" t="s">
        <v>2251</v>
      </c>
      <c r="L67" s="1740">
        <f ca="1">IF(M49&gt;=10000,(8.25+(M49-10000)*0.01%),IF(AND(M49&gt;=8000,M49&lt;10000),(7.85+(M49-8000)*0.02%),IF(AND(M49&gt;=5000,M49&lt;8000),(6.65+(M49-5000)*0.04%),IF(AND(M49&gt;=2000,M49&lt;5000),(4.25+(PM49-2000)*0.08%),IF(AND(M49&gt;=1000,M49&lt;2000),(2.75+(M49-1000)*0.15%),IF(AND(M49&gt;=100,M49&lt;1000),(0.5+(M49-100)*0.25%),IF(AND(M49&gt;0,M49&lt;100),M49*0.5%)))))))</f>
        <v>3.3769999999999998</v>
      </c>
      <c r="M67" s="24">
        <f ca="1">ROUND(L67*0.9,1)</f>
        <v>3</v>
      </c>
      <c r="Z67" s="2412"/>
      <c r="AI67" s="2413"/>
    </row>
    <row r="68" spans="1:35" ht="14.25" customHeight="1" thickBot="1">
      <c r="A68" s="208" t="s">
        <v>774</v>
      </c>
      <c r="B68" s="209" t="s">
        <v>2252</v>
      </c>
      <c r="C68" s="210">
        <f ca="1">IF(C67&lt;=0,0,ROUND(C67*D68,0))</f>
        <v>74</v>
      </c>
      <c r="D68" s="211">
        <f>'数据-取费表'!B41</f>
        <v>5.5000000000000007E-2</v>
      </c>
      <c r="E68" s="212"/>
      <c r="F68" s="2478"/>
      <c r="G68" s="2478"/>
      <c r="H68" s="2486"/>
      <c r="I68" s="138"/>
      <c r="J68" s="3209"/>
      <c r="K68" s="3021" t="s">
        <v>2253</v>
      </c>
      <c r="L68" s="1740">
        <f ca="1">IF(M49&gt;10000,M49*0.5%,IF(AND(M49&gt;5000,M49&lt;=10000),M49*1%,IF(AND(M49&gt;1000,M49&lt;=5000),M49*2%,IF(AND(M49&gt;200,M49&lt;=1000),M49*3%,M49*5%))))</f>
        <v>28.36</v>
      </c>
      <c r="M68" s="24">
        <f ca="1">ROUND(L68,1)</f>
        <v>28.4</v>
      </c>
      <c r="Z68" s="2412"/>
      <c r="AI68" s="2413"/>
    </row>
    <row r="69" spans="1:35" s="2435" customFormat="1" ht="16.5" customHeight="1">
      <c r="A69" s="2489"/>
      <c r="B69" s="2490"/>
      <c r="C69" s="2491"/>
      <c r="D69" s="2492"/>
      <c r="E69" s="2493"/>
      <c r="F69" s="2156"/>
      <c r="G69" s="2156"/>
      <c r="H69" s="2155"/>
      <c r="I69" s="2407"/>
      <c r="J69" s="3209"/>
      <c r="K69" s="3021" t="s">
        <v>2254</v>
      </c>
      <c r="L69" s="2494"/>
      <c r="M69" s="24">
        <f ca="1">ROUND(SUM(M63:M68),0)</f>
        <v>56</v>
      </c>
      <c r="N69" s="1741">
        <f ca="1">M69/M49</f>
        <v>3.9492242595204514E-2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4.4" thickBot="1">
      <c r="A70" s="3168" t="s">
        <v>2255</v>
      </c>
      <c r="B70" s="3169"/>
      <c r="C70" s="3169"/>
      <c r="D70" s="3169"/>
      <c r="E70" s="3169"/>
      <c r="F70" s="3169"/>
      <c r="G70" s="3169"/>
      <c r="H70" s="316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47" t="s">
        <v>2236</v>
      </c>
      <c r="B71" s="3148"/>
      <c r="C71" s="3016"/>
      <c r="D71" s="3016" t="s">
        <v>2237</v>
      </c>
      <c r="E71" s="213" t="s">
        <v>2238</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3" t="s">
        <v>775</v>
      </c>
      <c r="B72" s="204" t="s">
        <v>2256</v>
      </c>
      <c r="C72" s="207">
        <f ca="1">ROUND(D45/(1+'数据-取费表'!C42),0)</f>
        <v>1350</v>
      </c>
      <c r="D72" s="200" t="s">
        <v>32</v>
      </c>
      <c r="E72" s="3015"/>
      <c r="F72" s="3010"/>
      <c r="G72" s="3010"/>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3" t="s">
        <v>772</v>
      </c>
      <c r="B73" s="173" t="s">
        <v>2257</v>
      </c>
      <c r="C73" s="207">
        <f ca="1">C74+C78</f>
        <v>7</v>
      </c>
      <c r="D73" s="200" t="s">
        <v>32</v>
      </c>
      <c r="E73" s="3015"/>
      <c r="F73" s="3010"/>
      <c r="G73" s="3010"/>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2258</v>
      </c>
      <c r="C74" s="200">
        <f>ROUND(IF(G77="2016年5月1日后购买",C75/(1+'数据-取费表'!C42)+C76+C77,C75+C76+C77),0)</f>
        <v>0</v>
      </c>
      <c r="D74" s="200" t="s">
        <v>32</v>
      </c>
      <c r="E74" s="3015"/>
      <c r="F74" s="3010"/>
      <c r="G74" s="3010"/>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7" t="s">
        <v>776</v>
      </c>
      <c r="B75" s="198" t="s">
        <v>2259</v>
      </c>
      <c r="C75" s="218"/>
      <c r="D75" s="200" t="s">
        <v>32</v>
      </c>
      <c r="E75" s="219" t="s">
        <v>2260</v>
      </c>
      <c r="F75" s="2500" t="s">
        <v>2261</v>
      </c>
      <c r="G75" s="219" t="s">
        <v>2262</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2263</v>
      </c>
      <c r="C76" s="200">
        <f>IF(F75="购房发票",ROUND(C75*H75*D76,0),0)</f>
        <v>0</v>
      </c>
      <c r="D76" s="222">
        <v>0.05</v>
      </c>
      <c r="E76" s="3142" t="s">
        <v>2264</v>
      </c>
      <c r="F76" s="3119"/>
      <c r="G76" s="3119"/>
      <c r="H76" s="316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2265</v>
      </c>
      <c r="C77" s="200">
        <f>ROUND(IF(G77="个人住宅",0,IF(G77="2016年5月1日前购买",C75*D77,C75*D77/(1+'数据-取费表'!C42))),0)</f>
        <v>0</v>
      </c>
      <c r="D77" s="223">
        <f>'数据-取费表'!B48+'数据-取费表'!B49</f>
        <v>3.0499999999999999E-2</v>
      </c>
      <c r="E77" s="3022" t="s">
        <v>2266</v>
      </c>
      <c r="F77" s="224"/>
      <c r="G77" s="2502" t="s">
        <v>2267</v>
      </c>
      <c r="H77" s="301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2268</v>
      </c>
      <c r="C78" s="225">
        <f ca="1">ROUND(D45*D78/(1+'数据-取费表'!C42),0)</f>
        <v>7</v>
      </c>
      <c r="D78" s="226">
        <f>'数据-取费表'!B43</f>
        <v>5.000000000000001E-3</v>
      </c>
      <c r="E78" s="3128" t="s">
        <v>2269</v>
      </c>
      <c r="F78" s="3129"/>
      <c r="G78" s="3129"/>
      <c r="H78" s="313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773</v>
      </c>
      <c r="B79" s="204" t="s">
        <v>2270</v>
      </c>
      <c r="C79" s="207">
        <f ca="1">C72-C73</f>
        <v>1343</v>
      </c>
      <c r="D79" s="200" t="s">
        <v>32</v>
      </c>
      <c r="E79" s="3015"/>
      <c r="F79" s="3010"/>
      <c r="G79" s="3010"/>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2271</v>
      </c>
      <c r="C80" s="227">
        <f ca="1">IF(C79&lt;=0,0,C79/C73)</f>
        <v>191.85714285714286</v>
      </c>
      <c r="D80" s="200" t="s">
        <v>32</v>
      </c>
      <c r="E80" s="3022" t="str">
        <f ca="1">IF(C80&gt;=200%,"增值额超过扣除项目金额200%",IF(C80&gt;=100%,"增值额超过扣除项目金额100%，未超过200%",IF(C80&gt;=50%,"增值额超过扣除项目金额50%，未超过100%",IF(C80&lt;50%,"增值额未超过扣除项目金额50%"))))</f>
        <v>增值额超过扣除项目金额200%</v>
      </c>
      <c r="F80" s="3010"/>
      <c r="G80" s="3010"/>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9" t="s">
        <v>2272</v>
      </c>
      <c r="C81" s="228">
        <f ca="1">ROUND(IF(C79&lt;=0,0,IF(C80&gt;=200%,C79*60%-C73*35%,IF(C80&gt;=100%,C79*50%-C73*15%,IF(C80&gt;=50%,C79*40%-C73*5%,IF(C80&lt;50%,C79*30%,0))))),0)</f>
        <v>803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68" t="s">
        <v>2273</v>
      </c>
      <c r="B83" s="3169"/>
      <c r="C83" s="3169"/>
      <c r="D83" s="3169"/>
      <c r="E83" s="3169"/>
      <c r="F83" s="3169"/>
      <c r="G83" s="3169"/>
      <c r="H83" s="316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47" t="s">
        <v>2236</v>
      </c>
      <c r="B84" s="3148"/>
      <c r="C84" s="3016"/>
      <c r="D84" s="3016" t="s">
        <v>2237</v>
      </c>
      <c r="E84" s="213" t="s">
        <v>2238</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3" t="s">
        <v>775</v>
      </c>
      <c r="B85" s="204" t="s">
        <v>2256</v>
      </c>
      <c r="C85" s="207">
        <f ca="1">ROUND(D45/(1+'数据-取费表'!C42),0)</f>
        <v>1350</v>
      </c>
      <c r="D85" s="200" t="s">
        <v>32</v>
      </c>
      <c r="E85" s="3015"/>
      <c r="F85" s="3010"/>
      <c r="G85" s="3010"/>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3" t="s">
        <v>772</v>
      </c>
      <c r="B86" s="173" t="s">
        <v>2257</v>
      </c>
      <c r="C86" s="207">
        <f ca="1">IF(H88="仅含出让金",C87+C90+C91+C92+C93+C94,C87+C91+C92+C93+C94)</f>
        <v>7</v>
      </c>
      <c r="D86" s="235"/>
      <c r="E86" s="3015"/>
      <c r="F86" s="3010"/>
      <c r="G86" s="3010"/>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7" t="s">
        <v>770</v>
      </c>
      <c r="B87" s="198" t="s">
        <v>2274</v>
      </c>
      <c r="C87" s="225">
        <f>C88+C89</f>
        <v>0</v>
      </c>
      <c r="D87" s="226"/>
      <c r="E87" s="3011"/>
      <c r="F87" s="3012"/>
      <c r="G87" s="3012"/>
      <c r="H87" s="301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7" t="s">
        <v>776</v>
      </c>
      <c r="B88" s="198" t="s">
        <v>2275</v>
      </c>
      <c r="C88" s="236"/>
      <c r="D88" s="226"/>
      <c r="E88" s="237" t="s">
        <v>2276</v>
      </c>
      <c r="F88" s="3012"/>
      <c r="G88" s="238" t="s">
        <v>2277</v>
      </c>
      <c r="H88" s="2506"/>
      <c r="I88" s="2501"/>
      <c r="J88" s="2955" t="s">
        <v>3053</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7" t="s">
        <v>777</v>
      </c>
      <c r="B89" s="198" t="s">
        <v>2265</v>
      </c>
      <c r="C89" s="225">
        <f>ROUND(C88*D89,0)</f>
        <v>0</v>
      </c>
      <c r="D89" s="226">
        <f>'数据-取费表'!B48+'数据-取费表'!B49</f>
        <v>3.0499999999999999E-2</v>
      </c>
      <c r="E89" s="237" t="s">
        <v>2278</v>
      </c>
      <c r="F89" s="3012"/>
      <c r="G89" s="3012"/>
      <c r="H89" s="301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4">
      <c r="A90" s="217" t="s">
        <v>771</v>
      </c>
      <c r="B90" s="198" t="s">
        <v>2279</v>
      </c>
      <c r="C90" s="236"/>
      <c r="D90" s="226"/>
      <c r="E90" s="237" t="str">
        <f>IF(H88="-","土地取得成本中已包含该笔费用"," ")</f>
        <v xml:space="preserve"> </v>
      </c>
      <c r="F90" s="3012"/>
      <c r="G90" s="3212" t="s">
        <v>3055</v>
      </c>
      <c r="H90" s="3213"/>
      <c r="I90" s="2501"/>
      <c r="J90" s="2955" t="s">
        <v>3054</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2280</v>
      </c>
      <c r="B91" s="198" t="s">
        <v>2281</v>
      </c>
      <c r="C91" s="225">
        <f>IF(H91="——",成本法!C33,I91)</f>
        <v>0</v>
      </c>
      <c r="D91" s="226"/>
      <c r="E91" s="3128" t="s">
        <v>2282</v>
      </c>
      <c r="F91" s="3129"/>
      <c r="G91" s="3129"/>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2284</v>
      </c>
      <c r="B92" s="198" t="s">
        <v>2285</v>
      </c>
      <c r="C92" s="225">
        <f>ROUND((C87+C90+C91)*D92,0)</f>
        <v>0</v>
      </c>
      <c r="D92" s="226">
        <v>0.1</v>
      </c>
      <c r="E92" s="3128" t="s">
        <v>2286</v>
      </c>
      <c r="F92" s="3129"/>
      <c r="G92" s="3129"/>
      <c r="H92" s="3138"/>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2287</v>
      </c>
      <c r="B93" s="198" t="s">
        <v>2268</v>
      </c>
      <c r="C93" s="225">
        <f ca="1">ROUND(D45*D93/(1+'数据-取费表'!C42),0)</f>
        <v>7</v>
      </c>
      <c r="D93" s="226">
        <f>'数据-取费表'!B43</f>
        <v>5.000000000000001E-3</v>
      </c>
      <c r="E93" s="3128" t="s">
        <v>2269</v>
      </c>
      <c r="F93" s="3129"/>
      <c r="G93" s="3129"/>
      <c r="H93" s="313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2288</v>
      </c>
      <c r="B94" s="198" t="s">
        <v>2289</v>
      </c>
      <c r="C94" s="236">
        <f>ROUND((C87+C90+C91)*D94,0)</f>
        <v>0</v>
      </c>
      <c r="D94" s="226">
        <v>0.2</v>
      </c>
      <c r="E94" s="3139" t="s">
        <v>2290</v>
      </c>
      <c r="F94" s="3140"/>
      <c r="G94" s="3140"/>
      <c r="H94" s="314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773</v>
      </c>
      <c r="B95" s="204" t="s">
        <v>2270</v>
      </c>
      <c r="C95" s="207">
        <f ca="1">ROUND(C85-C86,0)</f>
        <v>1343</v>
      </c>
      <c r="D95" s="200" t="s">
        <v>32</v>
      </c>
      <c r="E95" s="3015"/>
      <c r="F95" s="3010"/>
      <c r="G95" s="3010"/>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2271</v>
      </c>
      <c r="C96" s="227">
        <f ca="1">IF(C95&lt;=0,0,C95/C86)</f>
        <v>191.85714285714286</v>
      </c>
      <c r="D96" s="200" t="s">
        <v>32</v>
      </c>
      <c r="E96" s="3022" t="str">
        <f ca="1">IF(C96&gt;=200%,"增值额超过扣除项目金额200%",IF(C96&gt;=100%,"增值额超过扣除项目金额100%，未超过200%",IF(C96&gt;=50%,"增值额超过扣除项目金额50%，未超过100%",IF(C96&lt;50%,"增值额未超过扣除项目金额50%"))))</f>
        <v>增值额超过扣除项目金额200%</v>
      </c>
      <c r="F96" s="3010"/>
      <c r="G96" s="3010"/>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9" t="s">
        <v>2272</v>
      </c>
      <c r="C97" s="228">
        <f ca="1">ROUND(IF(C95&lt;=0,0,IF(C96&gt;=200%,C95*60%-C86*35%,IF(C96&gt;=100%,C95*50%-C86*15%,IF(C96&gt;=50%,C95*40%-C86*5%,IF(C96&lt;50%,C95*30%,0))))),0)</f>
        <v>803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2291</v>
      </c>
      <c r="B99" s="2407"/>
      <c r="C99" s="2407"/>
      <c r="D99" s="2407"/>
      <c r="E99" s="2156"/>
      <c r="F99" s="2156"/>
      <c r="G99" s="2156"/>
      <c r="H99" s="2155"/>
      <c r="I99" s="138"/>
    </row>
    <row r="100" spans="1:35" ht="18.75" customHeight="1">
      <c r="A100" s="3113" t="s">
        <v>2292</v>
      </c>
      <c r="B100" s="3114"/>
      <c r="C100" s="3114"/>
      <c r="D100" s="3130"/>
      <c r="E100" s="3114" t="s">
        <v>2293</v>
      </c>
      <c r="F100" s="3114"/>
      <c r="G100" s="3114"/>
      <c r="H100" s="3130"/>
      <c r="I100" s="138"/>
    </row>
    <row r="101" spans="1:35" ht="18.75" customHeight="1">
      <c r="A101" s="3192" t="s">
        <v>2294</v>
      </c>
      <c r="B101" s="3193"/>
      <c r="C101" s="736" t="str">
        <f>C4</f>
        <v>典型户型修正</v>
      </c>
      <c r="D101" s="737" t="str">
        <f>D4</f>
        <v>收益法商业</v>
      </c>
      <c r="E101" s="3206" t="s">
        <v>2295</v>
      </c>
      <c r="F101" s="3160"/>
      <c r="G101" s="2509" t="s">
        <v>2296</v>
      </c>
      <c r="H101" s="1045">
        <f ca="1">H118</f>
        <v>1418</v>
      </c>
      <c r="I101" s="138"/>
    </row>
    <row r="102" spans="1:35" ht="18.75" customHeight="1">
      <c r="A102" s="3162" t="s">
        <v>2297</v>
      </c>
      <c r="B102" s="2509" t="s">
        <v>2296</v>
      </c>
      <c r="C102" s="736">
        <f ca="1">C19</f>
        <v>1598</v>
      </c>
      <c r="D102" s="737">
        <f ca="1">D19</f>
        <v>1148</v>
      </c>
      <c r="E102" s="3206"/>
      <c r="F102" s="3160"/>
      <c r="G102" s="2509" t="s">
        <v>2298</v>
      </c>
      <c r="H102" s="371">
        <f ca="1">I118</f>
        <v>15233</v>
      </c>
      <c r="I102" s="138"/>
    </row>
    <row r="103" spans="1:35" ht="42.75" customHeight="1">
      <c r="A103" s="3162"/>
      <c r="B103" s="2509" t="s">
        <v>2298</v>
      </c>
      <c r="C103" s="738">
        <f ca="1">C20</f>
        <v>17167</v>
      </c>
      <c r="D103" s="739">
        <f ca="1">D20</f>
        <v>12333</v>
      </c>
      <c r="E103" s="3201" t="s">
        <v>2299</v>
      </c>
      <c r="F103" s="3202"/>
      <c r="G103" s="2510" t="s">
        <v>2300</v>
      </c>
      <c r="H103" s="1045">
        <f>IF(D36="正常操作",H104+H105+H106,H105+H106)</f>
        <v>0</v>
      </c>
      <c r="I103" s="138"/>
    </row>
    <row r="104" spans="1:35" ht="18.75" customHeight="1">
      <c r="A104" s="3162" t="s">
        <v>2301</v>
      </c>
      <c r="B104" s="2511" t="s">
        <v>2296</v>
      </c>
      <c r="C104" s="740">
        <f ca="1">H118</f>
        <v>1418</v>
      </c>
      <c r="D104" s="741"/>
      <c r="E104" s="2256" t="s">
        <v>2302</v>
      </c>
      <c r="F104" s="2248"/>
      <c r="G104" s="2510" t="s">
        <v>2300</v>
      </c>
      <c r="H104" s="1046">
        <f>IF(D36="同一抵押权人同一抵押物续贷",C36&amp;"（未扣减，详见特别提示）",C36)</f>
        <v>0</v>
      </c>
      <c r="I104" s="138"/>
    </row>
    <row r="105" spans="1:35" ht="18.75" customHeight="1" thickBot="1">
      <c r="A105" s="3163"/>
      <c r="B105" s="2512" t="s">
        <v>2298</v>
      </c>
      <c r="C105" s="742">
        <f ca="1">I118</f>
        <v>15233</v>
      </c>
      <c r="D105" s="743"/>
      <c r="E105" s="2256" t="s">
        <v>2303</v>
      </c>
      <c r="F105" s="2248"/>
      <c r="G105" s="2510" t="s">
        <v>2300</v>
      </c>
      <c r="H105" s="1046">
        <f>C37</f>
        <v>0</v>
      </c>
      <c r="I105" s="138"/>
    </row>
    <row r="106" spans="1:35" ht="18.75" customHeight="1">
      <c r="A106" s="2407" t="s">
        <v>2304</v>
      </c>
      <c r="B106" s="2407"/>
      <c r="C106" s="2407"/>
      <c r="D106" s="2407"/>
      <c r="E106" s="2513" t="s">
        <v>2305</v>
      </c>
      <c r="F106" s="2248"/>
      <c r="G106" s="2510" t="s">
        <v>2300</v>
      </c>
      <c r="H106" s="1046">
        <f>C38</f>
        <v>0</v>
      </c>
      <c r="I106" s="138"/>
    </row>
    <row r="107" spans="1:35" ht="18.75" customHeight="1">
      <c r="A107" s="138"/>
      <c r="B107" s="138"/>
      <c r="C107" s="138"/>
      <c r="D107" s="138"/>
      <c r="E107" s="3159" t="str">
        <f>IF(项目基本情况!E8="已注销","——","3.房地产抵押价值")</f>
        <v>3.房地产抵押价值</v>
      </c>
      <c r="F107" s="3160"/>
      <c r="G107" s="2509" t="s">
        <v>2296</v>
      </c>
      <c r="H107" s="1045">
        <f ca="1">IF(E107="——","——",H101-H103)</f>
        <v>1418</v>
      </c>
      <c r="I107" s="138"/>
    </row>
    <row r="108" spans="1:35" ht="18.75" customHeight="1">
      <c r="A108" s="138"/>
      <c r="B108" s="138"/>
      <c r="C108" s="138"/>
      <c r="D108" s="138"/>
      <c r="E108" s="3159"/>
      <c r="F108" s="3160"/>
      <c r="G108" s="2509" t="s">
        <v>2298</v>
      </c>
      <c r="H108" s="371">
        <f ca="1">ROUND(H107*10000/'数据-汇总表'!E3,0)</f>
        <v>166</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60"/>
      <c r="G109" s="2509" t="s">
        <v>2296</v>
      </c>
      <c r="H109" s="348" t="str">
        <f>IF(E109="——","——",H101-H105-H106)</f>
        <v>——</v>
      </c>
      <c r="I109" s="138"/>
    </row>
    <row r="110" spans="1:35" ht="18.75" customHeight="1">
      <c r="A110" s="138"/>
      <c r="B110" s="138"/>
      <c r="C110" s="138"/>
      <c r="D110" s="138"/>
      <c r="E110" s="3159"/>
      <c r="F110" s="3160"/>
      <c r="G110" s="2509" t="s">
        <v>2298</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09" t="s">
        <v>2296</v>
      </c>
      <c r="H111" s="1045" t="str">
        <f>IF(E111="——","——",N59)</f>
        <v>——</v>
      </c>
      <c r="I111" s="138"/>
    </row>
    <row r="112" spans="1:35" ht="18.75" customHeight="1" thickBot="1">
      <c r="A112" s="138"/>
      <c r="B112" s="138"/>
      <c r="C112" s="138"/>
      <c r="D112" s="138"/>
      <c r="E112" s="3196"/>
      <c r="F112" s="3197"/>
      <c r="G112" s="2514" t="s">
        <v>2298</v>
      </c>
      <c r="H112" s="790" t="str">
        <f>IF(E111="——","——",N61)</f>
        <v>——</v>
      </c>
      <c r="I112" s="138"/>
    </row>
    <row r="113" spans="1:11" ht="18.75" customHeight="1">
      <c r="A113" s="138"/>
      <c r="B113" s="138"/>
      <c r="C113" s="138"/>
      <c r="D113" s="138"/>
      <c r="E113" s="3164" t="s">
        <v>2304</v>
      </c>
      <c r="F113" s="3164"/>
      <c r="G113" s="3164"/>
      <c r="H113" s="3164"/>
      <c r="I113" s="138"/>
    </row>
    <row r="114" spans="1:11" ht="3.75" customHeight="1">
      <c r="A114" s="2407"/>
      <c r="B114" s="2407"/>
      <c r="C114" s="2407"/>
      <c r="D114" s="2407"/>
      <c r="E114" s="2485"/>
      <c r="F114" s="2485"/>
      <c r="G114" s="2485"/>
      <c r="H114" s="2485"/>
      <c r="I114" s="2407"/>
    </row>
    <row r="115" spans="1:11" ht="18.75" customHeight="1">
      <c r="A115" s="3177" t="s">
        <v>2306</v>
      </c>
      <c r="B115" s="3178"/>
      <c r="C115" s="3178"/>
      <c r="D115" s="3178"/>
      <c r="E115" s="3178"/>
      <c r="F115" s="3178"/>
      <c r="G115" s="3178"/>
      <c r="H115" s="3178"/>
      <c r="I115" s="3179"/>
    </row>
    <row r="116" spans="1:11" ht="27" customHeight="1">
      <c r="A116" s="3070" t="s">
        <v>2307</v>
      </c>
      <c r="B116" s="3165" t="s">
        <v>2308</v>
      </c>
      <c r="C116" s="3165" t="s">
        <v>2309</v>
      </c>
      <c r="D116" s="3181" t="s">
        <v>2310</v>
      </c>
      <c r="E116" s="3182"/>
      <c r="F116" s="3173" t="s">
        <v>2311</v>
      </c>
      <c r="G116" s="3173"/>
      <c r="H116" s="3070" t="s">
        <v>2312</v>
      </c>
      <c r="I116" s="3070"/>
    </row>
    <row r="117" spans="1:11" ht="18.75" customHeight="1">
      <c r="A117" s="3070"/>
      <c r="B117" s="3166"/>
      <c r="C117" s="3166"/>
      <c r="D117" s="3008" t="s">
        <v>2313</v>
      </c>
      <c r="E117" s="3008" t="s">
        <v>2314</v>
      </c>
      <c r="F117" s="3008" t="s">
        <v>2313</v>
      </c>
      <c r="G117" s="3008" t="s">
        <v>2315</v>
      </c>
      <c r="H117" s="3008" t="s">
        <v>2313</v>
      </c>
      <c r="I117" s="3008" t="s">
        <v>2315</v>
      </c>
    </row>
    <row r="118" spans="1:11" ht="24.75" customHeight="1">
      <c r="A118" s="2515" t="str">
        <f>项目基本情况!S2</f>
        <v>北京市大兴区隆盛大街6号院1号楼-8幢等办公、商业、车库、地下仓储用房房地产</v>
      </c>
      <c r="B118" s="3008">
        <f>M18</f>
        <v>930.84999999999991</v>
      </c>
      <c r="C118" s="3008">
        <f>M19</f>
        <v>252.94</v>
      </c>
      <c r="D118" s="3008" t="e">
        <f ca="1">ROUND(IF(D32="总价",C34,E118*B118/10000),0)</f>
        <v>#REF!</v>
      </c>
      <c r="E118" s="3008" t="e">
        <f ca="1">ROUND(IF(C33="自定义",IF(D32="楼面单价",C34,D118*10000/B118),I118-G118),0)</f>
        <v>#REF!</v>
      </c>
      <c r="F118" s="3008" t="e">
        <f ca="1">ROUND(IF(D32="总价",C35,G118*B118/10000),0)</f>
        <v>#REF!</v>
      </c>
      <c r="G118" s="3008" t="e">
        <f ca="1">ROUND(IF(D32="楼面单价",C35,F118*10000/B118),0)</f>
        <v>#REF!</v>
      </c>
      <c r="H118" s="3008">
        <f ca="1">ROUND(IF(D32="总价",C32,I118*B118/10000),0)</f>
        <v>1418</v>
      </c>
      <c r="I118" s="3008">
        <f ca="1">ROUND(IF(D32="楼面单价",C32,H118*10000/B118),0)</f>
        <v>15233</v>
      </c>
    </row>
    <row r="119" spans="1:11" ht="18.75" customHeight="1">
      <c r="A119" s="3070" t="s">
        <v>2316</v>
      </c>
      <c r="B119" s="3070"/>
      <c r="C119" s="3070"/>
      <c r="D119" s="3170" t="e">
        <f ca="1">NUMBERSTRING(INT(D118*10000),2)&amp;"元整"</f>
        <v>#REF!</v>
      </c>
      <c r="E119" s="3172"/>
      <c r="F119" s="3170" t="e">
        <f ca="1">NUMBERSTRING(INT(F118*10000),2)&amp;"元整"</f>
        <v>#REF!</v>
      </c>
      <c r="G119" s="3172"/>
      <c r="H119" s="3170" t="str">
        <f ca="1">NUMBERSTRING(INT(H118*10000),2)&amp;"元整"</f>
        <v>壹仟肆佰壹拾捌万元整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12" t="str">
        <f>IF(D120=0,"故，本次评估不存在"&amp;A120,"故，本次评估"&amp;A120&amp;"为人民币"&amp;D120&amp;"万元整。")</f>
        <v>故，本次评估不存在估价师知悉的法定优先受偿款</v>
      </c>
    </row>
    <row r="121" spans="1:11" ht="18.75" customHeight="1">
      <c r="A121" s="3174" t="s">
        <v>2316</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1418</v>
      </c>
      <c r="E122" s="3199"/>
      <c r="F122" s="3199"/>
      <c r="G122" s="3199"/>
      <c r="H122" s="3199"/>
      <c r="I122" s="3200"/>
    </row>
    <row r="123" spans="1:11" ht="18.75" customHeight="1">
      <c r="A123" s="3070" t="s">
        <v>2316</v>
      </c>
      <c r="B123" s="3070"/>
      <c r="C123" s="3070"/>
      <c r="D123" s="3170" t="str">
        <f ca="1">NUMBERSTRING(INT(D122*10000),2)&amp;"元整"</f>
        <v>壹仟肆佰壹拾捌万元整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70" t="s">
        <v>2316</v>
      </c>
      <c r="B125" s="3070"/>
      <c r="C125" s="3070"/>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70" t="s">
        <v>2316</v>
      </c>
      <c r="B127" s="3070"/>
      <c r="C127" s="3070"/>
      <c r="D127" s="3170" t="e">
        <f>NUMBERSTRING(INT(D126*10000),2)&amp;"元整"</f>
        <v>#VALUE!</v>
      </c>
      <c r="E127" s="3171"/>
      <c r="F127" s="3171"/>
      <c r="G127" s="3171"/>
      <c r="H127" s="3171"/>
      <c r="I127" s="3172"/>
    </row>
    <row r="128" spans="1:11" ht="21.75" customHeight="1">
      <c r="A128" s="3180" t="s">
        <v>2317</v>
      </c>
      <c r="B128" s="3180"/>
      <c r="C128" s="3180"/>
      <c r="D128" s="3180"/>
      <c r="E128" s="3180"/>
      <c r="F128" s="3180"/>
      <c r="G128" s="3180"/>
      <c r="H128" s="3180"/>
      <c r="I128" s="3180"/>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2320</v>
      </c>
      <c r="G135" s="2533"/>
      <c r="H135" s="2533"/>
      <c r="I135" s="2534" t="s">
        <v>2321</v>
      </c>
    </row>
    <row r="136" spans="1:35" ht="21.75" customHeight="1">
      <c r="A136" s="795"/>
      <c r="B136" s="253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2323</v>
      </c>
    </row>
    <row r="139" spans="1:35" ht="21.75" customHeight="1">
      <c r="A139" s="795"/>
      <c r="B139" s="2535" t="s">
        <v>2324</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2323</v>
      </c>
    </row>
    <row r="142" spans="1:35" ht="21.75" customHeight="1">
      <c r="A142" s="795"/>
      <c r="B142" s="2535"/>
      <c r="C142" s="2536"/>
      <c r="D142" s="2537"/>
      <c r="E142" s="2537"/>
      <c r="F142" s="2330"/>
      <c r="G142" s="795"/>
      <c r="H142" s="795"/>
      <c r="I142" s="795"/>
    </row>
    <row r="143" spans="1:35" s="139" customFormat="1" ht="21.75" customHeight="1">
      <c r="A143" s="795"/>
      <c r="B143" s="2535"/>
      <c r="C143" s="2536"/>
      <c r="D143" s="2537"/>
      <c r="E143" s="2537"/>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G48" sqref="G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573" t="s">
        <v>2641</v>
      </c>
      <c r="C1" s="1633" t="s">
        <v>2529</v>
      </c>
      <c r="D1" s="1620" t="s">
        <v>1372</v>
      </c>
      <c r="E1" s="2648"/>
      <c r="F1" s="2575" t="s">
        <v>3230</v>
      </c>
      <c r="G1" s="1630" t="s">
        <v>2642</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8" customFormat="1" ht="28.5" customHeight="1" thickTop="1">
      <c r="A2" s="1616" t="s">
        <v>2326</v>
      </c>
      <c r="B2" s="1418">
        <f>IF(C2="——",ROUND(C49*D3/10000,0),ROUND(C49*D3/10000,0)-D2)</f>
        <v>2106</v>
      </c>
      <c r="C2" s="2577" t="s">
        <v>70</v>
      </c>
      <c r="D2" s="1365" t="e">
        <f ca="1">SUMIF(INDIRECT("'"&amp;F2&amp;"'"&amp;"!A:A"),"承租人权益价值",INDIRECT("'"&amp;F2&amp;"'"&amp;"!c:c"))</f>
        <v>#REF!</v>
      </c>
      <c r="E2" s="2578" t="s">
        <v>2327</v>
      </c>
      <c r="F2" s="2579"/>
      <c r="G2" s="1125"/>
      <c r="H2" s="1125"/>
      <c r="I2" s="1125"/>
      <c r="J2" s="1125"/>
      <c r="K2" s="1125"/>
      <c r="L2" s="1128"/>
      <c r="M2" s="1129"/>
      <c r="N2" s="1129"/>
      <c r="O2" s="1129"/>
      <c r="P2" s="2652"/>
      <c r="Q2" s="1129"/>
      <c r="R2" s="1129"/>
      <c r="S2" s="1129"/>
      <c r="T2" s="1129"/>
      <c r="U2" s="1129"/>
      <c r="V2" s="1129"/>
      <c r="W2" s="1129"/>
      <c r="X2" s="1129"/>
      <c r="Y2" s="1129"/>
      <c r="Z2" s="1129"/>
      <c r="AA2" s="1129"/>
      <c r="AB2" s="1129"/>
      <c r="AC2" s="2653"/>
    </row>
    <row r="3" spans="1:29" s="398" customFormat="1" ht="28.5" customHeight="1" thickBot="1">
      <c r="A3" s="247" t="s">
        <v>2328</v>
      </c>
      <c r="B3" s="609">
        <f>IF(C2="——",C49,ROUND(B2*10000/D3,0))</f>
        <v>22624</v>
      </c>
      <c r="C3" s="400" t="s">
        <v>2643</v>
      </c>
      <c r="D3" s="399">
        <f>IF(D1="",'数据-汇总表'!E3,SUMIF('数据-汇总表'!$C19:$C33,D1,'数据-汇总表'!$E19:$E33))</f>
        <v>930.84999999999991</v>
      </c>
      <c r="E3" s="2654"/>
      <c r="F3" s="1126"/>
      <c r="G3" s="1125"/>
      <c r="H3" s="1125"/>
      <c r="I3" s="1125"/>
      <c r="J3" s="1125"/>
      <c r="K3" s="1127"/>
      <c r="L3" s="1128"/>
      <c r="M3" s="1129"/>
      <c r="N3" s="1129"/>
      <c r="O3" s="1129"/>
      <c r="P3" s="2652"/>
      <c r="Q3" s="1129"/>
      <c r="R3" s="1129"/>
      <c r="S3" s="1129"/>
      <c r="T3" s="1129"/>
      <c r="U3" s="1129"/>
      <c r="V3" s="1129"/>
      <c r="W3" s="1129"/>
      <c r="X3" s="1129"/>
      <c r="Y3" s="1129"/>
      <c r="Z3" s="1129"/>
      <c r="AA3" s="1129"/>
      <c r="AB3" s="1129"/>
      <c r="AC3" s="2654"/>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57" t="s">
        <v>2647</v>
      </c>
      <c r="AC4" s="3277" t="s">
        <v>2648</v>
      </c>
    </row>
    <row r="5" spans="1:29">
      <c r="A5" s="404"/>
      <c r="B5" s="405"/>
      <c r="C5" s="3266" t="s">
        <v>2541</v>
      </c>
      <c r="D5" s="3261"/>
      <c r="E5" s="3284" t="s">
        <v>2542</v>
      </c>
      <c r="F5" s="3273"/>
      <c r="G5" s="3266" t="s">
        <v>2543</v>
      </c>
      <c r="H5" s="3261"/>
      <c r="I5" s="3266" t="s">
        <v>2544</v>
      </c>
      <c r="J5" s="3261"/>
      <c r="K5" s="610"/>
      <c r="L5" s="1130"/>
      <c r="M5" s="1131"/>
      <c r="N5" s="1131"/>
      <c r="O5" s="1131"/>
      <c r="P5" s="3280"/>
      <c r="Q5" s="3247"/>
      <c r="R5" s="3252"/>
      <c r="S5" s="3253"/>
      <c r="T5" s="3252"/>
      <c r="U5" s="3253"/>
      <c r="V5" s="3257"/>
      <c r="W5" s="3257"/>
      <c r="X5" s="1804"/>
      <c r="Y5" s="3252"/>
      <c r="Z5" s="3253"/>
      <c r="AA5" s="3270"/>
      <c r="AB5" s="3257"/>
      <c r="AC5" s="3270"/>
    </row>
    <row r="6" spans="1:29" ht="15" thickBot="1">
      <c r="A6" s="406"/>
      <c r="B6" s="407"/>
      <c r="C6" s="3258" t="s">
        <v>2545</v>
      </c>
      <c r="D6" s="3259"/>
      <c r="E6" s="3267" t="s">
        <v>2545</v>
      </c>
      <c r="F6" s="3268"/>
      <c r="G6" s="3258" t="s">
        <v>2545</v>
      </c>
      <c r="H6" s="3259"/>
      <c r="I6" s="3258" t="s">
        <v>2545</v>
      </c>
      <c r="J6" s="3259"/>
      <c r="K6" s="610" t="s">
        <v>2546</v>
      </c>
      <c r="L6" s="1130"/>
      <c r="M6" s="1131"/>
      <c r="N6" s="1131"/>
      <c r="O6" s="1131"/>
      <c r="P6" s="3281"/>
      <c r="Q6" s="3249"/>
      <c r="R6" s="3252"/>
      <c r="S6" s="3253"/>
      <c r="T6" s="3254"/>
      <c r="U6" s="3255"/>
      <c r="V6" s="3257"/>
      <c r="W6" s="3257"/>
      <c r="X6" s="1804"/>
      <c r="Y6" s="3254"/>
      <c r="Z6" s="3255"/>
      <c r="AA6" s="3271"/>
      <c r="AB6" s="3257"/>
      <c r="AC6" s="3271"/>
    </row>
    <row r="7" spans="1:29" s="117" customFormat="1" ht="15" thickBot="1">
      <c r="A7" s="408" t="s">
        <v>2547</v>
      </c>
      <c r="B7" s="409"/>
      <c r="C7" s="410">
        <f>'数据-取费表'!B2</f>
        <v>44012</v>
      </c>
      <c r="D7" s="411">
        <v>100</v>
      </c>
      <c r="E7" s="412">
        <f>C7</f>
        <v>44012</v>
      </c>
      <c r="F7" s="413">
        <f>SUMIF(58:58,YEAR(E7)&amp;"-"&amp;MONTH(E7),59:59)</f>
        <v>100</v>
      </c>
      <c r="G7" s="412">
        <f>C7</f>
        <v>44012</v>
      </c>
      <c r="H7" s="411">
        <f>SUMIF(58:58,YEAR(G7)&amp;"-"&amp;MONTH(G7),59:59)</f>
        <v>100</v>
      </c>
      <c r="I7" s="412">
        <f>C7</f>
        <v>44012</v>
      </c>
      <c r="J7" s="411">
        <f>SUMIF(58:58,YEAR(I7)&amp;"-"&amp;MONTH(I7),59:59)</f>
        <v>100</v>
      </c>
      <c r="K7" s="611"/>
      <c r="L7" s="1132"/>
      <c r="M7" s="1133"/>
      <c r="N7" s="1133"/>
      <c r="O7" s="1133"/>
      <c r="P7" s="3264" t="s">
        <v>2548</v>
      </c>
      <c r="Q7" s="3265"/>
      <c r="R7" s="770" t="s">
        <v>17</v>
      </c>
      <c r="S7" s="771">
        <f t="shared" ref="S7:S15" si="0">F7</f>
        <v>100</v>
      </c>
      <c r="T7" s="770" t="s">
        <v>17</v>
      </c>
      <c r="U7" s="771">
        <f t="shared" ref="U7:U15" si="1">H7</f>
        <v>100</v>
      </c>
      <c r="V7" s="770" t="s">
        <v>17</v>
      </c>
      <c r="W7" s="771">
        <f t="shared" ref="W7:W15" si="2">J7</f>
        <v>100</v>
      </c>
      <c r="X7" s="772"/>
      <c r="Y7" s="3264" t="s">
        <v>2548</v>
      </c>
      <c r="Z7" s="3263"/>
      <c r="AA7" s="773">
        <f>D7/F7</f>
        <v>1</v>
      </c>
      <c r="AB7" s="773">
        <f>D7/H7</f>
        <v>1</v>
      </c>
      <c r="AC7" s="773">
        <f>D7/J7</f>
        <v>1</v>
      </c>
    </row>
    <row r="8" spans="1:29" s="117" customFormat="1" ht="15" thickBot="1">
      <c r="A8" s="408" t="s">
        <v>2549</v>
      </c>
      <c r="B8" s="409"/>
      <c r="C8" s="414" t="s">
        <v>2651</v>
      </c>
      <c r="D8" s="411">
        <v>100</v>
      </c>
      <c r="E8" s="414" t="s">
        <v>3171</v>
      </c>
      <c r="F8" s="413">
        <f>SUMIF(61:61,E8,62:62)-SUMIF(61:61,C8,62:62)+100</f>
        <v>100</v>
      </c>
      <c r="G8" s="414" t="s">
        <v>3171</v>
      </c>
      <c r="H8" s="411">
        <f>SUMIF(61:61,G8,62:62)-SUMIF(61:61,C8,62:62)+100</f>
        <v>100</v>
      </c>
      <c r="I8" s="414" t="s">
        <v>3171</v>
      </c>
      <c r="J8" s="411">
        <f>SUMIF(61:61,I8,62:62)-SUMIF(61:61,C8,62:62)+100</f>
        <v>100</v>
      </c>
      <c r="K8" s="611"/>
      <c r="L8" s="1132"/>
      <c r="M8" s="1133"/>
      <c r="N8" s="1133"/>
      <c r="O8" s="1133"/>
      <c r="P8" s="3264" t="s">
        <v>2551</v>
      </c>
      <c r="Q8" s="3263"/>
      <c r="R8" s="770" t="s">
        <v>17</v>
      </c>
      <c r="S8" s="771">
        <f t="shared" si="0"/>
        <v>100</v>
      </c>
      <c r="T8" s="770" t="s">
        <v>17</v>
      </c>
      <c r="U8" s="771">
        <f t="shared" si="1"/>
        <v>100</v>
      </c>
      <c r="V8" s="770" t="s">
        <v>17</v>
      </c>
      <c r="W8" s="771">
        <f t="shared" si="2"/>
        <v>100</v>
      </c>
      <c r="X8" s="772"/>
      <c r="Y8" s="3264" t="s">
        <v>2551</v>
      </c>
      <c r="Z8" s="3263"/>
      <c r="AA8" s="773">
        <f t="shared" ref="AA8:AA46" si="3">D8/F8</f>
        <v>1</v>
      </c>
      <c r="AB8" s="773">
        <f t="shared" ref="AB8:AB46" si="4">D8/H8</f>
        <v>1</v>
      </c>
      <c r="AC8" s="773">
        <f t="shared" ref="AC8:AC46" si="5">D8/J8</f>
        <v>1</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22"/>
      <c r="Q11" s="1786" t="str">
        <f t="shared" si="6"/>
        <v>容积率</v>
      </c>
      <c r="R11" s="770" t="s">
        <v>17</v>
      </c>
      <c r="S11" s="771">
        <f t="shared" si="0"/>
        <v>100</v>
      </c>
      <c r="T11" s="770" t="s">
        <v>17</v>
      </c>
      <c r="U11" s="771">
        <f t="shared" si="1"/>
        <v>100</v>
      </c>
      <c r="V11" s="770" t="s">
        <v>17</v>
      </c>
      <c r="W11" s="771">
        <f t="shared" si="2"/>
        <v>100</v>
      </c>
      <c r="X11" s="772"/>
      <c r="Y11" s="3070"/>
      <c r="Z11" s="55" t="str">
        <f t="shared" si="7"/>
        <v>容积率</v>
      </c>
      <c r="AA11" s="773">
        <f t="shared" si="3"/>
        <v>1</v>
      </c>
      <c r="AB11" s="773">
        <f t="shared" si="4"/>
        <v>1</v>
      </c>
      <c r="AC11" s="773">
        <f t="shared" si="5"/>
        <v>1</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2558</v>
      </c>
      <c r="B15" s="69" t="s">
        <v>2652</v>
      </c>
      <c r="C15" s="2594"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228" t="s">
        <v>2559</v>
      </c>
      <c r="Q15" s="1801" t="str">
        <f t="shared" si="6"/>
        <v>商业繁华度</v>
      </c>
      <c r="R15" s="774" t="s">
        <v>17</v>
      </c>
      <c r="S15" s="775">
        <f t="shared" si="0"/>
        <v>105</v>
      </c>
      <c r="T15" s="774" t="s">
        <v>17</v>
      </c>
      <c r="U15" s="775">
        <f t="shared" si="1"/>
        <v>105</v>
      </c>
      <c r="V15" s="774" t="s">
        <v>17</v>
      </c>
      <c r="W15" s="775">
        <f t="shared" si="2"/>
        <v>105</v>
      </c>
      <c r="X15" s="1804"/>
      <c r="Y15" s="3230" t="s">
        <v>2559</v>
      </c>
      <c r="Z15" s="1805" t="str">
        <f t="shared" si="7"/>
        <v>商业繁华度</v>
      </c>
      <c r="AA15" s="1802">
        <f t="shared" si="3"/>
        <v>0.95238095238095233</v>
      </c>
      <c r="AB15" s="1802">
        <f t="shared" si="4"/>
        <v>0.95238095238095233</v>
      </c>
      <c r="AC15" s="1802">
        <f t="shared" si="5"/>
        <v>0.95238095238095233</v>
      </c>
    </row>
    <row r="16" spans="1:29" ht="15">
      <c r="A16" s="428"/>
      <c r="B16" s="446"/>
      <c r="C16" s="447" t="s">
        <v>3126</v>
      </c>
      <c r="D16" s="448"/>
      <c r="E16" s="447" t="s">
        <v>3127</v>
      </c>
      <c r="F16" s="449"/>
      <c r="G16" s="447" t="s">
        <v>3127</v>
      </c>
      <c r="H16" s="450"/>
      <c r="I16" s="447" t="s">
        <v>3127</v>
      </c>
      <c r="J16" s="448"/>
      <c r="K16" s="615"/>
      <c r="L16" s="1140"/>
      <c r="M16" s="1131"/>
      <c r="N16" s="1131"/>
      <c r="O16" s="1131"/>
      <c r="P16" s="3229"/>
      <c r="Q16" s="1801"/>
      <c r="R16" s="774"/>
      <c r="S16" s="775"/>
      <c r="T16" s="774"/>
      <c r="U16" s="775"/>
      <c r="V16" s="774"/>
      <c r="W16" s="775"/>
      <c r="X16" s="1804"/>
      <c r="Y16" s="3231"/>
      <c r="Z16" s="1805"/>
      <c r="AA16" s="1802">
        <v>1</v>
      </c>
      <c r="AB16" s="1802">
        <v>1</v>
      </c>
      <c r="AC16" s="1802">
        <v>1</v>
      </c>
    </row>
    <row r="17" spans="1:29" ht="82.8">
      <c r="A17" s="428"/>
      <c r="B17" s="451" t="s">
        <v>2095</v>
      </c>
      <c r="C17" s="2598" t="str">
        <f>估价对象房地状况!C6</f>
        <v>估价对象周边道路状况、公共交通通达情况、停车便捷程度，综合评价交通便捷度较好</v>
      </c>
      <c r="D17" s="450">
        <v>100</v>
      </c>
      <c r="E17" s="452"/>
      <c r="F17" s="453">
        <f>SUMIF(78:78,E18,79:79)-SUMIF(78:78,C18,79:79)+100</f>
        <v>105</v>
      </c>
      <c r="G17" s="454"/>
      <c r="H17" s="455">
        <f>SUMIF(78:78,G18,79:79)-SUMIF(78:78,C18,79:79)+100</f>
        <v>105</v>
      </c>
      <c r="I17" s="452"/>
      <c r="J17" s="455">
        <f>SUMIF(78:78,I18,79:79)-SUMIF(78:78,C18,79:79)+100</f>
        <v>105</v>
      </c>
      <c r="K17" s="614">
        <v>5</v>
      </c>
      <c r="L17" s="1140"/>
      <c r="M17" s="1131"/>
      <c r="N17" s="1131"/>
      <c r="O17" s="1131"/>
      <c r="P17" s="3229"/>
      <c r="Q17" s="1801" t="str">
        <f>B17</f>
        <v>交通便捷度</v>
      </c>
      <c r="R17" s="774" t="s">
        <v>17</v>
      </c>
      <c r="S17" s="775">
        <f>F17</f>
        <v>105</v>
      </c>
      <c r="T17" s="774" t="s">
        <v>17</v>
      </c>
      <c r="U17" s="775">
        <f>H17</f>
        <v>105</v>
      </c>
      <c r="V17" s="774" t="s">
        <v>17</v>
      </c>
      <c r="W17" s="775">
        <f>J17</f>
        <v>105</v>
      </c>
      <c r="X17" s="1804"/>
      <c r="Y17" s="3231"/>
      <c r="Z17" s="1805" t="str">
        <f>Q17</f>
        <v>交通便捷度</v>
      </c>
      <c r="AA17" s="1802">
        <f t="shared" si="3"/>
        <v>0.95238095238095233</v>
      </c>
      <c r="AB17" s="1802">
        <f t="shared" si="4"/>
        <v>0.95238095238095233</v>
      </c>
      <c r="AC17" s="1802">
        <f t="shared" si="5"/>
        <v>0.95238095238095233</v>
      </c>
    </row>
    <row r="18" spans="1:29" ht="15">
      <c r="A18" s="428"/>
      <c r="B18" s="456"/>
      <c r="C18" s="2599" t="s">
        <v>3126</v>
      </c>
      <c r="D18" s="450"/>
      <c r="E18" s="2601" t="s">
        <v>3127</v>
      </c>
      <c r="F18" s="453"/>
      <c r="G18" s="2601" t="s">
        <v>3127</v>
      </c>
      <c r="H18" s="448"/>
      <c r="I18" s="2601" t="s">
        <v>3127</v>
      </c>
      <c r="J18" s="448"/>
      <c r="K18" s="615"/>
      <c r="L18" s="1140"/>
      <c r="M18" s="1131"/>
      <c r="N18" s="1131"/>
      <c r="O18" s="1131"/>
      <c r="P18" s="3229"/>
      <c r="Q18" s="1801"/>
      <c r="R18" s="774"/>
      <c r="S18" s="775"/>
      <c r="T18" s="774"/>
      <c r="U18" s="775"/>
      <c r="V18" s="774"/>
      <c r="W18" s="775"/>
      <c r="X18" s="1804"/>
      <c r="Y18" s="3231"/>
      <c r="Z18" s="1805"/>
      <c r="AA18" s="1802">
        <v>1</v>
      </c>
      <c r="AB18" s="1802">
        <v>1</v>
      </c>
      <c r="AC18" s="1802">
        <v>1</v>
      </c>
    </row>
    <row r="19" spans="1:29" ht="41.4">
      <c r="A19" s="428"/>
      <c r="B19" s="451" t="s">
        <v>2653</v>
      </c>
      <c r="C19" s="2598" t="str">
        <f>估价对象房地状况!C7</f>
        <v>估价对象所在区域公共配套设施齐备情况</v>
      </c>
      <c r="D19" s="455">
        <v>100</v>
      </c>
      <c r="E19" s="457"/>
      <c r="F19" s="458">
        <f>SUMIF(80:80,E20,81:81)-SUMIF(80:80,C20,81:81)+100</f>
        <v>105</v>
      </c>
      <c r="G19" s="459"/>
      <c r="H19" s="450">
        <f>SUMIF(80:80,G20,81:81)-SUMIF(80:80,C20,81:81)+100</f>
        <v>105</v>
      </c>
      <c r="I19" s="457"/>
      <c r="J19" s="450">
        <f>SUMIF(80:80,I20,81:81)-SUMIF(80:80,C20,81:81)+100</f>
        <v>105</v>
      </c>
      <c r="K19" s="614">
        <v>5</v>
      </c>
      <c r="L19" s="1140"/>
      <c r="M19" s="1131"/>
      <c r="N19" s="1131"/>
      <c r="O19" s="1131"/>
      <c r="P19" s="3229"/>
      <c r="Q19" s="1801" t="str">
        <f>B19</f>
        <v>公共配套设施</v>
      </c>
      <c r="R19" s="774" t="s">
        <v>17</v>
      </c>
      <c r="S19" s="775">
        <f>F19</f>
        <v>105</v>
      </c>
      <c r="T19" s="774" t="s">
        <v>17</v>
      </c>
      <c r="U19" s="775">
        <f>H19</f>
        <v>105</v>
      </c>
      <c r="V19" s="774" t="s">
        <v>17</v>
      </c>
      <c r="W19" s="775">
        <f>J19</f>
        <v>105</v>
      </c>
      <c r="X19" s="1804"/>
      <c r="Y19" s="3231"/>
      <c r="Z19" s="1805" t="str">
        <f>Q19</f>
        <v>公共配套设施</v>
      </c>
      <c r="AA19" s="1802">
        <f t="shared" si="3"/>
        <v>0.95238095238095233</v>
      </c>
      <c r="AB19" s="1802">
        <f t="shared" si="4"/>
        <v>0.95238095238095233</v>
      </c>
      <c r="AC19" s="1802">
        <f t="shared" si="5"/>
        <v>0.95238095238095233</v>
      </c>
    </row>
    <row r="20" spans="1:29" ht="15">
      <c r="A20" s="428"/>
      <c r="B20" s="456"/>
      <c r="C20" s="447" t="s">
        <v>3126</v>
      </c>
      <c r="D20" s="448"/>
      <c r="E20" s="2596" t="s">
        <v>3127</v>
      </c>
      <c r="F20" s="449"/>
      <c r="G20" s="2601" t="s">
        <v>3127</v>
      </c>
      <c r="H20" s="448"/>
      <c r="I20" s="2601" t="s">
        <v>3127</v>
      </c>
      <c r="J20" s="448"/>
      <c r="K20" s="615"/>
      <c r="L20" s="1140"/>
      <c r="M20" s="1131"/>
      <c r="N20" s="1131"/>
      <c r="O20" s="1131"/>
      <c r="P20" s="3229"/>
      <c r="Q20" s="1801"/>
      <c r="R20" s="774"/>
      <c r="S20" s="775"/>
      <c r="T20" s="774"/>
      <c r="U20" s="775"/>
      <c r="V20" s="774"/>
      <c r="W20" s="775"/>
      <c r="X20" s="1804"/>
      <c r="Y20" s="3231"/>
      <c r="Z20" s="1805"/>
      <c r="AA20" s="1802">
        <v>1</v>
      </c>
      <c r="AB20" s="1802">
        <v>1</v>
      </c>
      <c r="AC20" s="1802">
        <v>1</v>
      </c>
    </row>
    <row r="21" spans="1:29" ht="27.6">
      <c r="A21" s="428"/>
      <c r="B21" s="1384" t="s">
        <v>2654</v>
      </c>
      <c r="C21" s="259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29"/>
      <c r="Q21" s="1801" t="str">
        <f>B21</f>
        <v>基础设施水平</v>
      </c>
      <c r="R21" s="774" t="s">
        <v>17</v>
      </c>
      <c r="S21" s="775">
        <f>F21</f>
        <v>100</v>
      </c>
      <c r="T21" s="774" t="s">
        <v>17</v>
      </c>
      <c r="U21" s="775">
        <f>H21</f>
        <v>100</v>
      </c>
      <c r="V21" s="774" t="s">
        <v>17</v>
      </c>
      <c r="W21" s="775">
        <f>J21</f>
        <v>100</v>
      </c>
      <c r="X21" s="1804"/>
      <c r="Y21" s="3231"/>
      <c r="Z21" s="1805" t="str">
        <f>Q21</f>
        <v>基础设施水平</v>
      </c>
      <c r="AA21" s="1802">
        <f t="shared" ref="AA21" si="8">D21/F21</f>
        <v>1</v>
      </c>
      <c r="AB21" s="1802">
        <f t="shared" ref="AB21" si="9">D21/H21</f>
        <v>1</v>
      </c>
      <c r="AC21" s="1802">
        <f t="shared" ref="AC21" si="10">D21/J21</f>
        <v>1</v>
      </c>
    </row>
    <row r="22" spans="1:29" ht="15">
      <c r="A22" s="428"/>
      <c r="B22" s="1384"/>
      <c r="C22" s="2599" t="s">
        <v>3174</v>
      </c>
      <c r="D22" s="448"/>
      <c r="E22" s="2599" t="s">
        <v>3174</v>
      </c>
      <c r="F22" s="449"/>
      <c r="G22" s="2599" t="s">
        <v>3174</v>
      </c>
      <c r="H22" s="448"/>
      <c r="I22" s="2599" t="s">
        <v>3174</v>
      </c>
      <c r="J22" s="448"/>
      <c r="K22" s="1383"/>
      <c r="L22" s="1140"/>
      <c r="M22" s="1131"/>
      <c r="N22" s="1131"/>
      <c r="O22" s="1131"/>
      <c r="P22" s="3229"/>
      <c r="Q22" s="1801"/>
      <c r="R22" s="774"/>
      <c r="S22" s="775"/>
      <c r="T22" s="774"/>
      <c r="U22" s="775"/>
      <c r="V22" s="774"/>
      <c r="W22" s="775"/>
      <c r="X22" s="1804"/>
      <c r="Y22" s="3231"/>
      <c r="Z22" s="1805"/>
      <c r="AA22" s="1802">
        <v>1</v>
      </c>
      <c r="AB22" s="1802">
        <v>1</v>
      </c>
      <c r="AC22" s="1802">
        <v>1</v>
      </c>
    </row>
    <row r="23" spans="1:29" ht="55.2">
      <c r="A23" s="428"/>
      <c r="B23" s="451" t="s">
        <v>2100</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29"/>
      <c r="Q23" s="1801" t="str">
        <f>B23</f>
        <v>自然及人文环境</v>
      </c>
      <c r="R23" s="774" t="s">
        <v>17</v>
      </c>
      <c r="S23" s="775">
        <f>F23</f>
        <v>100</v>
      </c>
      <c r="T23" s="774" t="s">
        <v>17</v>
      </c>
      <c r="U23" s="775">
        <f>H23</f>
        <v>100</v>
      </c>
      <c r="V23" s="774" t="s">
        <v>17</v>
      </c>
      <c r="W23" s="775">
        <f>J23</f>
        <v>100</v>
      </c>
      <c r="X23" s="1804"/>
      <c r="Y23" s="3231"/>
      <c r="Z23" s="1805" t="str">
        <f>Q23</f>
        <v>自然及人文环境</v>
      </c>
      <c r="AA23" s="1802">
        <f t="shared" si="3"/>
        <v>1</v>
      </c>
      <c r="AB23" s="1802">
        <f t="shared" si="4"/>
        <v>1</v>
      </c>
      <c r="AC23" s="1802">
        <f t="shared" si="5"/>
        <v>1</v>
      </c>
    </row>
    <row r="24" spans="1:29" ht="15">
      <c r="A24" s="428"/>
      <c r="B24" s="456"/>
      <c r="C24" s="447" t="s">
        <v>3126</v>
      </c>
      <c r="D24" s="448"/>
      <c r="E24" s="2596" t="s">
        <v>3126</v>
      </c>
      <c r="F24" s="449"/>
      <c r="G24" s="2596" t="s">
        <v>3126</v>
      </c>
      <c r="H24" s="448"/>
      <c r="I24" s="2596" t="s">
        <v>3126</v>
      </c>
      <c r="J24" s="448"/>
      <c r="K24" s="615"/>
      <c r="L24" s="1140"/>
      <c r="M24" s="1131"/>
      <c r="N24" s="1131"/>
      <c r="O24" s="1131"/>
      <c r="P24" s="3229"/>
      <c r="Q24" s="1801"/>
      <c r="R24" s="774"/>
      <c r="S24" s="775"/>
      <c r="T24" s="774"/>
      <c r="U24" s="775"/>
      <c r="V24" s="774"/>
      <c r="W24" s="775"/>
      <c r="X24" s="1804"/>
      <c r="Y24" s="3231"/>
      <c r="Z24" s="1805"/>
      <c r="AA24" s="1802">
        <v>1</v>
      </c>
      <c r="AB24" s="1802">
        <v>1</v>
      </c>
      <c r="AC24" s="180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1" t="str">
        <f t="shared" ref="Q25:Q46" si="11">B25</f>
        <v>临街状况</v>
      </c>
      <c r="R25" s="774" t="s">
        <v>17</v>
      </c>
      <c r="S25" s="775">
        <f>F25</f>
        <v>100</v>
      </c>
      <c r="T25" s="774" t="s">
        <v>17</v>
      </c>
      <c r="U25" s="775">
        <f>H25</f>
        <v>100</v>
      </c>
      <c r="V25" s="774" t="s">
        <v>17</v>
      </c>
      <c r="W25" s="775">
        <f>J25</f>
        <v>100</v>
      </c>
      <c r="X25" s="1804"/>
      <c r="Y25" s="3231"/>
      <c r="Z25" s="1805" t="str">
        <f>Q25</f>
        <v>临街状况</v>
      </c>
      <c r="AA25" s="1802">
        <f t="shared" si="3"/>
        <v>1</v>
      </c>
      <c r="AB25" s="1802">
        <f t="shared" si="4"/>
        <v>1</v>
      </c>
      <c r="AC25" s="1802">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1" t="str">
        <f t="shared" si="11"/>
        <v>平面位置/可视性</v>
      </c>
      <c r="R26" s="774" t="s">
        <v>17</v>
      </c>
      <c r="S26" s="775">
        <f>F26</f>
        <v>100</v>
      </c>
      <c r="T26" s="774" t="s">
        <v>17</v>
      </c>
      <c r="U26" s="775">
        <f>H26</f>
        <v>100</v>
      </c>
      <c r="V26" s="774" t="s">
        <v>17</v>
      </c>
      <c r="W26" s="775">
        <f>J26</f>
        <v>100</v>
      </c>
      <c r="X26" s="1804"/>
      <c r="Y26" s="3231"/>
      <c r="Z26" s="1805" t="str">
        <f>Q26</f>
        <v>平面位置/可视性</v>
      </c>
      <c r="AA26" s="1802">
        <f t="shared" si="3"/>
        <v>1</v>
      </c>
      <c r="AB26" s="1802">
        <f t="shared" si="4"/>
        <v>1</v>
      </c>
      <c r="AC26" s="1802">
        <f t="shared" si="5"/>
        <v>1</v>
      </c>
    </row>
    <row r="27" spans="1:29" s="117" customFormat="1" ht="15">
      <c r="A27" s="431"/>
      <c r="B27" s="451" t="s">
        <v>2657</v>
      </c>
      <c r="C27" s="2656"/>
      <c r="D27" s="462">
        <v>100</v>
      </c>
      <c r="E27" s="2656"/>
      <c r="F27" s="464">
        <f>SUMIF(90:90,E27,91:91)-SUMIF(90:90,C27,91:91)+100</f>
        <v>100</v>
      </c>
      <c r="G27" s="2656"/>
      <c r="H27" s="462">
        <f>SUMIF(90:90,G27,91:91)-SUMIF(90:90,C27,91:91)+100</f>
        <v>100</v>
      </c>
      <c r="I27" s="2656"/>
      <c r="J27" s="462">
        <f>SUMIF(90:90,I27,91:91)-SUMIF(90:90,C27,91:91)+100</f>
        <v>100</v>
      </c>
      <c r="K27" s="612"/>
      <c r="L27" s="1132"/>
      <c r="M27" s="1133"/>
      <c r="N27" s="1133"/>
      <c r="O27" s="1133"/>
      <c r="P27" s="3229"/>
      <c r="Q27" s="1786" t="str">
        <f t="shared" si="11"/>
        <v>人流量</v>
      </c>
      <c r="R27" s="770" t="s">
        <v>17</v>
      </c>
      <c r="S27" s="771">
        <f>F27</f>
        <v>100</v>
      </c>
      <c r="T27" s="770" t="s">
        <v>17</v>
      </c>
      <c r="U27" s="771">
        <f>H27</f>
        <v>100</v>
      </c>
      <c r="V27" s="770" t="s">
        <v>17</v>
      </c>
      <c r="W27" s="771">
        <f>J27</f>
        <v>100</v>
      </c>
      <c r="X27" s="772"/>
      <c r="Y27" s="3231"/>
      <c r="Z27" s="55" t="str">
        <f>Q27</f>
        <v>人流量</v>
      </c>
      <c r="AA27" s="1802">
        <f>D27/F27</f>
        <v>1</v>
      </c>
      <c r="AB27" s="1802">
        <f>D27/H27</f>
        <v>1</v>
      </c>
      <c r="AC27" s="180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1"/>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1">
        <f t="shared" si="11"/>
        <v>111</v>
      </c>
      <c r="R29" s="774" t="s">
        <v>17</v>
      </c>
      <c r="S29" s="775">
        <f t="shared" si="12"/>
        <v>100</v>
      </c>
      <c r="T29" s="774" t="s">
        <v>17</v>
      </c>
      <c r="U29" s="775">
        <f t="shared" si="13"/>
        <v>100</v>
      </c>
      <c r="V29" s="774" t="s">
        <v>17</v>
      </c>
      <c r="W29" s="775">
        <f t="shared" si="14"/>
        <v>100</v>
      </c>
      <c r="X29" s="1804"/>
      <c r="Y29" s="3231"/>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1">
        <f t="shared" si="11"/>
        <v>111</v>
      </c>
      <c r="R30" s="774" t="s">
        <v>17</v>
      </c>
      <c r="S30" s="775">
        <f t="shared" si="12"/>
        <v>100</v>
      </c>
      <c r="T30" s="774" t="s">
        <v>17</v>
      </c>
      <c r="U30" s="775">
        <f t="shared" si="13"/>
        <v>100</v>
      </c>
      <c r="V30" s="774" t="s">
        <v>17</v>
      </c>
      <c r="W30" s="775">
        <f t="shared" si="14"/>
        <v>100</v>
      </c>
      <c r="X30" s="1804"/>
      <c r="Y30" s="3231"/>
      <c r="Z30" s="1805">
        <f t="shared" si="15"/>
        <v>111</v>
      </c>
      <c r="AA30" s="1802">
        <f t="shared" si="3"/>
        <v>1</v>
      </c>
      <c r="AB30" s="1802">
        <f t="shared" si="4"/>
        <v>1</v>
      </c>
      <c r="AC30" s="1802">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1">
        <f t="shared" si="11"/>
        <v>111</v>
      </c>
      <c r="R31" s="774" t="s">
        <v>17</v>
      </c>
      <c r="S31" s="775">
        <f t="shared" si="12"/>
        <v>100</v>
      </c>
      <c r="T31" s="774" t="s">
        <v>17</v>
      </c>
      <c r="U31" s="775">
        <f t="shared" si="13"/>
        <v>100</v>
      </c>
      <c r="V31" s="774" t="s">
        <v>17</v>
      </c>
      <c r="W31" s="775">
        <f t="shared" si="14"/>
        <v>100</v>
      </c>
      <c r="X31" s="1804"/>
      <c r="Y31" s="3231"/>
      <c r="Z31" s="1805">
        <f t="shared" si="15"/>
        <v>111</v>
      </c>
      <c r="AA31" s="1802">
        <f t="shared" si="3"/>
        <v>1</v>
      </c>
      <c r="AB31" s="1802">
        <f t="shared" si="4"/>
        <v>1</v>
      </c>
      <c r="AC31" s="1802">
        <f t="shared" si="5"/>
        <v>1</v>
      </c>
    </row>
    <row r="32" spans="1:29" ht="15">
      <c r="A32" s="440" t="s">
        <v>2562</v>
      </c>
      <c r="B32" s="71" t="s">
        <v>2659</v>
      </c>
      <c r="C32" s="2608"/>
      <c r="D32" s="467">
        <v>100</v>
      </c>
      <c r="E32" s="2608"/>
      <c r="F32" s="461">
        <f>SUMIF(100:100,E32,101:101)-SUMIF(100:100,C32,101:101)+100</f>
        <v>100</v>
      </c>
      <c r="G32" s="2608"/>
      <c r="H32" s="435">
        <f>SUMIF(100:100,G32,101:101)-SUMIF(100:100,C32,101:101)+100</f>
        <v>100</v>
      </c>
      <c r="I32" s="2608"/>
      <c r="J32" s="467">
        <f>SUMIF(100:100,I32,101:101)-SUMIF(100:100,C32,101:101)+100</f>
        <v>100</v>
      </c>
      <c r="K32" s="612"/>
      <c r="L32" s="1140"/>
      <c r="M32" s="1131"/>
      <c r="N32" s="1131"/>
      <c r="O32" s="1131"/>
      <c r="P32" s="3232" t="s">
        <v>2564</v>
      </c>
      <c r="Q32" s="1801" t="str">
        <f t="shared" si="11"/>
        <v>商业类型</v>
      </c>
      <c r="R32" s="774" t="s">
        <v>17</v>
      </c>
      <c r="S32" s="775">
        <f t="shared" si="12"/>
        <v>100</v>
      </c>
      <c r="T32" s="774" t="s">
        <v>17</v>
      </c>
      <c r="U32" s="775">
        <f t="shared" si="13"/>
        <v>100</v>
      </c>
      <c r="V32" s="774" t="s">
        <v>17</v>
      </c>
      <c r="W32" s="775">
        <f t="shared" si="14"/>
        <v>100</v>
      </c>
      <c r="X32" s="1804"/>
      <c r="Y32" s="3235" t="s">
        <v>2564</v>
      </c>
      <c r="Z32" s="1805" t="str">
        <f t="shared" si="15"/>
        <v>商业类型</v>
      </c>
      <c r="AA32" s="1802">
        <f t="shared" si="3"/>
        <v>1</v>
      </c>
      <c r="AB32" s="1802">
        <f t="shared" si="4"/>
        <v>1</v>
      </c>
      <c r="AC32" s="1802">
        <f t="shared" si="5"/>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33"/>
      <c r="Q33" s="776" t="str">
        <f t="shared" si="11"/>
        <v>项目建筑规模</v>
      </c>
      <c r="R33" s="777" t="s">
        <v>17</v>
      </c>
      <c r="S33" s="778">
        <f t="shared" si="12"/>
        <v>100</v>
      </c>
      <c r="T33" s="777" t="s">
        <v>17</v>
      </c>
      <c r="U33" s="778">
        <f t="shared" si="13"/>
        <v>100</v>
      </c>
      <c r="V33" s="777" t="s">
        <v>17</v>
      </c>
      <c r="W33" s="778">
        <f t="shared" si="14"/>
        <v>100</v>
      </c>
      <c r="X33" s="779"/>
      <c r="Y33" s="3235"/>
      <c r="Z33" s="780" t="str">
        <f t="shared" si="15"/>
        <v>项目建筑规模</v>
      </c>
      <c r="AA33" s="1802">
        <f t="shared" si="3"/>
        <v>1</v>
      </c>
      <c r="AB33" s="1802">
        <f t="shared" si="4"/>
        <v>1</v>
      </c>
      <c r="AC33" s="1802">
        <f t="shared" si="5"/>
        <v>1</v>
      </c>
    </row>
    <row r="34" spans="1:29" ht="15">
      <c r="A34" s="472"/>
      <c r="B34" s="422" t="s">
        <v>2566</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40"/>
      <c r="M34" s="1131"/>
      <c r="N34" s="1131"/>
      <c r="O34" s="1131"/>
      <c r="P34" s="3233"/>
      <c r="Q34" s="1801" t="str">
        <f t="shared" si="11"/>
        <v>建筑结构</v>
      </c>
      <c r="R34" s="774" t="s">
        <v>17</v>
      </c>
      <c r="S34" s="775">
        <f t="shared" si="12"/>
        <v>100</v>
      </c>
      <c r="T34" s="774" t="s">
        <v>17</v>
      </c>
      <c r="U34" s="775">
        <f t="shared" si="13"/>
        <v>100</v>
      </c>
      <c r="V34" s="774" t="s">
        <v>17</v>
      </c>
      <c r="W34" s="775">
        <f t="shared" si="14"/>
        <v>100</v>
      </c>
      <c r="X34" s="1804"/>
      <c r="Y34" s="3235"/>
      <c r="Z34" s="1805" t="str">
        <f t="shared" si="15"/>
        <v>建筑结构</v>
      </c>
      <c r="AA34" s="1802">
        <f t="shared" si="3"/>
        <v>1</v>
      </c>
      <c r="AB34" s="1802">
        <f t="shared" si="4"/>
        <v>1</v>
      </c>
      <c r="AC34" s="1802">
        <f t="shared" si="5"/>
        <v>1</v>
      </c>
    </row>
    <row r="35" spans="1:29" ht="15">
      <c r="A35" s="472"/>
      <c r="B35" s="422" t="s">
        <v>2660</v>
      </c>
      <c r="C35" s="2604"/>
      <c r="D35" s="435">
        <v>100</v>
      </c>
      <c r="E35" s="2604"/>
      <c r="F35" s="461">
        <f>SUMIF(107:107,E35,108:108)-SUMIF(107:107,C35,108:108)+100</f>
        <v>100</v>
      </c>
      <c r="G35" s="2604"/>
      <c r="H35" s="435">
        <f>SUMIF(107:107,G35,108:108)-SUMIF(107:107,C35,108:108)+100</f>
        <v>100</v>
      </c>
      <c r="I35" s="2604"/>
      <c r="J35" s="435">
        <f>SUMIF(107:107,I35,108:108)-SUMIF(107:107,C35,108:108)+100</f>
        <v>100</v>
      </c>
      <c r="K35" s="612"/>
      <c r="L35" s="1140"/>
      <c r="M35" s="1131"/>
      <c r="N35" s="1131"/>
      <c r="O35" s="1131"/>
      <c r="P35" s="3233"/>
      <c r="Q35" s="1801" t="str">
        <f t="shared" si="11"/>
        <v>公共部分装修</v>
      </c>
      <c r="R35" s="774" t="s">
        <v>17</v>
      </c>
      <c r="S35" s="775">
        <f t="shared" si="12"/>
        <v>100</v>
      </c>
      <c r="T35" s="774" t="s">
        <v>17</v>
      </c>
      <c r="U35" s="775">
        <f t="shared" si="13"/>
        <v>100</v>
      </c>
      <c r="V35" s="774" t="s">
        <v>17</v>
      </c>
      <c r="W35" s="775">
        <f t="shared" si="14"/>
        <v>100</v>
      </c>
      <c r="X35" s="1804"/>
      <c r="Y35" s="3235"/>
      <c r="Z35" s="1805" t="str">
        <f t="shared" si="15"/>
        <v>公共部分装修</v>
      </c>
      <c r="AA35" s="1802">
        <f t="shared" si="3"/>
        <v>1</v>
      </c>
      <c r="AB35" s="1802">
        <f t="shared" si="4"/>
        <v>1</v>
      </c>
      <c r="AC35" s="1802">
        <f t="shared" si="5"/>
        <v>1</v>
      </c>
    </row>
    <row r="36" spans="1:29" ht="15">
      <c r="A36" s="472"/>
      <c r="B36" s="422" t="s">
        <v>2661</v>
      </c>
      <c r="C36" s="474">
        <v>0.95</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40"/>
      <c r="M36" s="1131"/>
      <c r="N36" s="1131"/>
      <c r="O36" s="1131"/>
      <c r="P36" s="3233"/>
      <c r="Q36" s="1801" t="str">
        <f t="shared" si="11"/>
        <v>成新度</v>
      </c>
      <c r="R36" s="774" t="s">
        <v>17</v>
      </c>
      <c r="S36" s="775">
        <f t="shared" si="12"/>
        <v>98</v>
      </c>
      <c r="T36" s="774" t="s">
        <v>17</v>
      </c>
      <c r="U36" s="775">
        <f t="shared" si="13"/>
        <v>98</v>
      </c>
      <c r="V36" s="774" t="s">
        <v>17</v>
      </c>
      <c r="W36" s="775">
        <f t="shared" si="14"/>
        <v>98</v>
      </c>
      <c r="X36" s="1804"/>
      <c r="Y36" s="3235"/>
      <c r="Z36" s="1805" t="str">
        <f t="shared" si="15"/>
        <v>成新度</v>
      </c>
      <c r="AA36" s="1802">
        <f t="shared" si="3"/>
        <v>1.0204081632653061</v>
      </c>
      <c r="AB36" s="1802">
        <f t="shared" si="4"/>
        <v>1.0204081632653061</v>
      </c>
      <c r="AC36" s="1802">
        <f t="shared" si="5"/>
        <v>1.0204081632653061</v>
      </c>
    </row>
    <row r="37" spans="1:29" s="117" customFormat="1" ht="15">
      <c r="A37" s="473"/>
      <c r="B37" s="422" t="s">
        <v>2662</v>
      </c>
      <c r="C37" s="2604"/>
      <c r="D37" s="136">
        <v>100</v>
      </c>
      <c r="E37" s="2604"/>
      <c r="F37" s="461">
        <f>SUMIF(112:112,E37,113:113)-SUMIF(112:112,C37,113:113)+100</f>
        <v>100</v>
      </c>
      <c r="G37" s="2604"/>
      <c r="H37" s="435">
        <f>SUMIF(112:112,G37,113:113)-SUMIF(112:112,C37,113:113)+100</f>
        <v>100</v>
      </c>
      <c r="I37" s="2604"/>
      <c r="J37" s="435">
        <f>SUMIF(112:112,I37,113:113)-SUMIF(112:112,C37,113:113)+100</f>
        <v>100</v>
      </c>
      <c r="K37" s="612"/>
      <c r="L37" s="1132"/>
      <c r="M37" s="1133"/>
      <c r="N37" s="1133"/>
      <c r="O37" s="1133"/>
      <c r="P37" s="3233"/>
      <c r="Q37" s="1786" t="str">
        <f t="shared" si="11"/>
        <v>市政基础设施</v>
      </c>
      <c r="R37" s="770" t="s">
        <v>17</v>
      </c>
      <c r="S37" s="771">
        <f t="shared" si="12"/>
        <v>100</v>
      </c>
      <c r="T37" s="770" t="s">
        <v>17</v>
      </c>
      <c r="U37" s="771">
        <f t="shared" si="13"/>
        <v>100</v>
      </c>
      <c r="V37" s="770" t="s">
        <v>17</v>
      </c>
      <c r="W37" s="771">
        <f t="shared" si="14"/>
        <v>100</v>
      </c>
      <c r="X37" s="772"/>
      <c r="Y37" s="3235"/>
      <c r="Z37" s="55" t="str">
        <f t="shared" si="15"/>
        <v>市政基础设施</v>
      </c>
      <c r="AA37" s="773">
        <f t="shared" si="3"/>
        <v>1</v>
      </c>
      <c r="AB37" s="773">
        <f t="shared" si="4"/>
        <v>1</v>
      </c>
      <c r="AC37" s="773">
        <f t="shared" si="5"/>
        <v>1</v>
      </c>
    </row>
    <row r="38" spans="1:29" ht="15">
      <c r="A38" s="472"/>
      <c r="B38" s="422" t="s">
        <v>2663</v>
      </c>
      <c r="C38" s="2604"/>
      <c r="D38" s="435">
        <v>100</v>
      </c>
      <c r="E38" s="2604"/>
      <c r="F38" s="461">
        <f>SUMIF(114:114,E38,115:115)-SUMIF(114:114,C38,115:115)+100</f>
        <v>100</v>
      </c>
      <c r="G38" s="2604"/>
      <c r="H38" s="435">
        <f>SUMIF(114:114,G38,115:115)-SUMIF(114:114,C38,115:115)+100</f>
        <v>100</v>
      </c>
      <c r="I38" s="2604"/>
      <c r="J38" s="435">
        <f>SUMIF(114:114,I38,115:115)-SUMIF(114:114,C38,115:115)+100</f>
        <v>100</v>
      </c>
      <c r="K38" s="612"/>
      <c r="L38" s="1140"/>
      <c r="M38" s="1131"/>
      <c r="N38" s="1131"/>
      <c r="O38" s="1131"/>
      <c r="P38" s="3233" t="s">
        <v>2564</v>
      </c>
      <c r="Q38" s="1801" t="str">
        <f t="shared" si="11"/>
        <v>业态</v>
      </c>
      <c r="R38" s="774" t="s">
        <v>17</v>
      </c>
      <c r="S38" s="775">
        <f t="shared" si="12"/>
        <v>100</v>
      </c>
      <c r="T38" s="774" t="s">
        <v>17</v>
      </c>
      <c r="U38" s="775">
        <f t="shared" si="13"/>
        <v>100</v>
      </c>
      <c r="V38" s="774" t="s">
        <v>17</v>
      </c>
      <c r="W38" s="775">
        <f t="shared" si="14"/>
        <v>100</v>
      </c>
      <c r="X38" s="1804"/>
      <c r="Y38" s="3235" t="s">
        <v>2564</v>
      </c>
      <c r="Z38" s="1805" t="str">
        <f t="shared" si="15"/>
        <v>业态</v>
      </c>
      <c r="AA38" s="1802">
        <f t="shared" si="3"/>
        <v>1</v>
      </c>
      <c r="AB38" s="1802">
        <f t="shared" si="4"/>
        <v>1</v>
      </c>
      <c r="AC38" s="1802">
        <f t="shared" si="5"/>
        <v>1</v>
      </c>
    </row>
    <row r="39" spans="1:29" ht="15">
      <c r="A39" s="472"/>
      <c r="B39" s="422" t="s">
        <v>2664</v>
      </c>
      <c r="C39" s="2604"/>
      <c r="D39" s="435">
        <v>100</v>
      </c>
      <c r="E39" s="2604"/>
      <c r="F39" s="461">
        <f>SUMIF(116:116,E39,117:117)-SUMIF(116:116,C39,117:117)+100</f>
        <v>100</v>
      </c>
      <c r="G39" s="2604"/>
      <c r="H39" s="435">
        <f>SUMIF(116:116,G39,117:117)-SUMIF(116:116,C39,117:117)+100</f>
        <v>100</v>
      </c>
      <c r="I39" s="2604"/>
      <c r="J39" s="435">
        <f>SUMIF(116:116,I39,117:117)-SUMIF(116:116,C39,117:117)+100</f>
        <v>100</v>
      </c>
      <c r="K39" s="612"/>
      <c r="L39" s="1140"/>
      <c r="M39" s="1131"/>
      <c r="N39" s="1131"/>
      <c r="O39" s="1131"/>
      <c r="P39" s="3233"/>
      <c r="Q39" s="1801" t="str">
        <f t="shared" si="11"/>
        <v>层高</v>
      </c>
      <c r="R39" s="774" t="s">
        <v>17</v>
      </c>
      <c r="S39" s="775">
        <f t="shared" si="12"/>
        <v>100</v>
      </c>
      <c r="T39" s="774" t="s">
        <v>17</v>
      </c>
      <c r="U39" s="775">
        <f t="shared" si="13"/>
        <v>100</v>
      </c>
      <c r="V39" s="774" t="s">
        <v>17</v>
      </c>
      <c r="W39" s="775">
        <f t="shared" si="14"/>
        <v>100</v>
      </c>
      <c r="X39" s="1804"/>
      <c r="Y39" s="3235"/>
      <c r="Z39" s="1805" t="str">
        <f t="shared" si="15"/>
        <v>层高</v>
      </c>
      <c r="AA39" s="1802">
        <f t="shared" si="3"/>
        <v>1</v>
      </c>
      <c r="AB39" s="1802">
        <f t="shared" si="4"/>
        <v>1</v>
      </c>
      <c r="AC39" s="180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01" t="str">
        <f t="shared" si="11"/>
        <v>单套建筑面积</v>
      </c>
      <c r="R40" s="774" t="s">
        <v>17</v>
      </c>
      <c r="S40" s="775">
        <f t="shared" si="12"/>
        <v>100</v>
      </c>
      <c r="T40" s="774" t="s">
        <v>17</v>
      </c>
      <c r="U40" s="775">
        <f t="shared" si="13"/>
        <v>100</v>
      </c>
      <c r="V40" s="774" t="s">
        <v>17</v>
      </c>
      <c r="W40" s="775">
        <f t="shared" si="14"/>
        <v>100</v>
      </c>
      <c r="X40" s="1804"/>
      <c r="Y40" s="3235"/>
      <c r="Z40" s="1805" t="str">
        <f t="shared" si="15"/>
        <v>单套建筑面积</v>
      </c>
      <c r="AA40" s="1802">
        <f t="shared" si="3"/>
        <v>1</v>
      </c>
      <c r="AB40" s="1802">
        <f t="shared" si="4"/>
        <v>1</v>
      </c>
      <c r="AC40" s="1802">
        <f t="shared" si="5"/>
        <v>1</v>
      </c>
    </row>
    <row r="41" spans="1:29" s="471" customFormat="1" ht="15">
      <c r="A41" s="468"/>
      <c r="B41" s="180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35"/>
      <c r="Z41" s="780" t="str">
        <f t="shared" si="15"/>
        <v>进深比</v>
      </c>
      <c r="AA41" s="1802">
        <f t="shared" si="3"/>
        <v>1</v>
      </c>
      <c r="AB41" s="1802">
        <f t="shared" si="4"/>
        <v>1</v>
      </c>
      <c r="AC41" s="1802">
        <f t="shared" si="5"/>
        <v>1</v>
      </c>
    </row>
    <row r="42" spans="1:29" ht="15">
      <c r="A42" s="472"/>
      <c r="B42" s="422" t="s">
        <v>2667</v>
      </c>
      <c r="C42" s="2604"/>
      <c r="D42" s="435">
        <v>100</v>
      </c>
      <c r="E42" s="2604"/>
      <c r="F42" s="461">
        <f>SUMIF(122:122,E42,123:123)-SUMIF(122:122,C42,123:123)+100</f>
        <v>100</v>
      </c>
      <c r="G42" s="2604"/>
      <c r="H42" s="435">
        <f>SUMIF(122:122,G42,123:123)-SUMIF(122:122,C42,123:123)+100</f>
        <v>100</v>
      </c>
      <c r="I42" s="2604"/>
      <c r="J42" s="435">
        <f>SUMIF(122:122,I42,123:123)-SUMIF(122:122,C42,123:123)+100</f>
        <v>100</v>
      </c>
      <c r="K42" s="612">
        <v>2</v>
      </c>
      <c r="L42" s="1140"/>
      <c r="M42" s="1131"/>
      <c r="N42" s="1131"/>
      <c r="O42" s="1131"/>
      <c r="P42" s="3233"/>
      <c r="Q42" s="1801" t="str">
        <f t="shared" si="11"/>
        <v>内部装修</v>
      </c>
      <c r="R42" s="774" t="s">
        <v>17</v>
      </c>
      <c r="S42" s="775">
        <f t="shared" si="12"/>
        <v>100</v>
      </c>
      <c r="T42" s="774" t="s">
        <v>17</v>
      </c>
      <c r="U42" s="775">
        <f t="shared" si="13"/>
        <v>100</v>
      </c>
      <c r="V42" s="774" t="s">
        <v>17</v>
      </c>
      <c r="W42" s="775">
        <f t="shared" si="14"/>
        <v>100</v>
      </c>
      <c r="X42" s="1804"/>
      <c r="Y42" s="3235"/>
      <c r="Z42" s="1805" t="str">
        <f t="shared" si="15"/>
        <v>内部装修</v>
      </c>
      <c r="AA42" s="1802">
        <f t="shared" si="3"/>
        <v>1</v>
      </c>
      <c r="AB42" s="1802">
        <f t="shared" si="4"/>
        <v>1</v>
      </c>
      <c r="AC42" s="1802">
        <f t="shared" si="5"/>
        <v>1</v>
      </c>
    </row>
    <row r="43" spans="1:29" ht="28.8">
      <c r="A43" s="472"/>
      <c r="B43" s="422" t="s">
        <v>2575</v>
      </c>
      <c r="C43" s="2604"/>
      <c r="D43" s="435">
        <v>100</v>
      </c>
      <c r="E43" s="2604"/>
      <c r="F43" s="461">
        <f>SUMIF(124:124,E43,125:125)-SUMIF(124:124,C43,125:125)+100</f>
        <v>100</v>
      </c>
      <c r="G43" s="2604"/>
      <c r="H43" s="435">
        <f>SUMIF(124:124,G43,125:125)-SUMIF(124:124,C43,125:125)+100</f>
        <v>100</v>
      </c>
      <c r="I43" s="2604"/>
      <c r="J43" s="435">
        <f>SUMIF(124:124,I43,125:125)-SUMIF(124:124,C43,125:125)+100</f>
        <v>100</v>
      </c>
      <c r="K43" s="612">
        <v>2</v>
      </c>
      <c r="L43" s="1140"/>
      <c r="M43" s="1131"/>
      <c r="N43" s="1131"/>
      <c r="O43" s="1131"/>
      <c r="P43" s="3233"/>
      <c r="Q43" s="1801" t="str">
        <f t="shared" si="11"/>
        <v>内部装修维护情况</v>
      </c>
      <c r="R43" s="774" t="s">
        <v>17</v>
      </c>
      <c r="S43" s="775">
        <f t="shared" si="12"/>
        <v>100</v>
      </c>
      <c r="T43" s="774" t="s">
        <v>17</v>
      </c>
      <c r="U43" s="775">
        <f t="shared" si="13"/>
        <v>100</v>
      </c>
      <c r="V43" s="774" t="s">
        <v>17</v>
      </c>
      <c r="W43" s="775">
        <f t="shared" si="14"/>
        <v>100</v>
      </c>
      <c r="X43" s="1804"/>
      <c r="Y43" s="3235"/>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86">
        <f t="shared" si="11"/>
        <v>111</v>
      </c>
      <c r="R44" s="770" t="s">
        <v>17</v>
      </c>
      <c r="S44" s="771">
        <f t="shared" si="12"/>
        <v>100</v>
      </c>
      <c r="T44" s="770" t="s">
        <v>17</v>
      </c>
      <c r="U44" s="771">
        <f t="shared" si="13"/>
        <v>100</v>
      </c>
      <c r="V44" s="770" t="s">
        <v>17</v>
      </c>
      <c r="W44" s="771">
        <f t="shared" si="14"/>
        <v>100</v>
      </c>
      <c r="X44" s="772"/>
      <c r="Y44" s="323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1">
        <f t="shared" si="11"/>
        <v>111</v>
      </c>
      <c r="R45" s="774" t="s">
        <v>17</v>
      </c>
      <c r="S45" s="775">
        <f t="shared" si="12"/>
        <v>100</v>
      </c>
      <c r="T45" s="774" t="s">
        <v>17</v>
      </c>
      <c r="U45" s="775">
        <f t="shared" si="13"/>
        <v>100</v>
      </c>
      <c r="V45" s="774" t="s">
        <v>17</v>
      </c>
      <c r="W45" s="775">
        <f t="shared" si="14"/>
        <v>100</v>
      </c>
      <c r="X45" s="1804"/>
      <c r="Y45" s="3235"/>
      <c r="Z45" s="1805">
        <f t="shared" si="15"/>
        <v>111</v>
      </c>
      <c r="AA45" s="1802">
        <f t="shared" si="3"/>
        <v>1</v>
      </c>
      <c r="AB45" s="1802">
        <f t="shared" si="4"/>
        <v>1</v>
      </c>
      <c r="AC45" s="1802">
        <f t="shared" si="5"/>
        <v>1</v>
      </c>
    </row>
    <row r="46" spans="1:29" ht="15.6"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1">
        <f t="shared" si="11"/>
        <v>111</v>
      </c>
      <c r="R46" s="774" t="s">
        <v>17</v>
      </c>
      <c r="S46" s="775">
        <f t="shared" si="12"/>
        <v>100</v>
      </c>
      <c r="T46" s="774" t="s">
        <v>17</v>
      </c>
      <c r="U46" s="775">
        <f t="shared" si="13"/>
        <v>100</v>
      </c>
      <c r="V46" s="774" t="s">
        <v>17</v>
      </c>
      <c r="W46" s="775">
        <f t="shared" si="14"/>
        <v>100</v>
      </c>
      <c r="X46" s="1804"/>
      <c r="Y46" s="3236"/>
      <c r="Z46" s="1805">
        <f t="shared" si="15"/>
        <v>111</v>
      </c>
      <c r="AA46" s="1802">
        <f t="shared" si="3"/>
        <v>1</v>
      </c>
      <c r="AB46" s="1802">
        <f t="shared" si="4"/>
        <v>1</v>
      </c>
      <c r="AC46" s="1802">
        <f t="shared" si="5"/>
        <v>1</v>
      </c>
    </row>
    <row r="47" spans="1:29" ht="14.4">
      <c r="A47" s="479" t="s">
        <v>2576</v>
      </c>
      <c r="B47" s="480"/>
      <c r="C47" s="1407" t="s">
        <v>1</v>
      </c>
      <c r="D47" s="1408"/>
      <c r="E47" s="1409">
        <v>26000</v>
      </c>
      <c r="F47" s="1410"/>
      <c r="G47" s="1411">
        <v>25000</v>
      </c>
      <c r="H47" s="1412"/>
      <c r="I47" s="1409">
        <v>26000</v>
      </c>
      <c r="J47" s="1412"/>
      <c r="K47" s="783"/>
      <c r="L47" s="1143"/>
      <c r="M47" s="1144"/>
      <c r="N47" s="1131"/>
      <c r="O47" s="1144"/>
      <c r="P47" s="3223" t="str">
        <f>A47</f>
        <v>成交单价（元/平方米）</v>
      </c>
      <c r="Q47" s="3223"/>
      <c r="R47" s="3257">
        <f>E47</f>
        <v>26000</v>
      </c>
      <c r="S47" s="3257"/>
      <c r="T47" s="3257">
        <f>G47</f>
        <v>25000</v>
      </c>
      <c r="U47" s="3257"/>
      <c r="V47" s="3257">
        <f>I47</f>
        <v>26000</v>
      </c>
      <c r="W47" s="3257"/>
      <c r="X47" s="759"/>
      <c r="Y47" s="781"/>
      <c r="Z47" s="759"/>
      <c r="AA47" s="759"/>
      <c r="AB47" s="759"/>
      <c r="AC47" s="759"/>
    </row>
    <row r="48" spans="1:29" ht="15" thickBot="1">
      <c r="A48" s="486" t="s">
        <v>2668</v>
      </c>
      <c r="B48" s="487"/>
      <c r="C48" s="1413">
        <f>R49</f>
        <v>22624</v>
      </c>
      <c r="D48" s="1414"/>
      <c r="E48" s="1415">
        <f>R48</f>
        <v>22918</v>
      </c>
      <c r="F48" s="1415"/>
      <c r="G48" s="1413">
        <f>T48</f>
        <v>22037</v>
      </c>
      <c r="H48" s="1414"/>
      <c r="I48" s="1415">
        <f>V48</f>
        <v>22918</v>
      </c>
      <c r="J48" s="1414"/>
      <c r="K48" s="784"/>
      <c r="L48" s="1143"/>
      <c r="M48" s="1144"/>
      <c r="N48" s="1131"/>
      <c r="O48" s="1144"/>
      <c r="P48" s="3223" t="str">
        <f>A48</f>
        <v>比较价值（元/平方米）</v>
      </c>
      <c r="Q48" s="3223"/>
      <c r="R48" s="3224">
        <f>IF(F1="售价",ROUND(PRODUCT(R47,AA7:AA46),0),ROUND(PRODUCT(R47,AA7:AA46),1))</f>
        <v>22918</v>
      </c>
      <c r="S48" s="3224"/>
      <c r="T48" s="3224">
        <f>IF(F1="售价",ROUND(PRODUCT(T47,AB7:AB46),0),ROUND(PRODUCT(T47,AB7:AB46),1))</f>
        <v>22037</v>
      </c>
      <c r="U48" s="3224"/>
      <c r="V48" s="3224">
        <f>IF(F1="售价",ROUND(PRODUCT(V47,AC7:AC46),0),ROUND(PRODUCT(V47,AC7:AC46),1))</f>
        <v>22918</v>
      </c>
      <c r="W48" s="3224"/>
      <c r="X48" s="759"/>
      <c r="Y48" s="759"/>
      <c r="Z48" s="759"/>
      <c r="AA48" s="759"/>
      <c r="AB48" s="759"/>
      <c r="AC48" s="759"/>
    </row>
    <row r="49" spans="1:29" ht="15" thickBot="1">
      <c r="A49" s="492" t="s">
        <v>2669</v>
      </c>
      <c r="B49" s="493"/>
      <c r="C49" s="1417">
        <f>R49</f>
        <v>22624</v>
      </c>
      <c r="D49" s="1417"/>
      <c r="E49" s="1417"/>
      <c r="F49" s="1417"/>
      <c r="G49" s="1417"/>
      <c r="H49" s="1417"/>
      <c r="I49" s="1417"/>
      <c r="J49" s="1417"/>
      <c r="K49" s="785"/>
      <c r="L49" s="1143"/>
      <c r="M49" s="1144"/>
      <c r="N49" s="1131"/>
      <c r="O49" s="1144"/>
      <c r="P49" s="3274" t="str">
        <f>A49</f>
        <v>估价对象XX用房的比较价值（楼面单价，元/平方米）</v>
      </c>
      <c r="Q49" s="3275"/>
      <c r="R49" s="3276">
        <f>IF(F1="售价",ROUND(AVERAGE(R48:V48),0),ROUND(AVERAGE(R48:V48),1))</f>
        <v>22624</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0.13447944846845283</v>
      </c>
      <c r="F52" s="500" t="str">
        <f>IF(OR(E52&gt;=0.3,E52&lt;=-0.3),"超过30%","")</f>
        <v/>
      </c>
      <c r="G52" s="499">
        <f>IF(G47&lt;G48,G48/G47-1,G47/G48-1)</f>
        <v>0.13445568816082054</v>
      </c>
      <c r="H52" s="500" t="str">
        <f>IF(OR(G52&gt;=0.3,G52&lt;=-0.3),"超过30%","")</f>
        <v/>
      </c>
      <c r="I52" s="499">
        <f>IF(I47&lt;I48,I48/I47-1,I47/I48-1)</f>
        <v>0.13447944846845283</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3.9978218450787306E-2</v>
      </c>
      <c r="F53" s="500" t="str">
        <f>IF(OR(E53&gt;=0.2,E53&lt;=-0.2),"超过20%","")</f>
        <v/>
      </c>
      <c r="G53" s="499">
        <f>IF(G48&lt;I48,I48/G48-1,G48/I48-1)</f>
        <v>3.9978218450787306E-2</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4.0000000000000036E-2</v>
      </c>
      <c r="F54" s="500" t="str">
        <f>IF(OR(E54&gt;=0.3,E54&lt;=-0.3),"超过30%","")</f>
        <v/>
      </c>
      <c r="G54" s="499">
        <f>IF(G47&lt;I47,I47/G47-1,G47/I47-1)</f>
        <v>4.0000000000000036E-2</v>
      </c>
      <c r="H54" s="500" t="str">
        <f>IF(OR(G54&gt;=0.3,G54&lt;=-0.3),"超过30%","")</f>
        <v/>
      </c>
      <c r="I54" s="499">
        <f>IF(I47&lt;E47,E47/I47-1,I47/E47-1)</f>
        <v>0</v>
      </c>
      <c r="J54" s="500" t="str">
        <f>IF(OR(I54&gt;=0.3,I54&lt;=-0.3),"超过30%","")</f>
        <v/>
      </c>
      <c r="K54" s="1148"/>
      <c r="L54" s="1149"/>
      <c r="M54" s="1145"/>
      <c r="N54" s="1145"/>
      <c r="O54" s="1145"/>
      <c r="P54" s="265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1"/>
      <c r="M57" s="1159"/>
      <c r="N57" s="1159"/>
      <c r="O57" s="1159"/>
      <c r="P57" s="2658"/>
      <c r="Q57" s="2659"/>
      <c r="R57" s="759"/>
      <c r="S57" s="759"/>
      <c r="T57" s="759"/>
      <c r="U57" s="759"/>
      <c r="V57" s="759"/>
      <c r="W57" s="759"/>
      <c r="X57" s="759"/>
      <c r="Y57" s="759"/>
      <c r="Z57" s="759"/>
      <c r="AA57" s="759"/>
      <c r="AB57" s="759"/>
      <c r="AC57" s="759"/>
    </row>
    <row r="58" spans="1:29" s="508" customFormat="1" ht="14.4">
      <c r="A58" s="505" t="s">
        <v>2547</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c r="A59" s="509"/>
      <c r="B59" s="510"/>
      <c r="C59" s="1572">
        <v>100</v>
      </c>
      <c r="D59" s="512"/>
      <c r="E59" s="512"/>
      <c r="F59" s="512"/>
      <c r="G59" s="512"/>
      <c r="H59" s="512"/>
      <c r="I59" s="512"/>
      <c r="J59" s="512"/>
      <c r="K59" s="512"/>
      <c r="L59" s="512"/>
      <c r="M59" s="513"/>
      <c r="N59" s="512"/>
      <c r="O59" s="513"/>
      <c r="P59" s="2619"/>
    </row>
    <row r="60" spans="1:29" s="117" customFormat="1" ht="15" thickBot="1">
      <c r="A60" s="515" t="s">
        <v>2584</v>
      </c>
      <c r="B60" s="516"/>
      <c r="C60" s="517"/>
      <c r="D60" s="518"/>
      <c r="E60" s="518"/>
      <c r="F60" s="518"/>
      <c r="G60" s="518"/>
      <c r="H60" s="518"/>
      <c r="I60" s="518"/>
      <c r="J60" s="518"/>
      <c r="K60" s="518"/>
      <c r="L60" s="518"/>
      <c r="M60" s="519"/>
      <c r="N60" s="518"/>
      <c r="O60" s="519"/>
      <c r="P60" s="2619"/>
      <c r="Q60" s="504"/>
    </row>
    <row r="61" spans="1:29" s="117" customFormat="1" ht="14.4">
      <c r="A61" s="521" t="s">
        <v>2549</v>
      </c>
      <c r="B61" s="510"/>
      <c r="C61" s="522" t="s">
        <v>2651</v>
      </c>
      <c r="D61" s="523"/>
      <c r="E61" s="523"/>
      <c r="F61" s="523"/>
      <c r="G61" s="523"/>
      <c r="H61" s="523"/>
      <c r="I61" s="523"/>
      <c r="J61" s="523"/>
      <c r="K61" s="523"/>
      <c r="L61" s="524"/>
      <c r="M61" s="525"/>
      <c r="N61" s="1151"/>
      <c r="O61" s="1151"/>
      <c r="P61" s="2620"/>
      <c r="Q61" s="504"/>
    </row>
    <row r="62" spans="1:29" s="117" customFormat="1" ht="14.4" thickBot="1">
      <c r="A62" s="521"/>
      <c r="B62" s="510"/>
      <c r="C62" s="511">
        <v>100</v>
      </c>
      <c r="D62" s="512"/>
      <c r="E62" s="512"/>
      <c r="F62" s="512"/>
      <c r="G62" s="512"/>
      <c r="H62" s="512"/>
      <c r="I62" s="512"/>
      <c r="J62" s="512"/>
      <c r="K62" s="512"/>
      <c r="L62" s="512"/>
      <c r="M62" s="514"/>
      <c r="N62" s="1151"/>
      <c r="O62" s="1151"/>
      <c r="P62" s="2619"/>
      <c r="Q62" s="504"/>
    </row>
    <row r="63" spans="1:29" ht="14.4">
      <c r="A63" s="527" t="s">
        <v>2587</v>
      </c>
      <c r="B63" s="528" t="s">
        <v>2553</v>
      </c>
      <c r="C63" s="529">
        <f>C9</f>
        <v>0</v>
      </c>
      <c r="D63" s="530"/>
      <c r="E63" s="530"/>
      <c r="F63" s="530"/>
      <c r="G63" s="530"/>
      <c r="H63" s="530"/>
      <c r="I63" s="530"/>
      <c r="J63" s="530"/>
      <c r="K63" s="531"/>
      <c r="L63" s="532"/>
      <c r="M63" s="533"/>
      <c r="N63" s="1152"/>
      <c r="O63" s="1152"/>
      <c r="P63" s="2621"/>
      <c r="Q63" s="504"/>
    </row>
    <row r="64" spans="1:29" ht="14.4" thickBot="1">
      <c r="A64" s="534"/>
      <c r="B64" s="535"/>
      <c r="C64" s="536">
        <v>100</v>
      </c>
      <c r="D64" s="536"/>
      <c r="E64" s="536"/>
      <c r="F64" s="536"/>
      <c r="G64" s="536"/>
      <c r="H64" s="536"/>
      <c r="I64" s="536"/>
      <c r="J64" s="536"/>
      <c r="K64" s="536"/>
      <c r="L64" s="536"/>
      <c r="M64" s="537"/>
      <c r="N64" s="1153"/>
      <c r="O64" s="1153"/>
      <c r="P64" s="2621"/>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1"/>
      <c r="Q66" s="504"/>
    </row>
    <row r="67" spans="1:17" ht="15" thickTop="1">
      <c r="A67" s="534"/>
      <c r="B67" s="546" t="s">
        <v>2557</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1"/>
      <c r="Q67" s="504"/>
    </row>
    <row r="68" spans="1:17">
      <c r="A68" s="534"/>
      <c r="B68" s="548"/>
      <c r="C68" s="549">
        <v>0</v>
      </c>
      <c r="D68" s="549"/>
      <c r="E68" s="549"/>
      <c r="F68" s="549"/>
      <c r="G68" s="549"/>
      <c r="H68" s="549"/>
      <c r="I68" s="549"/>
      <c r="J68" s="549"/>
      <c r="K68" s="550"/>
      <c r="L68" s="551"/>
      <c r="M68" s="552"/>
      <c r="N68" s="1152"/>
      <c r="O68" s="1152"/>
      <c r="P68" s="262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1"/>
      <c r="Q69" s="504"/>
    </row>
    <row r="70" spans="1:17" s="471" customFormat="1" ht="14.4" thickTop="1">
      <c r="A70" s="553"/>
      <c r="B70" s="538">
        <f>B12</f>
        <v>111</v>
      </c>
      <c r="C70" s="554"/>
      <c r="D70" s="554"/>
      <c r="E70" s="554"/>
      <c r="F70" s="554"/>
      <c r="G70" s="554"/>
      <c r="H70" s="555"/>
      <c r="I70" s="555"/>
      <c r="J70" s="555"/>
      <c r="K70" s="555"/>
      <c r="L70" s="556"/>
      <c r="M70" s="557"/>
      <c r="N70" s="1154"/>
      <c r="O70" s="1154"/>
      <c r="P70" s="2622"/>
      <c r="Q70" s="559"/>
    </row>
    <row r="71" spans="1:17" s="471" customFormat="1" ht="14.4" thickBot="1">
      <c r="A71" s="553"/>
      <c r="B71" s="543"/>
      <c r="C71" s="560"/>
      <c r="D71" s="536"/>
      <c r="E71" s="536"/>
      <c r="F71" s="536"/>
      <c r="G71" s="536"/>
      <c r="H71" s="536"/>
      <c r="I71" s="536"/>
      <c r="J71" s="536"/>
      <c r="K71" s="536"/>
      <c r="L71" s="536"/>
      <c r="M71" s="537"/>
      <c r="N71" s="1153"/>
      <c r="O71" s="1153"/>
      <c r="P71" s="2622"/>
      <c r="Q71" s="559"/>
    </row>
    <row r="72" spans="1:17" s="471" customFormat="1" ht="14.4" thickTop="1">
      <c r="A72" s="553"/>
      <c r="B72" s="538">
        <f>B13</f>
        <v>111</v>
      </c>
      <c r="C72" s="554"/>
      <c r="D72" s="554"/>
      <c r="E72" s="554"/>
      <c r="F72" s="554"/>
      <c r="G72" s="554"/>
      <c r="H72" s="555"/>
      <c r="I72" s="555"/>
      <c r="J72" s="555"/>
      <c r="K72" s="555"/>
      <c r="L72" s="556"/>
      <c r="M72" s="557"/>
      <c r="N72" s="1154"/>
      <c r="O72" s="1154"/>
      <c r="P72" s="2623"/>
      <c r="Q72" s="561"/>
    </row>
    <row r="73" spans="1:17" s="471" customFormat="1" ht="14.4" thickBot="1">
      <c r="A73" s="553"/>
      <c r="B73" s="543"/>
      <c r="C73" s="560"/>
      <c r="D73" s="536"/>
      <c r="E73" s="536"/>
      <c r="F73" s="536"/>
      <c r="G73" s="560"/>
      <c r="H73" s="562"/>
      <c r="I73" s="562"/>
      <c r="J73" s="562"/>
      <c r="K73" s="562"/>
      <c r="L73" s="562"/>
      <c r="M73" s="563"/>
      <c r="N73" s="1154"/>
      <c r="O73" s="1154"/>
      <c r="P73" s="2622"/>
      <c r="Q73" s="559"/>
    </row>
    <row r="74" spans="1:17" s="471" customFormat="1" ht="14.4" thickTop="1">
      <c r="A74" s="553"/>
      <c r="B74" s="546">
        <f>B14</f>
        <v>111</v>
      </c>
      <c r="C74" s="554"/>
      <c r="D74" s="554"/>
      <c r="E74" s="554"/>
      <c r="F74" s="554"/>
      <c r="G74" s="523"/>
      <c r="H74" s="564"/>
      <c r="I74" s="564"/>
      <c r="J74" s="564"/>
      <c r="K74" s="564"/>
      <c r="L74" s="565"/>
      <c r="M74" s="566"/>
      <c r="N74" s="1154"/>
      <c r="O74" s="1154"/>
      <c r="P74" s="2624"/>
      <c r="Q74" s="559"/>
    </row>
    <row r="75" spans="1:17" s="471" customFormat="1" ht="14.4" thickBot="1">
      <c r="A75" s="568"/>
      <c r="B75" s="569"/>
      <c r="C75" s="570"/>
      <c r="D75" s="570"/>
      <c r="E75" s="570"/>
      <c r="F75" s="570"/>
      <c r="G75" s="570"/>
      <c r="H75" s="571"/>
      <c r="I75" s="571"/>
      <c r="J75" s="571"/>
      <c r="K75" s="571"/>
      <c r="L75" s="571"/>
      <c r="M75" s="572"/>
      <c r="N75" s="1154"/>
      <c r="O75" s="1154"/>
      <c r="P75" s="2622"/>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25"/>
      <c r="Q76" s="504"/>
    </row>
    <row r="77" spans="1:17" ht="14.4" thickBot="1">
      <c r="A77" s="534"/>
      <c r="B77" s="543"/>
      <c r="C77" s="544">
        <v>100</v>
      </c>
      <c r="D77" s="544">
        <f>C77-$K15</f>
        <v>95</v>
      </c>
      <c r="E77" s="544">
        <f>D77-$K15</f>
        <v>90</v>
      </c>
      <c r="F77" s="544">
        <f>E77-$K15</f>
        <v>85</v>
      </c>
      <c r="G77" s="544">
        <f>F77-$K15</f>
        <v>80</v>
      </c>
      <c r="H77" s="544"/>
      <c r="I77" s="544"/>
      <c r="J77" s="544"/>
      <c r="K77" s="544"/>
      <c r="L77" s="544"/>
      <c r="M77" s="545"/>
      <c r="N77" s="1153"/>
      <c r="O77" s="1153"/>
      <c r="P77" s="2621"/>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21"/>
      <c r="Q78" s="504"/>
    </row>
    <row r="79" spans="1:17" ht="14.4" thickBot="1">
      <c r="A79" s="534"/>
      <c r="B79" s="543"/>
      <c r="C79" s="544">
        <v>100</v>
      </c>
      <c r="D79" s="544">
        <f>C79-$K17</f>
        <v>95</v>
      </c>
      <c r="E79" s="544">
        <f>D79-$K17</f>
        <v>90</v>
      </c>
      <c r="F79" s="544">
        <f>E79-$K17</f>
        <v>85</v>
      </c>
      <c r="G79" s="544">
        <f>F79-$K17</f>
        <v>80</v>
      </c>
      <c r="H79" s="544"/>
      <c r="I79" s="544"/>
      <c r="J79" s="544"/>
      <c r="K79" s="544"/>
      <c r="L79" s="544"/>
      <c r="M79" s="545"/>
      <c r="N79" s="1153"/>
      <c r="O79" s="1153"/>
      <c r="P79" s="2621"/>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21"/>
      <c r="Q80" s="504"/>
    </row>
    <row r="81" spans="1:17" ht="14.4" thickBot="1">
      <c r="A81" s="534"/>
      <c r="B81" s="543"/>
      <c r="C81" s="544">
        <v>100</v>
      </c>
      <c r="D81" s="544">
        <f>C81-$K19</f>
        <v>95</v>
      </c>
      <c r="E81" s="544">
        <f>D81-$K19</f>
        <v>90</v>
      </c>
      <c r="F81" s="544">
        <f>E81-$K19</f>
        <v>85</v>
      </c>
      <c r="G81" s="544">
        <f>F81-$K19</f>
        <v>80</v>
      </c>
      <c r="H81" s="544"/>
      <c r="I81" s="544"/>
      <c r="J81" s="544"/>
      <c r="K81" s="544"/>
      <c r="L81" s="544"/>
      <c r="M81" s="545"/>
      <c r="N81" s="1153"/>
      <c r="O81" s="1153"/>
      <c r="P81" s="2621"/>
      <c r="Q81" s="504"/>
    </row>
    <row r="82" spans="1:17" ht="15" thickTop="1">
      <c r="A82" s="534"/>
      <c r="B82" s="546" t="s">
        <v>2654</v>
      </c>
      <c r="C82" s="660" t="s">
        <v>2674</v>
      </c>
      <c r="D82" s="660" t="s">
        <v>2675</v>
      </c>
      <c r="E82" s="660" t="s">
        <v>2676</v>
      </c>
      <c r="F82" s="660" t="s">
        <v>2677</v>
      </c>
      <c r="G82" s="660" t="s">
        <v>2678</v>
      </c>
      <c r="H82" s="539"/>
      <c r="I82" s="539"/>
      <c r="J82" s="539"/>
      <c r="K82" s="539"/>
      <c r="L82" s="539"/>
      <c r="M82" s="1382"/>
      <c r="N82" s="1153"/>
      <c r="O82" s="1153"/>
      <c r="P82" s="262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1"/>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2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1"/>
      <c r="Q85" s="504"/>
    </row>
    <row r="86" spans="1:17" s="117" customFormat="1" ht="15" thickTop="1">
      <c r="A86" s="579"/>
      <c r="B86" s="538" t="s">
        <v>2679</v>
      </c>
      <c r="C86" s="554"/>
      <c r="D86" s="554"/>
      <c r="E86" s="554"/>
      <c r="F86" s="554"/>
      <c r="G86" s="554"/>
      <c r="H86" s="554"/>
      <c r="I86" s="554"/>
      <c r="J86" s="554"/>
      <c r="K86" s="554"/>
      <c r="L86" s="580"/>
      <c r="M86" s="581"/>
      <c r="N86" s="1151"/>
      <c r="O86" s="1151"/>
      <c r="P86" s="262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1"/>
      <c r="Q87" s="504"/>
    </row>
    <row r="88" spans="1:17" s="117" customFormat="1" ht="14.4" thickTop="1">
      <c r="A88" s="579"/>
      <c r="B88" s="538" t="str">
        <f>B26</f>
        <v>平面位置/可视性</v>
      </c>
      <c r="C88" s="554"/>
      <c r="D88" s="554"/>
      <c r="E88" s="554"/>
      <c r="F88" s="2626"/>
      <c r="G88" s="554"/>
      <c r="H88" s="554"/>
      <c r="I88" s="554"/>
      <c r="J88" s="554"/>
      <c r="K88" s="554"/>
      <c r="L88" s="554"/>
      <c r="M88" s="581"/>
      <c r="N88" s="1151"/>
      <c r="O88" s="1151"/>
      <c r="P88" s="2621"/>
      <c r="Q88" s="504"/>
    </row>
    <row r="89" spans="1:17" s="117" customFormat="1" ht="14.4" thickBot="1">
      <c r="A89" s="579"/>
      <c r="B89" s="543"/>
      <c r="C89" s="560"/>
      <c r="D89" s="536"/>
      <c r="E89" s="536"/>
      <c r="F89" s="536"/>
      <c r="G89" s="536"/>
      <c r="H89" s="536"/>
      <c r="I89" s="536"/>
      <c r="J89" s="536"/>
      <c r="K89" s="536"/>
      <c r="L89" s="536"/>
      <c r="M89" s="536"/>
      <c r="N89" s="1153"/>
      <c r="O89" s="1153"/>
      <c r="P89" s="262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2"/>
      <c r="Q91" s="559"/>
    </row>
    <row r="92" spans="1:17" ht="14.4" thickTop="1">
      <c r="A92" s="534"/>
      <c r="B92" s="538" t="str">
        <f>B28</f>
        <v>楼层</v>
      </c>
      <c r="C92" s="554"/>
      <c r="D92" s="554"/>
      <c r="E92" s="554"/>
      <c r="F92" s="554"/>
      <c r="G92" s="554"/>
      <c r="H92" s="554"/>
      <c r="I92" s="554"/>
      <c r="J92" s="554"/>
      <c r="K92" s="554"/>
      <c r="L92" s="580"/>
      <c r="M92" s="581"/>
      <c r="N92" s="1152"/>
      <c r="O92" s="1152"/>
      <c r="P92" s="2621"/>
      <c r="Q92" s="504"/>
    </row>
    <row r="93" spans="1:17" ht="14.4" thickBot="1">
      <c r="A93" s="534"/>
      <c r="B93" s="543"/>
      <c r="C93" s="536"/>
      <c r="D93" s="536"/>
      <c r="E93" s="536"/>
      <c r="F93" s="536"/>
      <c r="G93" s="536"/>
      <c r="H93" s="536"/>
      <c r="I93" s="536"/>
      <c r="J93" s="536"/>
      <c r="K93" s="536"/>
      <c r="L93" s="536"/>
      <c r="M93" s="537"/>
      <c r="N93" s="1153"/>
      <c r="O93" s="1153"/>
      <c r="P93" s="2621"/>
      <c r="Q93" s="504"/>
    </row>
    <row r="94" spans="1:17" ht="14.4" thickTop="1">
      <c r="A94" s="534"/>
      <c r="B94" s="538">
        <f>B29</f>
        <v>111</v>
      </c>
      <c r="C94" s="554"/>
      <c r="D94" s="554"/>
      <c r="E94" s="554"/>
      <c r="F94" s="554"/>
      <c r="G94" s="583"/>
      <c r="H94" s="583"/>
      <c r="I94" s="583"/>
      <c r="J94" s="583"/>
      <c r="K94" s="584"/>
      <c r="L94" s="585"/>
      <c r="M94" s="586"/>
      <c r="N94" s="1152"/>
      <c r="O94" s="1152"/>
      <c r="P94" s="2621"/>
      <c r="Q94" s="504"/>
    </row>
    <row r="95" spans="1:17" ht="14.4" thickBot="1">
      <c r="A95" s="534"/>
      <c r="B95" s="543"/>
      <c r="C95" s="560"/>
      <c r="D95" s="536"/>
      <c r="E95" s="536"/>
      <c r="F95" s="536"/>
      <c r="G95" s="536"/>
      <c r="H95" s="536"/>
      <c r="I95" s="536"/>
      <c r="J95" s="536"/>
      <c r="K95" s="536"/>
      <c r="L95" s="536"/>
      <c r="M95" s="537"/>
      <c r="N95" s="1153"/>
      <c r="O95" s="1153"/>
      <c r="P95" s="2621"/>
      <c r="Q95" s="504"/>
    </row>
    <row r="96" spans="1:17" ht="14.4" thickTop="1">
      <c r="A96" s="534"/>
      <c r="B96" s="538">
        <f>B30</f>
        <v>111</v>
      </c>
      <c r="C96" s="554"/>
      <c r="D96" s="554"/>
      <c r="E96" s="554"/>
      <c r="F96" s="554"/>
      <c r="G96" s="583"/>
      <c r="H96" s="583"/>
      <c r="I96" s="583"/>
      <c r="J96" s="583"/>
      <c r="K96" s="584"/>
      <c r="L96" s="585"/>
      <c r="M96" s="586"/>
      <c r="N96" s="1152"/>
      <c r="O96" s="1152"/>
      <c r="P96" s="2621"/>
      <c r="Q96" s="504"/>
    </row>
    <row r="97" spans="1:17" ht="14.4" thickBot="1">
      <c r="A97" s="534"/>
      <c r="B97" s="543"/>
      <c r="C97" s="560"/>
      <c r="D97" s="536"/>
      <c r="E97" s="536"/>
      <c r="F97" s="536"/>
      <c r="G97" s="536"/>
      <c r="H97" s="536"/>
      <c r="I97" s="536"/>
      <c r="J97" s="536"/>
      <c r="K97" s="536"/>
      <c r="L97" s="536"/>
      <c r="M97" s="537"/>
      <c r="N97" s="1153"/>
      <c r="O97" s="1153"/>
      <c r="P97" s="2621"/>
      <c r="Q97" s="504"/>
    </row>
    <row r="98" spans="1:17" ht="14.4" thickTop="1">
      <c r="A98" s="534"/>
      <c r="B98" s="546">
        <f>B31</f>
        <v>111</v>
      </c>
      <c r="C98" s="554"/>
      <c r="D98" s="554"/>
      <c r="E98" s="554"/>
      <c r="F98" s="554"/>
      <c r="G98" s="587"/>
      <c r="H98" s="587"/>
      <c r="I98" s="587"/>
      <c r="J98" s="587"/>
      <c r="K98" s="588"/>
      <c r="L98" s="589"/>
      <c r="M98" s="590"/>
      <c r="N98" s="1152"/>
      <c r="O98" s="1152"/>
      <c r="P98" s="2621"/>
      <c r="Q98" s="504"/>
    </row>
    <row r="99" spans="1:17" ht="14.4" thickBot="1">
      <c r="A99" s="2627"/>
      <c r="B99" s="569"/>
      <c r="C99" s="570"/>
      <c r="D99" s="570"/>
      <c r="E99" s="570"/>
      <c r="F99" s="570"/>
      <c r="G99" s="591"/>
      <c r="H99" s="591"/>
      <c r="I99" s="591"/>
      <c r="J99" s="591"/>
      <c r="K99" s="591"/>
      <c r="L99" s="591"/>
      <c r="M99" s="592"/>
      <c r="N99" s="1153"/>
      <c r="O99" s="1153"/>
      <c r="P99" s="2621"/>
      <c r="Q99" s="504"/>
    </row>
    <row r="100" spans="1:17" ht="14.4">
      <c r="A100" s="527" t="s">
        <v>2562</v>
      </c>
      <c r="B100" s="528" t="s">
        <v>2680</v>
      </c>
      <c r="C100" s="530"/>
      <c r="D100" s="530"/>
      <c r="E100" s="530"/>
      <c r="F100" s="530"/>
      <c r="G100" s="530"/>
      <c r="H100" s="530"/>
      <c r="I100" s="530"/>
      <c r="J100" s="530"/>
      <c r="K100" s="531"/>
      <c r="L100" s="532"/>
      <c r="M100" s="533"/>
      <c r="N100" s="1152"/>
      <c r="O100" s="1152"/>
      <c r="P100" s="262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1"/>
      <c r="Q101" s="504"/>
    </row>
    <row r="102" spans="1:17" ht="15" thickTop="1">
      <c r="A102" s="534"/>
      <c r="B102" s="538" t="s">
        <v>2612</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1"/>
      <c r="Q102" s="504"/>
    </row>
    <row r="103" spans="1:17" s="471" customFormat="1">
      <c r="A103" s="593"/>
      <c r="B103" s="594"/>
      <c r="C103" s="595">
        <v>0</v>
      </c>
      <c r="D103" s="595"/>
      <c r="E103" s="595"/>
      <c r="F103" s="595"/>
      <c r="G103" s="595"/>
      <c r="H103" s="595"/>
      <c r="I103" s="595"/>
      <c r="J103" s="596"/>
      <c r="K103" s="596"/>
      <c r="L103" s="597"/>
      <c r="M103" s="598"/>
      <c r="N103" s="1154"/>
      <c r="O103" s="1154"/>
      <c r="P103" s="262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2"/>
      <c r="Q104" s="559"/>
    </row>
    <row r="105" spans="1:17" ht="15" thickTop="1">
      <c r="A105" s="599"/>
      <c r="B105" s="538" t="s">
        <v>2613</v>
      </c>
      <c r="C105" s="554"/>
      <c r="D105" s="554"/>
      <c r="E105" s="583"/>
      <c r="F105" s="583"/>
      <c r="G105" s="583"/>
      <c r="H105" s="583"/>
      <c r="I105" s="583"/>
      <c r="J105" s="583"/>
      <c r="K105" s="584"/>
      <c r="L105" s="585"/>
      <c r="M105" s="586"/>
      <c r="N105" s="1152"/>
      <c r="O105" s="1152"/>
      <c r="P105" s="262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1"/>
      <c r="Q106" s="504"/>
    </row>
    <row r="107" spans="1:17" ht="15" thickTop="1">
      <c r="A107" s="599"/>
      <c r="B107" s="538" t="s">
        <v>2615</v>
      </c>
      <c r="C107" s="554"/>
      <c r="D107" s="554"/>
      <c r="E107" s="554"/>
      <c r="F107" s="583"/>
      <c r="G107" s="583"/>
      <c r="H107" s="583"/>
      <c r="I107" s="583"/>
      <c r="J107" s="583"/>
      <c r="K107" s="584"/>
      <c r="L107" s="585"/>
      <c r="M107" s="586"/>
      <c r="N107" s="1152"/>
      <c r="O107" s="1152"/>
      <c r="P107" s="262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1"/>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2"/>
      <c r="Q113" s="559"/>
    </row>
    <row r="114" spans="1:17" ht="15" thickTop="1">
      <c r="A114" s="599"/>
      <c r="B114" s="538" t="s">
        <v>2681</v>
      </c>
      <c r="C114" s="554"/>
      <c r="D114" s="554"/>
      <c r="E114" s="583"/>
      <c r="F114" s="583"/>
      <c r="G114" s="583"/>
      <c r="H114" s="583"/>
      <c r="I114" s="583"/>
      <c r="J114" s="583"/>
      <c r="K114" s="584"/>
      <c r="L114" s="585"/>
      <c r="M114" s="586"/>
      <c r="N114" s="1152"/>
      <c r="O114" s="1152"/>
      <c r="P114" s="262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1"/>
      <c r="Q115" s="504"/>
    </row>
    <row r="116" spans="1:17" ht="15" thickTop="1">
      <c r="A116" s="599"/>
      <c r="B116" s="538" t="s">
        <v>2682</v>
      </c>
      <c r="C116" s="554"/>
      <c r="D116" s="554"/>
      <c r="E116" s="554"/>
      <c r="F116" s="554"/>
      <c r="G116" s="554"/>
      <c r="H116" s="583"/>
      <c r="I116" s="583"/>
      <c r="J116" s="583"/>
      <c r="K116" s="584"/>
      <c r="L116" s="585"/>
      <c r="M116" s="586"/>
      <c r="N116" s="1152"/>
      <c r="O116" s="1152"/>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2683</v>
      </c>
      <c r="C118" s="627"/>
      <c r="D118" s="627"/>
      <c r="E118" s="627"/>
      <c r="F118" s="627"/>
      <c r="G118" s="627"/>
      <c r="H118" s="555"/>
      <c r="I118" s="555"/>
      <c r="J118" s="555"/>
      <c r="K118" s="555"/>
      <c r="L118" s="556"/>
      <c r="M118" s="557"/>
      <c r="N118" s="1152"/>
      <c r="O118" s="1152"/>
      <c r="P118" s="2621"/>
      <c r="Q118" s="504"/>
    </row>
    <row r="119" spans="1:17" ht="14.4" thickBot="1">
      <c r="A119" s="534"/>
      <c r="B119" s="543"/>
      <c r="C119" s="560"/>
      <c r="D119" s="536"/>
      <c r="E119" s="536"/>
      <c r="F119" s="536"/>
      <c r="G119" s="536"/>
      <c r="H119" s="536"/>
      <c r="I119" s="536"/>
      <c r="J119" s="536"/>
      <c r="K119" s="536"/>
      <c r="L119" s="536"/>
      <c r="M119" s="537"/>
      <c r="N119" s="1153"/>
      <c r="O119" s="1153"/>
      <c r="P119" s="262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2"/>
      <c r="Q121" s="559"/>
    </row>
    <row r="122" spans="1:17" ht="15" thickTop="1">
      <c r="A122" s="599"/>
      <c r="B122" s="538" t="s">
        <v>2619</v>
      </c>
      <c r="C122" s="2975" t="s">
        <v>3236</v>
      </c>
      <c r="D122" s="2975" t="s">
        <v>3237</v>
      </c>
      <c r="E122" s="2975" t="s">
        <v>3238</v>
      </c>
      <c r="F122" s="3024" t="s">
        <v>3240</v>
      </c>
      <c r="G122" s="583"/>
      <c r="H122" s="583"/>
      <c r="I122" s="583"/>
      <c r="J122" s="583"/>
      <c r="K122" s="584"/>
      <c r="L122" s="585"/>
      <c r="M122" s="586"/>
      <c r="N122" s="1152"/>
      <c r="O122" s="1152"/>
      <c r="P122" s="2621"/>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1"/>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2"/>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2"/>
      <c r="Q127" s="559"/>
    </row>
    <row r="128" spans="1:17" ht="14.4" thickTop="1">
      <c r="A128" s="599"/>
      <c r="B128" s="538">
        <f>B45</f>
        <v>111</v>
      </c>
      <c r="C128" s="554"/>
      <c r="D128" s="554"/>
      <c r="E128" s="554"/>
      <c r="F128" s="554"/>
      <c r="G128" s="583"/>
      <c r="H128" s="583"/>
      <c r="I128" s="583"/>
      <c r="J128" s="583"/>
      <c r="K128" s="584"/>
      <c r="L128" s="585"/>
      <c r="M128" s="586"/>
      <c r="N128" s="1152"/>
      <c r="O128" s="1152"/>
      <c r="P128" s="2621"/>
      <c r="Q128" s="504"/>
    </row>
    <row r="129" spans="1:17" ht="14.4" thickBot="1">
      <c r="A129" s="534"/>
      <c r="B129" s="543"/>
      <c r="C129" s="560"/>
      <c r="D129" s="536"/>
      <c r="E129" s="536"/>
      <c r="F129" s="536"/>
      <c r="G129" s="536"/>
      <c r="H129" s="536"/>
      <c r="I129" s="536"/>
      <c r="J129" s="536"/>
      <c r="K129" s="536"/>
      <c r="L129" s="536"/>
      <c r="M129" s="537"/>
      <c r="N129" s="1153"/>
      <c r="O129" s="1153"/>
      <c r="P129" s="2621"/>
      <c r="Q129" s="504"/>
    </row>
    <row r="130" spans="1:17" ht="14.4" thickTop="1">
      <c r="A130" s="599"/>
      <c r="B130" s="546">
        <f>B46</f>
        <v>111</v>
      </c>
      <c r="C130" s="554"/>
      <c r="D130" s="554"/>
      <c r="E130" s="554"/>
      <c r="F130" s="554"/>
      <c r="G130" s="587"/>
      <c r="H130" s="587"/>
      <c r="I130" s="587"/>
      <c r="J130" s="587"/>
      <c r="K130" s="523"/>
      <c r="L130" s="524"/>
      <c r="M130" s="590"/>
      <c r="N130" s="1152"/>
      <c r="O130" s="1152"/>
      <c r="P130" s="2621"/>
      <c r="Q130" s="504"/>
    </row>
    <row r="131" spans="1:17" ht="14.4" thickBot="1">
      <c r="A131" s="2627"/>
      <c r="B131" s="569"/>
      <c r="C131" s="570"/>
      <c r="D131" s="570"/>
      <c r="E131" s="570"/>
      <c r="F131" s="570"/>
      <c r="G131" s="591"/>
      <c r="H131" s="591"/>
      <c r="I131" s="591"/>
      <c r="J131" s="591"/>
      <c r="K131" s="591"/>
      <c r="L131" s="591"/>
      <c r="M131" s="592"/>
      <c r="N131" s="1153"/>
      <c r="O131" s="1153"/>
      <c r="P131" s="262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1" priority="17" stopIfTrue="1" operator="containsText" text="超过">
      <formula>NOT(ISERROR(SEARCH("超过",F52)))</formula>
    </cfRule>
  </conditionalFormatting>
  <conditionalFormatting sqref="H54">
    <cfRule type="containsText" dxfId="130" priority="15" stopIfTrue="1" operator="containsText" text="超过">
      <formula>NOT(ISERROR(SEARCH("超过",H54)))</formula>
    </cfRule>
  </conditionalFormatting>
  <conditionalFormatting sqref="F54">
    <cfRule type="containsText" dxfId="129" priority="14" stopIfTrue="1" operator="containsText" text="超过">
      <formula>NOT(ISERROR(SEARCH("超过",F54)))</formula>
    </cfRule>
  </conditionalFormatting>
  <conditionalFormatting sqref="F53 H53">
    <cfRule type="containsText" dxfId="128" priority="13" stopIfTrue="1" operator="containsText" text="超过">
      <formula>NOT(ISERROR(SEARCH("超过",F53)))</formula>
    </cfRule>
  </conditionalFormatting>
  <conditionalFormatting sqref="E52">
    <cfRule type="expression" dxfId="127" priority="12"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4">
    <cfRule type="expression" dxfId="124" priority="9" stopIfTrue="1">
      <formula>$H$54="超过30%"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J52">
    <cfRule type="containsText" dxfId="121" priority="6" stopIfTrue="1" operator="containsText" text="超过">
      <formula>NOT(ISERROR(SEARCH("超过",J52)))</formula>
    </cfRule>
  </conditionalFormatting>
  <conditionalFormatting sqref="J54">
    <cfRule type="containsText" dxfId="120" priority="5" stopIfTrue="1" operator="containsText" text="超过">
      <formula>NOT(ISERROR(SEARCH("超过",J54)))</formula>
    </cfRule>
  </conditionalFormatting>
  <conditionalFormatting sqref="J53">
    <cfRule type="containsText" dxfId="119" priority="4" stopIfTrue="1" operator="containsText" text="超过">
      <formula>NOT(ISERROR(SEARCH("超过",J53)))</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33" sqref="X3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6" t="s">
        <v>3003</v>
      </c>
      <c r="D1" s="3287"/>
      <c r="E1" s="3287"/>
      <c r="F1" s="3287"/>
      <c r="G1" s="3287"/>
      <c r="H1" s="3287"/>
      <c r="I1" s="3287"/>
      <c r="J1" s="3287"/>
      <c r="K1" s="3287"/>
      <c r="L1" s="3287"/>
      <c r="M1" s="3287"/>
      <c r="N1" s="3287"/>
      <c r="O1" s="3287"/>
      <c r="P1" s="3287"/>
      <c r="Q1" s="3287"/>
      <c r="R1" s="3287"/>
      <c r="S1" s="3288"/>
      <c r="T1" s="1204" t="s">
        <v>3004</v>
      </c>
    </row>
    <row r="2" spans="1:45" s="707" customFormat="1" ht="26.4">
      <c r="A2" s="1205"/>
      <c r="B2" s="703" t="s">
        <v>3005</v>
      </c>
      <c r="C2" s="704" t="str">
        <f t="shared" ref="C2:L2" si="0">C3&amp;"(含)"&amp;"-"&amp;D3</f>
        <v>0(含)-500</v>
      </c>
      <c r="D2" s="705" t="str">
        <f t="shared" si="0"/>
        <v>500(含)-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v>99</v>
      </c>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9" t="s">
        <v>3012</v>
      </c>
      <c r="B17" s="2900" t="s">
        <v>3013</v>
      </c>
      <c r="C17" s="1231">
        <v>1</v>
      </c>
      <c r="D17" s="1232">
        <v>-1</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v>100</v>
      </c>
      <c r="D18" s="1244">
        <v>50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1" t="s">
        <v>3014</v>
      </c>
      <c r="E19" s="1783"/>
      <c r="F19" s="1783"/>
      <c r="G19" s="1783"/>
      <c r="H19" s="1280"/>
      <c r="I19" s="168"/>
      <c r="J19" s="168"/>
      <c r="K19" s="168"/>
      <c r="L19" s="168"/>
      <c r="M19" s="168"/>
      <c r="N19" s="168"/>
      <c r="O19" s="168"/>
      <c r="P19" s="168"/>
      <c r="Q19" s="168"/>
      <c r="R19" s="788"/>
      <c r="S19" s="138"/>
    </row>
    <row r="20" spans="1:45" ht="16.2" thickBot="1">
      <c r="A20" s="715" t="s">
        <v>3015</v>
      </c>
      <c r="B20" s="338">
        <f>IF(D20="——",S22,S22-F20)</f>
        <v>1598</v>
      </c>
      <c r="C20" s="168"/>
      <c r="D20" s="2902" t="s">
        <v>70</v>
      </c>
      <c r="E20" s="1784"/>
      <c r="F20" s="1204" t="e">
        <f ca="1">SUMIF(INDIRECT("'"&amp;H20&amp;"'"&amp;"!A:A"),"承租人权益价值",INDIRECT("'"&amp;H20&amp;"'"&amp;"!c:c"))</f>
        <v>#REF!</v>
      </c>
      <c r="G20" s="1204" t="s">
        <v>3016</v>
      </c>
      <c r="H20" s="2903"/>
      <c r="I20" s="168"/>
      <c r="J20" s="168"/>
      <c r="K20" s="168"/>
      <c r="L20" s="168"/>
      <c r="M20" s="168"/>
      <c r="N20" s="168"/>
      <c r="O20" s="168"/>
      <c r="P20" s="168"/>
      <c r="Q20" s="168"/>
      <c r="R20" s="788"/>
      <c r="S20" s="138"/>
    </row>
    <row r="21" spans="1:45" ht="15.6">
      <c r="A21" s="715" t="s">
        <v>3017</v>
      </c>
      <c r="B21" s="338">
        <f>ROUND(B20*10000/B22,0)</f>
        <v>17167</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930.84999999999991</v>
      </c>
      <c r="C22" s="3207" t="s">
        <v>33</v>
      </c>
      <c r="D22" s="3208"/>
      <c r="E22" s="3208"/>
      <c r="F22" s="3208"/>
      <c r="G22" s="3208"/>
      <c r="H22" s="3208"/>
      <c r="I22" s="3208"/>
      <c r="J22" s="3208"/>
      <c r="K22" s="3208"/>
      <c r="L22" s="3208"/>
      <c r="M22" s="3208"/>
      <c r="N22" s="3208"/>
      <c r="O22" s="3208"/>
      <c r="P22" s="3208"/>
      <c r="Q22" s="3285"/>
      <c r="R22" s="716">
        <f>ROUND(S22*10000/B22,0)</f>
        <v>17167</v>
      </c>
      <c r="S22" s="24">
        <f>SUM(S24:S10000)</f>
        <v>1598</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f>'数据-基础表'!K13</f>
        <v>481.19</v>
      </c>
      <c r="C24" s="719">
        <v>1</v>
      </c>
      <c r="D24" s="720"/>
      <c r="E24" s="719">
        <v>1</v>
      </c>
      <c r="F24" s="720"/>
      <c r="G24" s="719">
        <v>1</v>
      </c>
      <c r="H24" s="720"/>
      <c r="I24" s="719">
        <v>1</v>
      </c>
      <c r="J24" s="720"/>
      <c r="K24" s="719">
        <v>1</v>
      </c>
      <c r="L24" s="720"/>
      <c r="M24" s="719">
        <v>1</v>
      </c>
      <c r="N24" s="720"/>
      <c r="O24" s="719">
        <v>1</v>
      </c>
      <c r="P24" s="720">
        <v>1</v>
      </c>
      <c r="Q24" s="719">
        <v>1</v>
      </c>
      <c r="R24" s="721">
        <f>'比较法-商业'!C48</f>
        <v>22624</v>
      </c>
      <c r="S24" s="719">
        <f t="shared" ref="S24:S54" si="11">ROUND(R24*B24/10000,0)</f>
        <v>1089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'数据-基础表'!M13</f>
        <v>449.65999999999997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0.5</v>
      </c>
      <c r="R25" s="716">
        <f>IF(B25="",0,ROUND($R$24*C25*E25*G25*I25*K25*M25*O25*Q25,0))</f>
        <v>11312</v>
      </c>
      <c r="S25" s="361">
        <f t="shared" si="11"/>
        <v>509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受贵公司委托，我公司对北京市大兴区隆盛大街6号院1号楼-8幢等办公、商业、车库、地下仓储用房房地产抵押价值进行了预评估。</v>
      </c>
    </row>
    <row r="5" spans="1:1" ht="17.399999999999999">
      <c r="A5" s="1939" t="s">
        <v>1606</v>
      </c>
    </row>
    <row r="6" spans="1:1" ht="17.399999999999999">
      <c r="A6" s="1940" t="s">
        <v>1607</v>
      </c>
    </row>
    <row r="7" spans="1:1" ht="69.59999999999999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盛大街6号院1号楼-8幢等办公、商业、车库、地下仓储用房房地产，为北京和兴东华投资发展有限公司所有。根据《国有土地使用证》[]，估价对象（分摊）出让国有建设用地使用权面积为23247.07平方米，建筑面积为85553.64平方米。</v>
      </c>
    </row>
    <row r="8" spans="1:1" ht="54.6">
      <c r="A8" s="1941" t="s">
        <v>1608</v>
      </c>
    </row>
    <row r="9" spans="1:1" ht="17.399999999999999">
      <c r="A9" s="1940" t="s">
        <v>1609</v>
      </c>
    </row>
    <row r="10" spans="1:1" ht="87">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盛大街6号院1号楼-8幢等办公、商业、车库、地下仓储用房房地产,属北京和兴东华投资发展有限公司开发建设的，该项目尚在开发建设中。根据《国有土地使用证》[]，估价对象（分摊）出让国有建设用地使用权面积为23247.07平方米，规划建筑面积为85553.64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拟使用北京市大兴区隆盛大街6号院1号楼-8幢等办公、商业、车库、地下仓储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2020年6月30日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本次评估采用的主估价方法为比较法和收益法。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O25" sqref="O2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1372</v>
      </c>
      <c r="D1" s="1811" t="s">
        <v>70</v>
      </c>
      <c r="E1" s="1812" t="s">
        <v>1381</v>
      </c>
      <c r="F1" s="1283">
        <f ca="1">J53</f>
        <v>35.1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1148</v>
      </c>
      <c r="C2" s="1836" t="s">
        <v>1510</v>
      </c>
      <c r="D2" s="1836"/>
      <c r="E2" s="1837"/>
      <c r="F2" s="1838"/>
      <c r="G2" s="1839"/>
      <c r="H2" s="1831"/>
      <c r="I2" s="1831"/>
      <c r="J2" s="1831"/>
      <c r="K2" s="1832"/>
      <c r="L2" s="1831"/>
      <c r="M2" s="1831"/>
    </row>
    <row r="3" spans="1:37" ht="18" customHeight="1" thickBot="1">
      <c r="A3" s="1840" t="s">
        <v>1511</v>
      </c>
      <c r="B3" s="1841">
        <f ca="1">IF(ISERROR(B2*10000/F43),0,ROUND(B2*10000/F43,0))</f>
        <v>12333</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70</v>
      </c>
      <c r="D5" s="1813" t="s">
        <v>1396</v>
      </c>
      <c r="E5" s="1293"/>
      <c r="F5" s="1294"/>
      <c r="G5" s="1842"/>
      <c r="H5" s="344">
        <v>1</v>
      </c>
      <c r="I5" s="345" t="s">
        <v>1395</v>
      </c>
      <c r="J5" s="1292">
        <f ca="1">J6+J10+J12</f>
        <v>0</v>
      </c>
      <c r="K5" s="1813" t="s">
        <v>1396</v>
      </c>
      <c r="L5" s="1293"/>
      <c r="M5" s="1294"/>
    </row>
    <row r="6" spans="1:37" ht="18" customHeight="1">
      <c r="A6" s="1291" t="s">
        <v>1031</v>
      </c>
      <c r="B6" s="3217" t="s">
        <v>1397</v>
      </c>
      <c r="C6" s="1296">
        <f ca="1">ROUND(F6*F8*F7*(1-F9)/10000,0)</f>
        <v>70</v>
      </c>
      <c r="D6" s="164" t="s">
        <v>3028</v>
      </c>
      <c r="E6" s="347" t="s">
        <v>1399</v>
      </c>
      <c r="F6" s="348">
        <f ca="1">INDIRECT("'数据-取费表'!u"&amp;$G$1)</f>
        <v>2.2999999999999998</v>
      </c>
      <c r="G6" s="1842"/>
      <c r="H6" s="1291" t="s">
        <v>1031</v>
      </c>
      <c r="I6" s="3217" t="s">
        <v>1397</v>
      </c>
      <c r="J6" s="346">
        <f ca="1">ROUND(M6*M8*M7*(1-M9)/10000,0)</f>
        <v>0</v>
      </c>
      <c r="K6" s="164" t="s">
        <v>3027</v>
      </c>
      <c r="L6" s="347" t="s">
        <v>1399</v>
      </c>
      <c r="M6" s="348">
        <f ca="1">INDIRECT("'数据-取费表'!z"&amp;$G$1)</f>
        <v>0</v>
      </c>
    </row>
    <row r="7" spans="1:37" ht="18" customHeight="1">
      <c r="A7" s="1295"/>
      <c r="B7" s="3218"/>
      <c r="C7" s="1297"/>
      <c r="D7" s="352"/>
      <c r="E7" s="2964" t="s">
        <v>1400</v>
      </c>
      <c r="F7" s="348">
        <f ca="1">IF(INDIRECT("'数据-取费表'!ah"&amp;$G$1)="",INDIRECT("'数据-取费表'!k"&amp;$G$1),INDIRECT("'数据-取费表'!ah"&amp;$G$1))</f>
        <v>930.84999999999991</v>
      </c>
      <c r="G7" s="1842"/>
      <c r="H7" s="349"/>
      <c r="I7" s="3218"/>
      <c r="J7" s="351"/>
      <c r="K7" s="352"/>
      <c r="L7" s="347" t="s">
        <v>1400</v>
      </c>
      <c r="M7" s="348">
        <f ca="1">F7</f>
        <v>930.84999999999991</v>
      </c>
    </row>
    <row r="8" spans="1:37" ht="18" customHeight="1">
      <c r="A8" s="349"/>
      <c r="B8" s="3218"/>
      <c r="C8" s="351"/>
      <c r="D8" s="352"/>
      <c r="E8" s="347" t="s">
        <v>1401</v>
      </c>
      <c r="F8" s="348">
        <f ca="1">INDIRECT("'数据-取费表'!ai"&amp;$G$1)</f>
        <v>365</v>
      </c>
      <c r="G8" s="1842"/>
      <c r="H8" s="349"/>
      <c r="I8" s="3218"/>
      <c r="J8" s="351"/>
      <c r="K8" s="352"/>
      <c r="L8" s="347" t="s">
        <v>1401</v>
      </c>
      <c r="M8" s="348">
        <f ca="1">INDIRECT("'数据-取费表'!ai"&amp;$G$1)</f>
        <v>365</v>
      </c>
    </row>
    <row r="9" spans="1:37" ht="18" customHeight="1">
      <c r="A9" s="349"/>
      <c r="B9" s="3219"/>
      <c r="C9" s="351"/>
      <c r="D9" s="352"/>
      <c r="E9" s="347" t="s">
        <v>1402</v>
      </c>
      <c r="F9" s="357">
        <f ca="1">INDIRECT("'数据-取费表'!w"&amp;$G$1)</f>
        <v>0.1</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3035</v>
      </c>
      <c r="E10" s="358" t="s">
        <v>1404</v>
      </c>
      <c r="F10" s="1366" t="s">
        <v>3109</v>
      </c>
      <c r="G10" s="1842"/>
      <c r="H10" s="1291" t="s">
        <v>1035</v>
      </c>
      <c r="I10" s="1814" t="s">
        <v>1403</v>
      </c>
      <c r="J10" s="346">
        <f ca="1">ROUND(IF(M10="押一",J6/12*M11,IF(M10="押二",J6/12*2*M11,IF(M10="押三",J6/12*3*M11,J11*M11))),0)</f>
        <v>0</v>
      </c>
      <c r="K10" s="1815" t="s">
        <v>3035</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415</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280</v>
      </c>
      <c r="D14" s="2958" t="s">
        <v>1412</v>
      </c>
      <c r="E14" s="2956"/>
      <c r="F14" s="364"/>
      <c r="G14" s="1842"/>
      <c r="H14" s="1201" t="s">
        <v>1031</v>
      </c>
      <c r="I14" s="347" t="s">
        <v>1413</v>
      </c>
      <c r="J14" s="24">
        <f ca="1">C29</f>
        <v>437</v>
      </c>
      <c r="K14" s="2963"/>
      <c r="L14" s="979"/>
      <c r="M14" s="980"/>
    </row>
    <row r="15" spans="1:37" s="1849" customFormat="1" ht="18" customHeight="1" thickBot="1">
      <c r="A15" s="1201" t="s">
        <v>1032</v>
      </c>
      <c r="B15" s="347" t="s">
        <v>1414</v>
      </c>
      <c r="C15" s="24">
        <f ca="1">ROUND(C14*F15,0)</f>
        <v>14</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10</v>
      </c>
      <c r="K16" s="1337" t="s">
        <v>1419</v>
      </c>
      <c r="L16" s="2959"/>
      <c r="M16" s="1294"/>
    </row>
    <row r="17" spans="1:37" s="1849" customFormat="1" ht="18" customHeight="1">
      <c r="A17" s="1201" t="s">
        <v>1384</v>
      </c>
      <c r="B17" s="347" t="s">
        <v>1420</v>
      </c>
      <c r="C17" s="24">
        <f ca="1">ROUND(F17*(F43+INDIRECT("'数据-取费表'!S"&amp;$G$1))/10000,0)</f>
        <v>19</v>
      </c>
      <c r="D17" s="347" t="s">
        <v>1421</v>
      </c>
      <c r="E17" s="347" t="s">
        <v>1422</v>
      </c>
      <c r="F17" s="26">
        <f>'数据-取费表'!B35</f>
        <v>200</v>
      </c>
      <c r="G17" s="1845"/>
      <c r="H17" s="1201" t="s">
        <v>1031</v>
      </c>
      <c r="I17" s="347" t="s">
        <v>1423</v>
      </c>
      <c r="J17" s="24">
        <f ca="1">ROUND(IF(项目基本情况!B11="自然人",J6*M17/(1+'数据-取费表'!C42),J18+J19+J20),1)</f>
        <v>3.7</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317</v>
      </c>
      <c r="D19" s="140" t="s">
        <v>1430</v>
      </c>
      <c r="E19" s="2962"/>
      <c r="F19" s="26"/>
      <c r="G19" s="1842"/>
      <c r="H19" s="1201" t="s">
        <v>1032</v>
      </c>
      <c r="I19" s="347" t="s">
        <v>1431</v>
      </c>
      <c r="J19" s="24">
        <f ca="1">IF(K19="按租金收入计税",ROUND(J6*M19/(1+'数据-取费表'!C42),2),ROUND(C29*M19*0.7,2))</f>
        <v>3.67</v>
      </c>
      <c r="K19" s="1819" t="s">
        <v>1432</v>
      </c>
      <c r="L19" s="347" t="s">
        <v>1416</v>
      </c>
      <c r="M19" s="367">
        <f>IF(K19="按租金收入计税",'数据-取费表'!B51,'数据-取费表'!B50)</f>
        <v>1.2E-2</v>
      </c>
    </row>
    <row r="20" spans="1:37" s="1849" customFormat="1" ht="18" customHeight="1">
      <c r="A20" s="1201" t="s">
        <v>1035</v>
      </c>
      <c r="B20" s="347" t="s">
        <v>1433</v>
      </c>
      <c r="C20" s="24">
        <f ca="1">ROUND(C19*F20,0)</f>
        <v>6</v>
      </c>
      <c r="D20" s="369" t="s">
        <v>1434</v>
      </c>
      <c r="E20" s="347" t="s">
        <v>1416</v>
      </c>
      <c r="F20" s="367">
        <f>'数据-取费表'!B37</f>
        <v>0.02</v>
      </c>
      <c r="G20" s="1845"/>
      <c r="H20" s="1201" t="s">
        <v>1383</v>
      </c>
      <c r="I20" s="164" t="s">
        <v>1435</v>
      </c>
      <c r="J20" s="25">
        <f ca="1">ROUND(M20*M21/10000,2)</f>
        <v>0.04</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254.32999999999998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6.6</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-10</v>
      </c>
      <c r="K25" s="1345" t="s">
        <v>1458</v>
      </c>
      <c r="L25" s="1346"/>
      <c r="M25" s="1347"/>
    </row>
    <row r="26" spans="1:37">
      <c r="A26" s="1201" t="s">
        <v>1030</v>
      </c>
      <c r="B26" s="347" t="s">
        <v>1459</v>
      </c>
      <c r="C26" s="24">
        <f ca="1">ROUND((C19+C20)*F26,0)</f>
        <v>65</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437</v>
      </c>
      <c r="D29" s="1342"/>
      <c r="E29" s="1340"/>
      <c r="F29" s="1343"/>
      <c r="G29" s="1845"/>
      <c r="H29" s="380" t="s">
        <v>1029</v>
      </c>
      <c r="I29" s="381" t="s">
        <v>1473</v>
      </c>
      <c r="J29" s="382">
        <f ca="1">ROUND(J26/(1+F40)^F41,0)</f>
        <v>0</v>
      </c>
      <c r="K29" s="383" t="s">
        <v>1474</v>
      </c>
      <c r="L29" s="384"/>
      <c r="M29" s="385">
        <f ca="1">INDIRECT("'数据-取费表'!k"&amp;$G$1)</f>
        <v>930.84999999999991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20</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11.7</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3.67</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v>
      </c>
      <c r="D33" s="1819" t="s">
        <v>3110</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0.04</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254.32999999999998</v>
      </c>
      <c r="G35" s="1842"/>
      <c r="H35" s="745"/>
      <c r="I35" s="1851"/>
      <c r="J35" s="1852"/>
      <c r="K35" s="1853"/>
      <c r="L35" s="1850"/>
      <c r="M35" s="1850"/>
    </row>
    <row r="36" spans="1:18" ht="18" customHeight="1">
      <c r="A36" s="1352" t="s">
        <v>1035</v>
      </c>
      <c r="B36" s="347" t="s">
        <v>1443</v>
      </c>
      <c r="C36" s="24">
        <f ca="1">ROUND(C29*F36,1)</f>
        <v>6.6</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0.6</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1.1000000000000001</v>
      </c>
      <c r="D38" s="1342" t="s">
        <v>1453</v>
      </c>
      <c r="E38" s="1340" t="s">
        <v>1449</v>
      </c>
      <c r="F38" s="1336">
        <f ca="1">INDIRECT("'数据-取费表'!Am"&amp;$G$1)</f>
        <v>1.4999999999999999E-2</v>
      </c>
      <c r="G38" s="1842"/>
      <c r="H38" s="1850"/>
      <c r="I38" s="1851"/>
      <c r="J38" s="1852"/>
      <c r="K38" s="1856"/>
      <c r="L38" s="1850"/>
      <c r="M38" s="1850"/>
    </row>
    <row r="39" spans="1:18" ht="24.6" customHeight="1" thickTop="1">
      <c r="A39" s="1329" t="s">
        <v>1027</v>
      </c>
      <c r="B39" s="1344" t="s">
        <v>1457</v>
      </c>
      <c r="C39" s="355">
        <f ca="1">C5-C30</f>
        <v>50</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1138</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12225</v>
      </c>
      <c r="D43" s="383" t="s">
        <v>1482</v>
      </c>
      <c r="E43" s="384" t="s">
        <v>1483</v>
      </c>
      <c r="F43" s="385">
        <f ca="1">INDIRECT("'数据-取费表'!k"&amp;$G$1)</f>
        <v>930.84999999999991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-1816</v>
      </c>
      <c r="D46" s="1863" t="str">
        <f>C2</f>
        <v>万元</v>
      </c>
      <c r="E46" s="1857"/>
      <c r="F46" s="1857"/>
      <c r="I46" s="1864" t="s">
        <v>1515</v>
      </c>
      <c r="J46" s="1865"/>
      <c r="K46" s="1866"/>
      <c r="L46" s="1867">
        <f ca="1">IF(M47="住宅",0,IF(L48&gt;J51,L60,J60))</f>
        <v>10</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3111</v>
      </c>
      <c r="K47" s="1873" t="s">
        <v>1521</v>
      </c>
      <c r="L47" s="1874">
        <f ca="1">INDIRECT("'数据-取费表'!d"&amp;$G$1)</f>
        <v>40</v>
      </c>
      <c r="M47" s="1829" t="str">
        <f>IF(ISNUMBER(FIND("住宅",C1)),"住宅","非住宅")</f>
        <v>非住宅</v>
      </c>
      <c r="O47" s="1875" t="s">
        <v>1036</v>
      </c>
      <c r="P47" s="1876" t="s">
        <v>1522</v>
      </c>
      <c r="Q47" s="1877">
        <f ca="1">C40+J29</f>
        <v>1138</v>
      </c>
      <c r="R47" s="1877" t="s">
        <v>1523</v>
      </c>
    </row>
    <row r="48" spans="1:18" s="1833" customFormat="1" ht="40.200000000000003" thickBot="1">
      <c r="A48" s="1360" t="s">
        <v>1131</v>
      </c>
      <c r="B48" s="345" t="s">
        <v>1395</v>
      </c>
      <c r="C48" s="2961">
        <f ca="1">C49+C53+C55</f>
        <v>0</v>
      </c>
      <c r="D48" s="1362"/>
      <c r="E48" s="1363"/>
      <c r="F48" s="1181"/>
      <c r="G48" s="792"/>
      <c r="H48" s="793"/>
      <c r="I48" s="1878" t="s">
        <v>1524</v>
      </c>
      <c r="J48" s="1879" t="s">
        <v>3112</v>
      </c>
      <c r="K48" s="1880" t="s">
        <v>1525</v>
      </c>
      <c r="L48" s="1881">
        <f ca="1">INDIRECT("'数据-取费表'!f"&amp;$G$1)</f>
        <v>35.1</v>
      </c>
      <c r="O48" s="1875" t="s">
        <v>1037</v>
      </c>
      <c r="P48" s="1876" t="s">
        <v>1526</v>
      </c>
      <c r="Q48" s="1877">
        <f ca="1">J60</f>
        <v>10</v>
      </c>
      <c r="R48" s="1877" t="s">
        <v>1527</v>
      </c>
    </row>
    <row r="49" spans="1:18" s="1833" customFormat="1" ht="13.8" thickBot="1">
      <c r="A49" s="1194" t="s">
        <v>1132</v>
      </c>
      <c r="B49" s="1820" t="s">
        <v>1484</v>
      </c>
      <c r="C49" s="1364">
        <f ca="1">ROUND(F49*F51*F50*(1-F52)/10000,0)</f>
        <v>0</v>
      </c>
      <c r="D49" s="1276" t="s">
        <v>3027</v>
      </c>
      <c r="E49" s="1821" t="s">
        <v>1485</v>
      </c>
      <c r="F49" s="1281"/>
      <c r="G49" s="1882"/>
      <c r="H49" s="793"/>
      <c r="I49" s="1878" t="s">
        <v>1528</v>
      </c>
      <c r="J49" s="1883">
        <v>2017</v>
      </c>
      <c r="K49" s="1880" t="s">
        <v>1529</v>
      </c>
      <c r="L49" s="1884"/>
      <c r="O49" s="1885" t="s">
        <v>1038</v>
      </c>
      <c r="P49" s="1876" t="s">
        <v>1530</v>
      </c>
      <c r="Q49" s="1877">
        <f ca="1">C29</f>
        <v>437</v>
      </c>
      <c r="R49" s="1877" t="s">
        <v>1523</v>
      </c>
    </row>
    <row r="50" spans="1:18" s="1833" customFormat="1" ht="13.8" thickBot="1">
      <c r="A50" s="1195"/>
      <c r="B50" s="1198"/>
      <c r="C50" s="1368"/>
      <c r="D50" s="1172"/>
      <c r="E50" s="1277" t="s">
        <v>1400</v>
      </c>
      <c r="F50" s="1278">
        <f ca="1">F7</f>
        <v>930.84999999999991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296</v>
      </c>
      <c r="M51" s="1893"/>
      <c r="O51" s="1885" t="s">
        <v>1040</v>
      </c>
      <c r="P51" s="1876" t="s">
        <v>1536</v>
      </c>
      <c r="Q51" s="1888">
        <f>J52</f>
        <v>8.5000000000000006E-2</v>
      </c>
      <c r="R51" s="1877"/>
    </row>
    <row r="52" spans="1:18" s="1833" customFormat="1" ht="13.8" thickBot="1">
      <c r="A52" s="1196"/>
      <c r="B52" s="1198"/>
      <c r="C52" s="1199"/>
      <c r="D52" s="1172"/>
      <c r="E52" s="1200" t="s">
        <v>1402</v>
      </c>
      <c r="F52" s="1275"/>
      <c r="I52" s="1894" t="s">
        <v>1537</v>
      </c>
      <c r="J52" s="1895">
        <v>8.5000000000000006E-2</v>
      </c>
      <c r="K52" s="1894" t="s">
        <v>1538</v>
      </c>
      <c r="L52" s="1895"/>
      <c r="O52" s="1885" t="s">
        <v>1041</v>
      </c>
      <c r="P52" s="1876" t="s">
        <v>1539</v>
      </c>
      <c r="Q52" s="1877">
        <f ca="1">J53</f>
        <v>35.1</v>
      </c>
      <c r="R52" s="1877" t="s">
        <v>1540</v>
      </c>
    </row>
    <row r="53" spans="1:18" s="1833" customFormat="1" ht="36.6" thickBot="1">
      <c r="A53" s="1405" t="s">
        <v>1133</v>
      </c>
      <c r="B53" s="1822" t="s">
        <v>1403</v>
      </c>
      <c r="C53" s="361">
        <f ca="1">ROUND(IF(F53="押一",C49/12*F11,IF(F53="押二",C49/12*2*F11,IF(F53="押三",C49/12*3*F11,C54*F11))),0)</f>
        <v>0</v>
      </c>
      <c r="D53" s="1815" t="s">
        <v>3035</v>
      </c>
      <c r="E53" s="358" t="s">
        <v>1404</v>
      </c>
      <c r="F53" s="1366"/>
      <c r="I53" s="1896" t="s">
        <v>1541</v>
      </c>
      <c r="J53" s="2940">
        <f ca="1">IF(M47="住宅",IF(D1="——",MAX(J51,L48),MAX(J51,L48-'数据-取费表'!B24)),IF(D1="——",MIN(J51,L48),MIN(J51,L48-'数据-取费表'!B24)))</f>
        <v>35.1</v>
      </c>
      <c r="K53" s="3220" t="s">
        <v>1542</v>
      </c>
      <c r="L53" s="3221"/>
      <c r="O53" s="1875" t="s">
        <v>1042</v>
      </c>
      <c r="P53" s="1876" t="s">
        <v>1543</v>
      </c>
      <c r="Q53" s="1877">
        <f ca="1">Q47+Q48</f>
        <v>1148</v>
      </c>
      <c r="R53" s="1877" t="s">
        <v>1043</v>
      </c>
    </row>
    <row r="54" spans="1:18" s="1833" customFormat="1" ht="24.6"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60"/>
      <c r="F55" s="1897"/>
      <c r="I55" s="1900" t="s">
        <v>1545</v>
      </c>
      <c r="J55" s="1901">
        <f ca="1">ROUND(IF(J47="钢混",J57/J50,1-(1-2%)*(J50-J57)/J50),3)</f>
        <v>0.36499999999999999</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415</v>
      </c>
      <c r="D56" s="1904"/>
      <c r="E56" s="1905"/>
      <c r="F56" s="1897"/>
      <c r="I56" s="1906" t="s">
        <v>1548</v>
      </c>
      <c r="J56" s="1907" t="s">
        <v>3113</v>
      </c>
      <c r="K56" s="1878" t="s">
        <v>1549</v>
      </c>
      <c r="L56" s="1881" t="str">
        <f ca="1">IF(L48&lt;J51,"——",L48-J53)</f>
        <v>——</v>
      </c>
      <c r="O56" s="1875" t="s">
        <v>1036</v>
      </c>
      <c r="P56" s="1876" t="s">
        <v>1522</v>
      </c>
      <c r="Q56" s="1877">
        <f ca="1">C40+J29</f>
        <v>1138</v>
      </c>
      <c r="R56" s="1877" t="s">
        <v>1523</v>
      </c>
    </row>
    <row r="57" spans="1:18" s="1833" customFormat="1" ht="24.6" thickBot="1">
      <c r="A57" s="1908"/>
      <c r="B57" s="1169" t="s">
        <v>1472</v>
      </c>
      <c r="C57" s="282">
        <f ca="1">C29</f>
        <v>437</v>
      </c>
      <c r="D57" s="1909"/>
      <c r="E57" s="1910"/>
      <c r="F57" s="1911"/>
      <c r="I57" s="1912" t="s">
        <v>1550</v>
      </c>
      <c r="J57" s="1913">
        <f ca="1">IF(OR(M47="住宅",J51&lt;L48,J56="是"),"——",J51-L48)</f>
        <v>21.9</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44</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36.799999999999997</v>
      </c>
      <c r="D59" s="1182" t="s">
        <v>1424</v>
      </c>
      <c r="E59" s="1183" t="s">
        <v>1425</v>
      </c>
      <c r="F59" s="368" t="str">
        <f ca="1">IF(项目基本情况!B11="企业","",IF(INDIRECT("'数据-取费表'!c"&amp;$G$1)="住宅",5%,IF(F49*F50*F51/12/(1+'数据-取费表'!C42)&gt;20000,12%,7%)))</f>
        <v/>
      </c>
      <c r="I59" s="1912" t="s">
        <v>1557</v>
      </c>
      <c r="J59" s="1913">
        <f ca="1">IF(OR(M47="住宅",J51&lt;L48,J56="是"),"——",ROUND(C29*J58,0))</f>
        <v>175</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10</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36.71</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0.04</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1138</v>
      </c>
      <c r="R62" s="1877" t="s">
        <v>1043</v>
      </c>
    </row>
    <row r="63" spans="1:18" s="1833" customFormat="1" ht="13.8" thickBot="1">
      <c r="A63" s="372"/>
      <c r="B63" s="1175"/>
      <c r="C63" s="29"/>
      <c r="D63" s="1185"/>
      <c r="E63" s="1169" t="s">
        <v>1493</v>
      </c>
      <c r="F63" s="348">
        <f t="shared" ca="1" si="0"/>
        <v>254.32999999999998</v>
      </c>
      <c r="I63" s="1919" t="s">
        <v>1570</v>
      </c>
      <c r="J63" s="1920">
        <v>70</v>
      </c>
      <c r="K63" s="1920">
        <v>50</v>
      </c>
      <c r="L63" s="1920">
        <v>80</v>
      </c>
      <c r="M63" s="1922">
        <v>0.02</v>
      </c>
      <c r="O63" s="1860" t="s">
        <v>1571</v>
      </c>
      <c r="P63" s="1830"/>
      <c r="Q63" s="1830"/>
      <c r="R63" s="1830"/>
    </row>
    <row r="64" spans="1:18" s="1833" customFormat="1" ht="13.8" thickBot="1">
      <c r="A64" s="1201" t="s">
        <v>1035</v>
      </c>
      <c r="B64" s="1169" t="s">
        <v>1495</v>
      </c>
      <c r="C64" s="24">
        <f ca="1">ROUND(C57*F64,1)</f>
        <v>6.6</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0.6</v>
      </c>
      <c r="D65" s="1183" t="s">
        <v>1448</v>
      </c>
      <c r="E65" s="1169" t="s">
        <v>1449</v>
      </c>
      <c r="F65" s="376">
        <f t="shared" ca="1" si="0"/>
        <v>1.5E-3</v>
      </c>
      <c r="I65" s="1919" t="s">
        <v>1573</v>
      </c>
      <c r="J65" s="1920">
        <v>40</v>
      </c>
      <c r="K65" s="1920">
        <v>30</v>
      </c>
      <c r="L65" s="1920">
        <v>50</v>
      </c>
      <c r="M65" s="1922">
        <v>0.02</v>
      </c>
      <c r="O65" s="1875" t="s">
        <v>1036</v>
      </c>
      <c r="P65" s="1876" t="s">
        <v>1522</v>
      </c>
      <c r="Q65" s="1877">
        <f ca="1">C40+J29</f>
        <v>1138</v>
      </c>
      <c r="R65" s="1877" t="s">
        <v>1523</v>
      </c>
    </row>
    <row r="66" spans="1:18" s="1833" customFormat="1" ht="16.2" thickBot="1">
      <c r="A66" s="1201" t="s">
        <v>1498</v>
      </c>
      <c r="B66" s="1169" t="s">
        <v>1433</v>
      </c>
      <c r="C66" s="24">
        <f ca="1">ROUND(C48*F66,1)</f>
        <v>0</v>
      </c>
      <c r="D66" s="1183" t="s">
        <v>1453</v>
      </c>
      <c r="E66" s="1169" t="s">
        <v>1416</v>
      </c>
      <c r="F66" s="357">
        <f t="shared" ca="1" si="0"/>
        <v>1.4999999999999999E-2</v>
      </c>
      <c r="O66" s="1875" t="s">
        <v>1037</v>
      </c>
      <c r="P66" s="1876" t="s">
        <v>1552</v>
      </c>
      <c r="Q66" s="1877">
        <f ca="1">L60</f>
        <v>0</v>
      </c>
      <c r="R66" s="1877" t="s">
        <v>1575</v>
      </c>
    </row>
    <row r="67" spans="1:18" s="1833" customFormat="1" ht="24.6" thickBot="1">
      <c r="A67" s="1176" t="s">
        <v>1027</v>
      </c>
      <c r="B67" s="1186" t="s">
        <v>1457</v>
      </c>
      <c r="C67" s="361">
        <f ca="1">C48-C58</f>
        <v>-44</v>
      </c>
      <c r="D67" s="1182" t="s">
        <v>1458</v>
      </c>
      <c r="E67" s="1187"/>
      <c r="F67" s="1188"/>
      <c r="O67" s="1885" t="s">
        <v>1038</v>
      </c>
      <c r="P67" s="1876" t="s">
        <v>1556</v>
      </c>
      <c r="Q67" s="1923">
        <f ca="1">L51</f>
        <v>296</v>
      </c>
      <c r="R67" s="1877" t="s">
        <v>1576</v>
      </c>
    </row>
    <row r="68" spans="1:18" s="1833" customFormat="1" ht="16.2" thickBot="1">
      <c r="A68" s="1166" t="s">
        <v>1028</v>
      </c>
      <c r="B68" s="1167" t="s">
        <v>1479</v>
      </c>
      <c r="C68" s="346">
        <f ca="1">ROUND(C67*(1-((1+F70)/(1+F68))^F69)/(F68-F70),0)</f>
        <v>-678</v>
      </c>
      <c r="D68" s="1184" t="s">
        <v>1463</v>
      </c>
      <c r="E68" s="1169" t="s">
        <v>1464</v>
      </c>
      <c r="F68" s="357">
        <f ca="1">F40</f>
        <v>5.5E-2</v>
      </c>
      <c r="O68" s="1885" t="s">
        <v>1039</v>
      </c>
      <c r="P68" s="1924" t="s">
        <v>1577</v>
      </c>
      <c r="Q68" s="1877">
        <f ca="1">ROUND(Q69-Q70*Q71,0)</f>
        <v>17</v>
      </c>
      <c r="R68" s="1877" t="s">
        <v>1047</v>
      </c>
    </row>
    <row r="69" spans="1:18" s="1833" customFormat="1" ht="13.8" thickBot="1">
      <c r="A69" s="1170"/>
      <c r="B69" s="1171"/>
      <c r="C69" s="351"/>
      <c r="D69" s="1189" t="s">
        <v>1467</v>
      </c>
      <c r="E69" s="1169" t="s">
        <v>1468</v>
      </c>
      <c r="F69" s="379">
        <f ca="1">F41</f>
        <v>35.1</v>
      </c>
      <c r="O69" s="1885" t="s">
        <v>1044</v>
      </c>
      <c r="P69" s="1924" t="s">
        <v>1578</v>
      </c>
      <c r="Q69" s="1877">
        <f ca="1">C39</f>
        <v>50</v>
      </c>
      <c r="R69" s="1877" t="s">
        <v>1523</v>
      </c>
    </row>
    <row r="70" spans="1:18" s="1833" customFormat="1" ht="13.8" thickBot="1">
      <c r="A70" s="1173"/>
      <c r="B70" s="1174"/>
      <c r="C70" s="355"/>
      <c r="D70" s="1185"/>
      <c r="E70" s="1169" t="s">
        <v>1471</v>
      </c>
      <c r="F70" s="1275"/>
      <c r="O70" s="1885" t="s">
        <v>1045</v>
      </c>
      <c r="P70" s="1924" t="s">
        <v>1579</v>
      </c>
      <c r="Q70" s="1877">
        <f ca="1">C13</f>
        <v>415</v>
      </c>
      <c r="R70" s="1877" t="s">
        <v>1523</v>
      </c>
    </row>
    <row r="71" spans="1:18" s="1833" customFormat="1" ht="13.8" thickBot="1">
      <c r="A71" s="1190" t="s">
        <v>1029</v>
      </c>
      <c r="B71" s="1191" t="s">
        <v>1481</v>
      </c>
      <c r="C71" s="382">
        <f ca="1">ROUND(C68*10000/F71,0)</f>
        <v>-7284</v>
      </c>
      <c r="D71" s="1192" t="s">
        <v>1482</v>
      </c>
      <c r="E71" s="1193" t="s">
        <v>1483</v>
      </c>
      <c r="F71" s="385">
        <f ca="1">F43</f>
        <v>930.84999999999991</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33</v>
      </c>
      <c r="D75" s="1833"/>
      <c r="E75" s="1833"/>
      <c r="F75" s="1833"/>
      <c r="K75" s="1859"/>
      <c r="L75" s="1833"/>
      <c r="O75" s="1875" t="s">
        <v>1042</v>
      </c>
      <c r="P75" s="1876" t="s">
        <v>1543</v>
      </c>
      <c r="Q75" s="1877">
        <f ca="1">Q65+Q66</f>
        <v>1138</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0.33999999999999997</v>
      </c>
    </row>
    <row r="80" spans="1:18">
      <c r="B80" s="386" t="s">
        <v>1505</v>
      </c>
      <c r="C80" s="318">
        <f ca="1">ROUND(C75/C39,3)</f>
        <v>0.66</v>
      </c>
    </row>
    <row r="81" spans="2:3">
      <c r="B81" s="314" t="s">
        <v>1506</v>
      </c>
      <c r="C81" s="282"/>
    </row>
    <row r="82" spans="2:3">
      <c r="B82" s="317" t="s">
        <v>1507</v>
      </c>
      <c r="C82" s="319">
        <f ca="1">1-C83</f>
        <v>0.63500000000000001</v>
      </c>
    </row>
    <row r="83" spans="2:3">
      <c r="B83" s="317" t="s">
        <v>1508</v>
      </c>
      <c r="C83" s="318">
        <f ca="1">ROUND(C13/C40,3)</f>
        <v>0.36499999999999999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3092</v>
      </c>
      <c r="D1" s="1811" t="s">
        <v>70</v>
      </c>
      <c r="E1" s="1812" t="s">
        <v>1381</v>
      </c>
      <c r="F1" s="1283">
        <f ca="1">J53</f>
        <v>45.1</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9158</v>
      </c>
      <c r="C2" s="1836" t="s">
        <v>1510</v>
      </c>
      <c r="D2" s="1836"/>
      <c r="E2" s="1837"/>
      <c r="F2" s="1838"/>
      <c r="G2" s="1839"/>
      <c r="H2" s="1831"/>
      <c r="I2" s="1831"/>
      <c r="J2" s="1831"/>
      <c r="K2" s="1832"/>
      <c r="L2" s="1831"/>
      <c r="M2" s="1831"/>
    </row>
    <row r="3" spans="1:37" ht="18" customHeight="1" thickBot="1">
      <c r="A3" s="1840" t="s">
        <v>1511</v>
      </c>
      <c r="B3" s="1841">
        <f ca="1">IF(ISERROR(B2*10000/F43),0,ROUND(B2*10000/F43,0))</f>
        <v>4301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700</v>
      </c>
      <c r="D5" s="1813" t="s">
        <v>1396</v>
      </c>
      <c r="E5" s="1293"/>
      <c r="F5" s="1294"/>
      <c r="G5" s="1842"/>
      <c r="H5" s="344">
        <v>1</v>
      </c>
      <c r="I5" s="345" t="s">
        <v>1395</v>
      </c>
      <c r="J5" s="1292">
        <f ca="1">J6+J10+J12</f>
        <v>0</v>
      </c>
      <c r="K5" s="1813" t="s">
        <v>1396</v>
      </c>
      <c r="L5" s="1293"/>
      <c r="M5" s="1294"/>
    </row>
    <row r="6" spans="1:37" ht="18" customHeight="1">
      <c r="A6" s="1291" t="s">
        <v>1031</v>
      </c>
      <c r="B6" s="3217" t="s">
        <v>1397</v>
      </c>
      <c r="C6" s="1296">
        <f ca="1">ROUND(F6*F8*F7*(1-F9)/10000,0)</f>
        <v>700</v>
      </c>
      <c r="D6" s="164" t="s">
        <v>3028</v>
      </c>
      <c r="E6" s="347" t="s">
        <v>1399</v>
      </c>
      <c r="F6" s="348">
        <f ca="1">INDIRECT("'数据-取费表'!u"&amp;$G$1)</f>
        <v>1</v>
      </c>
      <c r="G6" s="1842"/>
      <c r="H6" s="1291" t="s">
        <v>1031</v>
      </c>
      <c r="I6" s="3217" t="s">
        <v>1397</v>
      </c>
      <c r="J6" s="346">
        <f ca="1">ROUND(M6*M8*M7*(1-M9)/10000,0)</f>
        <v>0</v>
      </c>
      <c r="K6" s="164" t="s">
        <v>3027</v>
      </c>
      <c r="L6" s="347" t="s">
        <v>1399</v>
      </c>
      <c r="M6" s="348">
        <f ca="1">INDIRECT("'数据-取费表'!z"&amp;$G$1)</f>
        <v>0</v>
      </c>
    </row>
    <row r="7" spans="1:37" ht="18" customHeight="1">
      <c r="A7" s="1295"/>
      <c r="B7" s="3218"/>
      <c r="C7" s="1297"/>
      <c r="D7" s="352"/>
      <c r="E7" s="2964" t="s">
        <v>1400</v>
      </c>
      <c r="F7" s="348">
        <f ca="1">IF(INDIRECT("'数据-取费表'!ah"&amp;$G$1)="",INDIRECT("'数据-取费表'!k"&amp;$G$1),INDIRECT("'数据-取费表'!ah"&amp;$G$1))</f>
        <v>21293.83</v>
      </c>
      <c r="G7" s="1842"/>
      <c r="H7" s="349"/>
      <c r="I7" s="3218"/>
      <c r="J7" s="351"/>
      <c r="K7" s="352"/>
      <c r="L7" s="347" t="s">
        <v>1400</v>
      </c>
      <c r="M7" s="348">
        <f ca="1">F7</f>
        <v>21293.83</v>
      </c>
    </row>
    <row r="8" spans="1:37" ht="18" customHeight="1">
      <c r="A8" s="349"/>
      <c r="B8" s="3218"/>
      <c r="C8" s="351"/>
      <c r="D8" s="352"/>
      <c r="E8" s="347" t="s">
        <v>1401</v>
      </c>
      <c r="F8" s="348">
        <f ca="1">INDIRECT("'数据-取费表'!ai"&amp;$G$1)</f>
        <v>365</v>
      </c>
      <c r="G8" s="1842"/>
      <c r="H8" s="349"/>
      <c r="I8" s="3218"/>
      <c r="J8" s="351"/>
      <c r="K8" s="352"/>
      <c r="L8" s="347" t="s">
        <v>1401</v>
      </c>
      <c r="M8" s="348">
        <f ca="1">INDIRECT("'数据-取费表'!ai"&amp;$G$1)</f>
        <v>365</v>
      </c>
    </row>
    <row r="9" spans="1:37" ht="18" customHeight="1">
      <c r="A9" s="349"/>
      <c r="B9" s="3219"/>
      <c r="C9" s="351"/>
      <c r="D9" s="352"/>
      <c r="E9" s="347" t="s">
        <v>1402</v>
      </c>
      <c r="F9" s="357">
        <f ca="1">INDIRECT("'数据-取费表'!w"&amp;$G$1)</f>
        <v>0.1</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3035</v>
      </c>
      <c r="E10" s="358" t="s">
        <v>1404</v>
      </c>
      <c r="F10" s="1366" t="s">
        <v>3114</v>
      </c>
      <c r="G10" s="1842"/>
      <c r="H10" s="1291" t="s">
        <v>1035</v>
      </c>
      <c r="I10" s="1814" t="s">
        <v>1403</v>
      </c>
      <c r="J10" s="346">
        <f ca="1">ROUND(IF(M10="押一",J6/12*M11,IF(M10="押二",J6/12*2*M11,IF(M10="押三",J6/12*3*M11,J11*M11))),0)</f>
        <v>0</v>
      </c>
      <c r="K10" s="1815" t="s">
        <v>3035</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7827</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5995</v>
      </c>
      <c r="D14" s="2958" t="s">
        <v>1412</v>
      </c>
      <c r="E14" s="2956"/>
      <c r="F14" s="364"/>
      <c r="G14" s="1842"/>
      <c r="H14" s="1201" t="s">
        <v>1031</v>
      </c>
      <c r="I14" s="347" t="s">
        <v>1413</v>
      </c>
      <c r="J14" s="24">
        <f ca="1">C29</f>
        <v>8239</v>
      </c>
      <c r="K14" s="2963"/>
      <c r="L14" s="979"/>
      <c r="M14" s="980"/>
    </row>
    <row r="15" spans="1:37" s="1849" customFormat="1" ht="18" customHeight="1" thickBot="1">
      <c r="A15" s="1201" t="s">
        <v>1032</v>
      </c>
      <c r="B15" s="347" t="s">
        <v>1414</v>
      </c>
      <c r="C15" s="24">
        <f ca="1">ROUND(C14*F15,0)</f>
        <v>300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194</v>
      </c>
      <c r="K16" s="1337" t="s">
        <v>1419</v>
      </c>
      <c r="L16" s="2959"/>
      <c r="M16" s="1294"/>
    </row>
    <row r="17" spans="1:37" s="1849" customFormat="1" ht="18" customHeight="1">
      <c r="A17" s="1201" t="s">
        <v>1384</v>
      </c>
      <c r="B17" s="347" t="s">
        <v>1420</v>
      </c>
      <c r="C17" s="24">
        <f ca="1">ROUND(F17*(F43+INDIRECT("'数据-取费表'!S"&amp;$G$1))/10000,0)</f>
        <v>428</v>
      </c>
      <c r="D17" s="347" t="s">
        <v>1421</v>
      </c>
      <c r="E17" s="347" t="s">
        <v>1422</v>
      </c>
      <c r="F17" s="26">
        <f>'数据-取费表'!B35</f>
        <v>200</v>
      </c>
      <c r="G17" s="1845"/>
      <c r="H17" s="1201" t="s">
        <v>1031</v>
      </c>
      <c r="I17" s="347" t="s">
        <v>1423</v>
      </c>
      <c r="J17" s="24">
        <f ca="1">ROUND(IF(项目基本情况!B11="自然人",J6*M17/(1+'数据-取费表'!C42),J18+J19+J20),1)</f>
        <v>70.099999999999994</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90</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6813</v>
      </c>
      <c r="D19" s="140" t="s">
        <v>1430</v>
      </c>
      <c r="E19" s="2962"/>
      <c r="F19" s="26"/>
      <c r="G19" s="1842"/>
      <c r="H19" s="1201" t="s">
        <v>1032</v>
      </c>
      <c r="I19" s="347" t="s">
        <v>1431</v>
      </c>
      <c r="J19" s="24">
        <f ca="1">IF(K19="按租金收入计税",ROUND(J6*M19/(1+'数据-取费表'!C42),2),ROUND(C29*M19*0.7,2))</f>
        <v>69.209999999999994</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136</v>
      </c>
      <c r="D20" s="369" t="s">
        <v>1434</v>
      </c>
      <c r="E20" s="347" t="s">
        <v>1416</v>
      </c>
      <c r="F20" s="367">
        <f>'数据-取费表'!B37</f>
        <v>0.02</v>
      </c>
      <c r="G20" s="1845"/>
      <c r="H20" s="1201" t="s">
        <v>1383</v>
      </c>
      <c r="I20" s="164" t="s">
        <v>1435</v>
      </c>
      <c r="J20" s="25">
        <f ca="1">ROUND(M20*M21/10000,2)</f>
        <v>0.87</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5817.9699999999993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123.6</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330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-194</v>
      </c>
      <c r="K25" s="1345" t="s">
        <v>1458</v>
      </c>
      <c r="L25" s="1346"/>
      <c r="M25" s="1347"/>
    </row>
    <row r="26" spans="1:37">
      <c r="A26" s="1201" t="s">
        <v>1030</v>
      </c>
      <c r="B26" s="347" t="s">
        <v>1459</v>
      </c>
      <c r="C26" s="24">
        <f ca="1">ROUND((C19+C20)*F26,0)</f>
        <v>347</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8239</v>
      </c>
      <c r="D29" s="1342"/>
      <c r="E29" s="1340"/>
      <c r="F29" s="1343"/>
      <c r="G29" s="1845"/>
      <c r="H29" s="380" t="s">
        <v>1029</v>
      </c>
      <c r="I29" s="381" t="s">
        <v>1473</v>
      </c>
      <c r="J29" s="382">
        <f ca="1">ROUND(J26/(1+F40)^F41,0)</f>
        <v>0</v>
      </c>
      <c r="K29" s="383" t="s">
        <v>1474</v>
      </c>
      <c r="L29" s="384"/>
      <c r="M29" s="385">
        <f ca="1">INDIRECT("'数据-取费表'!k"&amp;$G$1)</f>
        <v>21293.83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260</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117.5</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36.67</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v>
      </c>
      <c r="D33" s="1819" t="s">
        <v>3110</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0.87</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5817.9699999999993</v>
      </c>
      <c r="G35" s="1842"/>
      <c r="H35" s="745"/>
      <c r="I35" s="1851"/>
      <c r="J35" s="1852"/>
      <c r="K35" s="1853"/>
      <c r="L35" s="1850"/>
      <c r="M35" s="1850"/>
    </row>
    <row r="36" spans="1:18" ht="18" customHeight="1">
      <c r="A36" s="1352" t="s">
        <v>1035</v>
      </c>
      <c r="B36" s="347" t="s">
        <v>1443</v>
      </c>
      <c r="C36" s="24">
        <f ca="1">ROUND(C29*F36,1)</f>
        <v>123.6</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11.7</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7</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1457</v>
      </c>
      <c r="C39" s="355">
        <f ca="1">C5-C30</f>
        <v>440</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9075</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4262</v>
      </c>
      <c r="D43" s="383" t="s">
        <v>1482</v>
      </c>
      <c r="E43" s="384" t="s">
        <v>1483</v>
      </c>
      <c r="F43" s="385">
        <f ca="1">INDIRECT("'数据-取费表'!k"&amp;$G$1)</f>
        <v>21293.83</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-22784</v>
      </c>
      <c r="D46" s="1863" t="str">
        <f>C2</f>
        <v>万元</v>
      </c>
      <c r="E46" s="1857"/>
      <c r="F46" s="1857"/>
      <c r="I46" s="1864" t="s">
        <v>1515</v>
      </c>
      <c r="J46" s="1865"/>
      <c r="K46" s="1866"/>
      <c r="L46" s="1867">
        <f ca="1">IF(M47="住宅",0,IF(L48&gt;J51,L60,J60))</f>
        <v>83</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3111</v>
      </c>
      <c r="K47" s="1873" t="s">
        <v>1521</v>
      </c>
      <c r="L47" s="1874">
        <f ca="1">INDIRECT("'数据-取费表'!d"&amp;$G$1)</f>
        <v>50</v>
      </c>
      <c r="M47" s="1829" t="str">
        <f>IF(ISNUMBER(FIND("住宅",C1)),"住宅","非住宅")</f>
        <v>非住宅</v>
      </c>
      <c r="O47" s="1875" t="s">
        <v>1036</v>
      </c>
      <c r="P47" s="1876" t="s">
        <v>1522</v>
      </c>
      <c r="Q47" s="1877">
        <f ca="1">C40+J29</f>
        <v>9075</v>
      </c>
      <c r="R47" s="1877" t="s">
        <v>1523</v>
      </c>
    </row>
    <row r="48" spans="1:18" s="1833" customFormat="1" ht="40.200000000000003" thickBot="1">
      <c r="A48" s="1360" t="s">
        <v>1131</v>
      </c>
      <c r="B48" s="345" t="s">
        <v>1395</v>
      </c>
      <c r="C48" s="2961">
        <f ca="1">C49+C53+C55</f>
        <v>0</v>
      </c>
      <c r="D48" s="1362"/>
      <c r="E48" s="1363"/>
      <c r="F48" s="1181"/>
      <c r="G48" s="792"/>
      <c r="H48" s="793"/>
      <c r="I48" s="1878" t="s">
        <v>1524</v>
      </c>
      <c r="J48" s="1879" t="s">
        <v>3112</v>
      </c>
      <c r="K48" s="1880" t="s">
        <v>1525</v>
      </c>
      <c r="L48" s="1881">
        <f ca="1">INDIRECT("'数据-取费表'!f"&amp;$G$1)</f>
        <v>45.1</v>
      </c>
      <c r="O48" s="1875" t="s">
        <v>1037</v>
      </c>
      <c r="P48" s="1876" t="s">
        <v>1526</v>
      </c>
      <c r="Q48" s="1877">
        <f ca="1">J60</f>
        <v>83</v>
      </c>
      <c r="R48" s="1877" t="s">
        <v>1527</v>
      </c>
    </row>
    <row r="49" spans="1:18" s="1833" customFormat="1" ht="13.8" thickBot="1">
      <c r="A49" s="1194" t="s">
        <v>1132</v>
      </c>
      <c r="B49" s="1820" t="s">
        <v>1484</v>
      </c>
      <c r="C49" s="1364">
        <f ca="1">ROUND(F49*F51*F50*(1-F52)/10000,0)</f>
        <v>0</v>
      </c>
      <c r="D49" s="1276" t="s">
        <v>3027</v>
      </c>
      <c r="E49" s="1821" t="s">
        <v>1485</v>
      </c>
      <c r="F49" s="1281"/>
      <c r="G49" s="1882"/>
      <c r="H49" s="793"/>
      <c r="I49" s="1878" t="s">
        <v>1528</v>
      </c>
      <c r="J49" s="1883">
        <v>2017</v>
      </c>
      <c r="K49" s="1880" t="s">
        <v>1529</v>
      </c>
      <c r="L49" s="1884"/>
      <c r="O49" s="1885" t="s">
        <v>1038</v>
      </c>
      <c r="P49" s="1876" t="s">
        <v>1530</v>
      </c>
      <c r="Q49" s="1877">
        <f ca="1">C29</f>
        <v>8239</v>
      </c>
      <c r="R49" s="1877" t="s">
        <v>1523</v>
      </c>
    </row>
    <row r="50" spans="1:18" s="1833" customFormat="1" ht="13.8" thickBot="1">
      <c r="A50" s="1195"/>
      <c r="B50" s="1198"/>
      <c r="C50" s="1368"/>
      <c r="D50" s="1172"/>
      <c r="E50" s="1277" t="s">
        <v>1400</v>
      </c>
      <c r="F50" s="1278">
        <f ca="1">F7</f>
        <v>21293.83</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-3381</v>
      </c>
      <c r="M51" s="1893"/>
      <c r="O51" s="1885" t="s">
        <v>1040</v>
      </c>
      <c r="P51" s="1876" t="s">
        <v>1536</v>
      </c>
      <c r="Q51" s="1888">
        <f>J52</f>
        <v>8.5000000000000006E-2</v>
      </c>
      <c r="R51" s="1877"/>
    </row>
    <row r="52" spans="1:18" s="1833" customFormat="1" ht="13.8"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36.6" thickBot="1">
      <c r="A53" s="1405" t="s">
        <v>1133</v>
      </c>
      <c r="B53" s="1822" t="s">
        <v>1403</v>
      </c>
      <c r="C53" s="361">
        <f ca="1">ROUND(IF(F53="押一",C49/12*F11,IF(F53="押二",C49/12*2*F11,IF(F53="押三",C49/12*3*F11,C54*F11))),0)</f>
        <v>0</v>
      </c>
      <c r="D53" s="1815" t="s">
        <v>3035</v>
      </c>
      <c r="E53" s="358" t="s">
        <v>1404</v>
      </c>
      <c r="F53" s="1366"/>
      <c r="I53" s="1896" t="s">
        <v>1541</v>
      </c>
      <c r="J53" s="2940">
        <f ca="1">IF(M47="住宅",IF(D1="——",MAX(J51,L48),MAX(J51,L48-'数据-取费表'!B24)),IF(D1="——",MIN(J51,L48),MIN(J51,L48-'数据-取费表'!B24)))</f>
        <v>45.1</v>
      </c>
      <c r="K53" s="3220" t="s">
        <v>1542</v>
      </c>
      <c r="L53" s="3221"/>
      <c r="O53" s="1875" t="s">
        <v>1042</v>
      </c>
      <c r="P53" s="1876" t="s">
        <v>1543</v>
      </c>
      <c r="Q53" s="1877">
        <f ca="1">Q47+Q48</f>
        <v>9158</v>
      </c>
      <c r="R53" s="1877" t="s">
        <v>1043</v>
      </c>
    </row>
    <row r="54" spans="1:18" s="1833" customFormat="1" ht="24.6"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7827</v>
      </c>
      <c r="D56" s="1904"/>
      <c r="E56" s="1905"/>
      <c r="F56" s="1897"/>
      <c r="I56" s="1906" t="s">
        <v>1548</v>
      </c>
      <c r="J56" s="1907" t="s">
        <v>3113</v>
      </c>
      <c r="K56" s="1878" t="s">
        <v>1549</v>
      </c>
      <c r="L56" s="1881" t="str">
        <f ca="1">IF(L48&lt;J51,"——",L48-J53)</f>
        <v>——</v>
      </c>
      <c r="O56" s="1875" t="s">
        <v>1036</v>
      </c>
      <c r="P56" s="1876" t="s">
        <v>1522</v>
      </c>
      <c r="Q56" s="1877">
        <f ca="1">C40+J29</f>
        <v>9075</v>
      </c>
      <c r="R56" s="1877" t="s">
        <v>1523</v>
      </c>
    </row>
    <row r="57" spans="1:18" s="1833" customFormat="1" ht="24.6" thickBot="1">
      <c r="A57" s="1908"/>
      <c r="B57" s="1169" t="s">
        <v>1472</v>
      </c>
      <c r="C57" s="282">
        <f ca="1">C29</f>
        <v>8239</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828</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693</v>
      </c>
      <c r="D59" s="1182" t="s">
        <v>1424</v>
      </c>
      <c r="E59" s="1183" t="s">
        <v>1425</v>
      </c>
      <c r="F59" s="368" t="str">
        <f ca="1">IF(项目基本情况!B11="企业","",IF(INDIRECT("'数据-取费表'!c"&amp;$G$1)="住宅",5%,IF(F49*F50*F51/12/(1+'数据-取费表'!C42)&gt;20000,12%,7%)))</f>
        <v/>
      </c>
      <c r="I59" s="1912" t="s">
        <v>1557</v>
      </c>
      <c r="J59" s="1913">
        <f ca="1">IF(OR(M47="住宅",J51&lt;L48,J56="是"),"——",ROUND(C29*J58,0))</f>
        <v>3296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83</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692.08</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0.87</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9075</v>
      </c>
      <c r="R62" s="1877" t="s">
        <v>1043</v>
      </c>
    </row>
    <row r="63" spans="1:18" s="1833" customFormat="1" ht="13.8" thickBot="1">
      <c r="A63" s="372"/>
      <c r="B63" s="1175"/>
      <c r="C63" s="29"/>
      <c r="D63" s="1185"/>
      <c r="E63" s="1169" t="s">
        <v>1493</v>
      </c>
      <c r="F63" s="348">
        <f t="shared" ca="1" si="0"/>
        <v>5817.9699999999993</v>
      </c>
      <c r="I63" s="1919" t="s">
        <v>1570</v>
      </c>
      <c r="J63" s="1920">
        <v>70</v>
      </c>
      <c r="K63" s="1920">
        <v>50</v>
      </c>
      <c r="L63" s="1920">
        <v>80</v>
      </c>
      <c r="M63" s="1922">
        <v>0.02</v>
      </c>
      <c r="O63" s="1860" t="s">
        <v>1571</v>
      </c>
      <c r="P63" s="1830"/>
      <c r="Q63" s="1830"/>
      <c r="R63" s="1830"/>
    </row>
    <row r="64" spans="1:18" s="1833" customFormat="1" ht="13.8" thickBot="1">
      <c r="A64" s="1201" t="s">
        <v>1035</v>
      </c>
      <c r="B64" s="1169" t="s">
        <v>1495</v>
      </c>
      <c r="C64" s="24">
        <f ca="1">ROUND(C57*F64,1)</f>
        <v>123.6</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11.7</v>
      </c>
      <c r="D65" s="1183" t="s">
        <v>1448</v>
      </c>
      <c r="E65" s="1169" t="s">
        <v>1449</v>
      </c>
      <c r="F65" s="376">
        <f t="shared" ca="1" si="0"/>
        <v>1.5E-3</v>
      </c>
      <c r="I65" s="1919" t="s">
        <v>1573</v>
      </c>
      <c r="J65" s="1920">
        <v>40</v>
      </c>
      <c r="K65" s="1920">
        <v>30</v>
      </c>
      <c r="L65" s="1920">
        <v>50</v>
      </c>
      <c r="M65" s="1922">
        <v>0.02</v>
      </c>
      <c r="O65" s="1875" t="s">
        <v>1036</v>
      </c>
      <c r="P65" s="1876" t="s">
        <v>1522</v>
      </c>
      <c r="Q65" s="1877">
        <f ca="1">C40+J29</f>
        <v>9075</v>
      </c>
      <c r="R65" s="1877" t="s">
        <v>1523</v>
      </c>
    </row>
    <row r="66" spans="1:18" s="1833" customFormat="1" ht="16.2" thickBot="1">
      <c r="A66" s="1201" t="s">
        <v>1498</v>
      </c>
      <c r="B66" s="1169" t="s">
        <v>1433</v>
      </c>
      <c r="C66" s="24">
        <f ca="1">ROUND(C48*F66,1)</f>
        <v>0</v>
      </c>
      <c r="D66" s="1183" t="s">
        <v>1453</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-828</v>
      </c>
      <c r="D67" s="1182" t="s">
        <v>1458</v>
      </c>
      <c r="E67" s="1187"/>
      <c r="F67" s="1188"/>
      <c r="O67" s="1885" t="s">
        <v>1038</v>
      </c>
      <c r="P67" s="1876" t="s">
        <v>1556</v>
      </c>
      <c r="Q67" s="1923">
        <f ca="1">L51</f>
        <v>-3381</v>
      </c>
      <c r="R67" s="1877" t="s">
        <v>1576</v>
      </c>
    </row>
    <row r="68" spans="1:18" s="1833" customFormat="1" ht="16.2" thickBot="1">
      <c r="A68" s="1166" t="s">
        <v>1028</v>
      </c>
      <c r="B68" s="1167" t="s">
        <v>1479</v>
      </c>
      <c r="C68" s="346">
        <f ca="1">ROUND(C67*(1-((1+F70)/(1+F68))^F69)/(F68-F70),0)</f>
        <v>-13709</v>
      </c>
      <c r="D68" s="1184" t="s">
        <v>1463</v>
      </c>
      <c r="E68" s="1169" t="s">
        <v>1464</v>
      </c>
      <c r="F68" s="357">
        <f ca="1">F40</f>
        <v>5.5E-2</v>
      </c>
      <c r="O68" s="1885" t="s">
        <v>1039</v>
      </c>
      <c r="P68" s="1924" t="s">
        <v>1577</v>
      </c>
      <c r="Q68" s="1877">
        <f ca="1">ROUND(Q69-Q70*Q71,0)</f>
        <v>-186</v>
      </c>
      <c r="R68" s="1877" t="s">
        <v>1047</v>
      </c>
    </row>
    <row r="69" spans="1:18" s="1833" customFormat="1" ht="13.8" thickBot="1">
      <c r="A69" s="1170"/>
      <c r="B69" s="1171"/>
      <c r="C69" s="351"/>
      <c r="D69" s="1189" t="s">
        <v>1467</v>
      </c>
      <c r="E69" s="1169" t="s">
        <v>1468</v>
      </c>
      <c r="F69" s="379">
        <f ca="1">F41</f>
        <v>45.1</v>
      </c>
      <c r="O69" s="1885" t="s">
        <v>1044</v>
      </c>
      <c r="P69" s="1924" t="s">
        <v>1578</v>
      </c>
      <c r="Q69" s="1877">
        <f ca="1">C39</f>
        <v>440</v>
      </c>
      <c r="R69" s="1877" t="s">
        <v>1523</v>
      </c>
    </row>
    <row r="70" spans="1:18" s="1833" customFormat="1" ht="13.8" thickBot="1">
      <c r="A70" s="1173"/>
      <c r="B70" s="1174"/>
      <c r="C70" s="355"/>
      <c r="D70" s="1185"/>
      <c r="E70" s="1169" t="s">
        <v>1471</v>
      </c>
      <c r="F70" s="1275"/>
      <c r="O70" s="1885" t="s">
        <v>1045</v>
      </c>
      <c r="P70" s="1924" t="s">
        <v>1579</v>
      </c>
      <c r="Q70" s="1877">
        <f ca="1">C13</f>
        <v>7827</v>
      </c>
      <c r="R70" s="1877" t="s">
        <v>1523</v>
      </c>
    </row>
    <row r="71" spans="1:18" s="1833" customFormat="1" ht="13.8" thickBot="1">
      <c r="A71" s="1190" t="s">
        <v>1029</v>
      </c>
      <c r="B71" s="1191" t="s">
        <v>1481</v>
      </c>
      <c r="C71" s="382">
        <f ca="1">ROUND(C68*10000/F71,0)</f>
        <v>-6438</v>
      </c>
      <c r="D71" s="1192" t="s">
        <v>1482</v>
      </c>
      <c r="E71" s="1193" t="s">
        <v>1483</v>
      </c>
      <c r="F71" s="385">
        <f ca="1">F43</f>
        <v>21293.83</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626</v>
      </c>
      <c r="D75" s="1833"/>
      <c r="E75" s="1833"/>
      <c r="F75" s="1833"/>
      <c r="K75" s="1859"/>
      <c r="L75" s="1833"/>
      <c r="O75" s="1875" t="s">
        <v>1042</v>
      </c>
      <c r="P75" s="1876" t="s">
        <v>1543</v>
      </c>
      <c r="Q75" s="1877">
        <f ca="1">Q65+Q66</f>
        <v>9075</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-0.42300000000000004</v>
      </c>
    </row>
    <row r="80" spans="1:18">
      <c r="B80" s="386" t="s">
        <v>1505</v>
      </c>
      <c r="C80" s="318">
        <f ca="1">ROUND(C75/C39,3)</f>
        <v>1.423</v>
      </c>
    </row>
    <row r="81" spans="2:3">
      <c r="B81" s="314" t="s">
        <v>1506</v>
      </c>
      <c r="C81" s="282"/>
    </row>
    <row r="82" spans="2:3">
      <c r="B82" s="317" t="s">
        <v>1507</v>
      </c>
      <c r="C82" s="319">
        <f ca="1">1-C83</f>
        <v>0.13800000000000001</v>
      </c>
    </row>
    <row r="83" spans="2:3">
      <c r="B83" s="317" t="s">
        <v>1508</v>
      </c>
      <c r="C83" s="318">
        <f ca="1">ROUND(C13/C40,3)</f>
        <v>0.86199999999999999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27" t="s">
        <v>3092</v>
      </c>
      <c r="C1" s="242"/>
      <c r="D1" s="242"/>
      <c r="E1" s="242"/>
      <c r="F1" s="242"/>
      <c r="G1" s="1379">
        <f>MATCH(B1,'数据-取费表'!A6:A16,0)+5</f>
        <v>8</v>
      </c>
    </row>
    <row r="2" spans="1:9" s="244" customFormat="1" ht="18" customHeight="1">
      <c r="A2" s="245" t="s">
        <v>2326</v>
      </c>
      <c r="B2" s="246">
        <f ca="1">IF(D2="——",C52,C52-E2)</f>
        <v>10792</v>
      </c>
      <c r="C2" s="243" t="s">
        <v>2327</v>
      </c>
      <c r="D2" s="2538" t="s">
        <v>70</v>
      </c>
      <c r="E2" s="1440" t="e">
        <f ca="1">SUMIF(INDIRECT("'"&amp;G2&amp;"'"&amp;"!A:A"),"承租人权益价值",INDIRECT("'"&amp;G2&amp;"'"&amp;"!c:c"))</f>
        <v>#REF!</v>
      </c>
      <c r="F2" s="2539" t="s">
        <v>2327</v>
      </c>
      <c r="G2" s="2540"/>
    </row>
    <row r="3" spans="1:9" s="244" customFormat="1" ht="18" customHeight="1" thickBot="1">
      <c r="A3" s="247" t="s">
        <v>2328</v>
      </c>
      <c r="B3" s="248">
        <f ca="1">ROUND(B2*10000/(IF(B1="",'数据-汇总表'!E3,INDIRECT("'数据-取费表'!k"&amp;$G$1))),0)</f>
        <v>5068</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2347</v>
      </c>
      <c r="D5" s="255" t="s">
        <v>2333</v>
      </c>
      <c r="E5" s="256" t="s">
        <v>2334</v>
      </c>
      <c r="F5" s="256" t="s">
        <v>2335</v>
      </c>
      <c r="G5" s="257"/>
    </row>
    <row r="6" spans="1:9" s="258" customFormat="1" ht="13.5" customHeight="1">
      <c r="A6" s="949" t="s">
        <v>2336</v>
      </c>
      <c r="B6" s="259" t="s">
        <v>2337</v>
      </c>
      <c r="C6" s="260">
        <f ca="1">基准地价修正!E38</f>
        <v>2278</v>
      </c>
      <c r="D6" s="261"/>
      <c r="E6" s="262"/>
      <c r="F6" s="262"/>
      <c r="G6" s="263"/>
    </row>
    <row r="7" spans="1:9" s="258" customFormat="1" ht="13.5" customHeight="1">
      <c r="A7" s="949" t="s">
        <v>2338</v>
      </c>
      <c r="B7" s="259" t="s">
        <v>2339</v>
      </c>
      <c r="C7" s="264">
        <f ca="1">ROUND(C6*F7,0)</f>
        <v>69</v>
      </c>
      <c r="D7" s="264"/>
      <c r="E7" s="262"/>
      <c r="F7" s="265">
        <f>IF(项目基本情况!B8="出让",0,'数据-取费表'!B48+'数据-取费表'!B49)</f>
        <v>3.0499999999999999E-2</v>
      </c>
      <c r="G7" s="263"/>
    </row>
    <row r="8" spans="1:9" s="267" customFormat="1">
      <c r="A8" s="949" t="s">
        <v>2340</v>
      </c>
      <c r="B8" s="259" t="s">
        <v>2341</v>
      </c>
      <c r="C8" s="264" t="str">
        <f>IF(G8="已包含在土地购买价格中","0",IF(B1="",'数据-取费表'!B29,IF(G9="全部缴纳",C9+C10,H9)))</f>
        <v>0</v>
      </c>
      <c r="D8" s="266"/>
      <c r="E8" s="264"/>
      <c r="F8" s="265"/>
      <c r="G8" s="2541" t="s">
        <v>1144</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150</v>
      </c>
      <c r="F9" s="265"/>
      <c r="G9" s="2542" t="s">
        <v>3116</v>
      </c>
      <c r="H9" s="1390"/>
      <c r="I9" s="2543" t="s">
        <v>2343</v>
      </c>
    </row>
    <row r="10" spans="1:9" s="258" customFormat="1" ht="13.5" customHeight="1">
      <c r="A10" s="950" t="s">
        <v>801</v>
      </c>
      <c r="B10" s="268" t="s">
        <v>2344</v>
      </c>
      <c r="C10" s="269">
        <f ca="1">ROUND(D10*E10/10000,0)</f>
        <v>407</v>
      </c>
      <c r="D10" s="1032">
        <f ca="1">IF(B1="",'数据-汇总表'!E6,IF(INDIRECT("'数据-取费表'!c"&amp;$G$1)="住宅",INDIRECT("'数据-取费表'!s"&amp;$G$1),INDIRECT("'数据-取费表'!k"&amp;$G$1)+INDIRECT("'数据-取费表'!s"&amp;$G$1)))</f>
        <v>21411.22</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21411.22</v>
      </c>
      <c r="E19" s="255">
        <f>'数据-取费表'!B31</f>
        <v>200</v>
      </c>
      <c r="F19" s="275"/>
      <c r="G19" s="2541" t="s">
        <v>3214</v>
      </c>
    </row>
    <row r="20" spans="1:7" s="258" customFormat="1" ht="13.5" customHeight="1">
      <c r="A20" s="299" t="s">
        <v>2357</v>
      </c>
      <c r="B20" s="254" t="s">
        <v>2358</v>
      </c>
      <c r="C20" s="276">
        <f ca="1">ROUND((C5+C19)*F20,0)</f>
        <v>47</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230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228</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120</v>
      </c>
      <c r="D27" s="279">
        <f ca="1">C29</f>
        <v>1E-3</v>
      </c>
      <c r="E27" s="280" t="s">
        <v>2378</v>
      </c>
      <c r="F27" s="290">
        <f ca="1">IF(B1="",'数据-取费表'!Q16,INDIRECT("'数据-取费表'!q"&amp;$G$1))</f>
        <v>0.05</v>
      </c>
      <c r="G27" s="291" t="s">
        <v>2379</v>
      </c>
    </row>
    <row r="28" spans="1:7" s="258" customFormat="1" ht="13.5" customHeight="1">
      <c r="A28" s="951" t="s">
        <v>791</v>
      </c>
      <c r="B28" s="292" t="s">
        <v>2380</v>
      </c>
      <c r="C28" s="293">
        <f ca="1">ROUND((C5+C19+C20)*F27*'数据-取费表'!B21/'数据-取费表'!B20,0)</f>
        <v>120</v>
      </c>
      <c r="D28" s="279"/>
      <c r="E28" s="280"/>
      <c r="F28" s="290"/>
      <c r="G28" s="291"/>
    </row>
    <row r="29" spans="1:7" s="258" customFormat="1" ht="13.5" customHeight="1">
      <c r="A29" s="951" t="s">
        <v>792</v>
      </c>
      <c r="B29" s="292" t="s">
        <v>2381</v>
      </c>
      <c r="C29" s="282">
        <f ca="1">ROUND(C21*F27*'数据-取费表'!B21/'数据-取费表'!B20,4)</f>
        <v>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2965</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6813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5995</v>
      </c>
      <c r="D34" s="261"/>
      <c r="E34" s="264"/>
      <c r="F34" s="301">
        <f ca="1">IF('数据-取费表'!B24=0,1,IF(B1="",'数据-取费表'!N16,INDIRECT("'数据-取费表'!n"&amp;$G$1)))</f>
        <v>1</v>
      </c>
      <c r="G34" s="263" t="s">
        <v>2390</v>
      </c>
    </row>
    <row r="35" spans="1:7" ht="13.5" customHeight="1">
      <c r="A35" s="951" t="s">
        <v>796</v>
      </c>
      <c r="B35" s="259" t="s">
        <v>2391</v>
      </c>
      <c r="C35" s="264">
        <f ca="1">ROUND(C34*F35,0)</f>
        <v>300</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428</v>
      </c>
      <c r="D37" s="261">
        <f ca="1">D19</f>
        <v>21411.22</v>
      </c>
      <c r="E37" s="293">
        <f>'数据-取费表'!B35</f>
        <v>200</v>
      </c>
      <c r="F37" s="303"/>
      <c r="G37" s="305" t="s">
        <v>2396</v>
      </c>
    </row>
    <row r="38" spans="1:7" ht="13.5" customHeight="1">
      <c r="A38" s="951" t="s">
        <v>799</v>
      </c>
      <c r="B38" s="259" t="s">
        <v>2397</v>
      </c>
      <c r="C38" s="264">
        <f ca="1">ROUND(C34*F38,0)</f>
        <v>90</v>
      </c>
      <c r="D38" s="264"/>
      <c r="E38" s="264"/>
      <c r="F38" s="303">
        <f>'数据-取费表'!B36</f>
        <v>1.4999999999999999E-2</v>
      </c>
      <c r="G38" s="263" t="s">
        <v>2392</v>
      </c>
    </row>
    <row r="39" spans="1:7" s="258" customFormat="1" ht="13.5" customHeight="1">
      <c r="A39" s="299" t="s">
        <v>2398</v>
      </c>
      <c r="B39" s="254" t="s">
        <v>2399</v>
      </c>
      <c r="C39" s="276">
        <f ca="1">ROUND(C33*F20,0)</f>
        <v>136</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330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324</v>
      </c>
      <c r="D42" s="282"/>
      <c r="E42" s="282"/>
      <c r="F42" s="283"/>
      <c r="G42" s="3214" t="s">
        <v>2408</v>
      </c>
    </row>
    <row r="43" spans="1:7" ht="13.5" customHeight="1">
      <c r="A43" s="951" t="s">
        <v>792</v>
      </c>
      <c r="B43" s="259" t="s">
        <v>2409</v>
      </c>
      <c r="C43" s="282">
        <f ca="1">ROUND(IF('数据-取费表'!B22&lt;=1,C39*F22*'数据-取费表'!B21/2,C39*(POWER((1+F22),'数据-取费表'!B21/2)-1)),0)</f>
        <v>6</v>
      </c>
      <c r="D43" s="282"/>
      <c r="E43" s="282"/>
      <c r="F43" s="283"/>
      <c r="G43" s="3215"/>
    </row>
    <row r="44" spans="1:7" ht="13.5" customHeight="1">
      <c r="A44" s="951" t="s">
        <v>793</v>
      </c>
      <c r="B44" s="259" t="s">
        <v>2410</v>
      </c>
      <c r="C44" s="282">
        <f ca="1">ROUND(IF('数据-取费表'!B22&lt;=1,C40*F22*'数据-取费表'!B21/2,C40*(POWER((1+F22),'数据-取费表'!B21/2)-1)),4)</f>
        <v>1E-3</v>
      </c>
      <c r="D44" s="282"/>
      <c r="E44" s="282"/>
      <c r="F44" s="283"/>
      <c r="G44" s="3216"/>
    </row>
    <row r="45" spans="1:7" s="258" customFormat="1" ht="13.5" customHeight="1">
      <c r="A45" s="299" t="s">
        <v>2411</v>
      </c>
      <c r="B45" s="288" t="s">
        <v>2377</v>
      </c>
      <c r="C45" s="289">
        <f ca="1">C46</f>
        <v>347</v>
      </c>
      <c r="D45" s="279">
        <f ca="1">C47</f>
        <v>1E-3</v>
      </c>
      <c r="E45" s="280" t="s">
        <v>2403</v>
      </c>
      <c r="F45" s="290"/>
      <c r="G45" s="291" t="s">
        <v>2412</v>
      </c>
    </row>
    <row r="46" spans="1:7" s="258" customFormat="1" ht="13.5" customHeight="1">
      <c r="A46" s="951" t="s">
        <v>791</v>
      </c>
      <c r="B46" s="292" t="s">
        <v>2413</v>
      </c>
      <c r="C46" s="293">
        <f ca="1">ROUND((C33+C39)*F27,0)</f>
        <v>347</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8239</v>
      </c>
      <c r="D49" s="276"/>
      <c r="E49" s="276"/>
      <c r="F49" s="308"/>
      <c r="G49" s="278" t="s">
        <v>2418</v>
      </c>
    </row>
    <row r="50" spans="1:7" s="302" customFormat="1" ht="24">
      <c r="A50" s="299" t="s">
        <v>2419</v>
      </c>
      <c r="B50" s="254" t="s">
        <v>2420</v>
      </c>
      <c r="C50" s="276"/>
      <c r="D50" s="276"/>
      <c r="E50" s="276"/>
      <c r="F50" s="308">
        <f>IF('数据-取费表'!B24=0,'数据-取费表'!N16,1)</f>
        <v>0.95</v>
      </c>
      <c r="G50" s="291" t="s">
        <v>2421</v>
      </c>
    </row>
    <row r="51" spans="1:7" ht="16.5" customHeight="1">
      <c r="A51" s="299" t="s">
        <v>2422</v>
      </c>
      <c r="B51" s="254" t="s">
        <v>2423</v>
      </c>
      <c r="C51" s="276">
        <f ca="1">ROUND(C49*F50,0)</f>
        <v>7827</v>
      </c>
      <c r="D51" s="276"/>
      <c r="E51" s="276"/>
      <c r="F51" s="308"/>
      <c r="G51" s="278" t="s">
        <v>2424</v>
      </c>
    </row>
    <row r="52" spans="1:7" s="252" customFormat="1" ht="16.8" thickBot="1">
      <c r="A52" s="309" t="s">
        <v>2425</v>
      </c>
      <c r="B52" s="310"/>
      <c r="C52" s="311">
        <f ca="1">C31+C51</f>
        <v>10792</v>
      </c>
      <c r="D52" s="310"/>
      <c r="E52" s="310"/>
      <c r="F52" s="310"/>
      <c r="G52" s="312"/>
    </row>
    <row r="55" spans="1:7" ht="15">
      <c r="B55" s="314" t="s">
        <v>2426</v>
      </c>
      <c r="C55" s="315"/>
    </row>
    <row r="56" spans="1:7">
      <c r="B56" s="317" t="s">
        <v>1507</v>
      </c>
      <c r="C56" s="319">
        <f ca="1">1-C57</f>
        <v>0.27500000000000002</v>
      </c>
    </row>
    <row r="57" spans="1:7">
      <c r="B57" s="317" t="s">
        <v>1508</v>
      </c>
      <c r="C57" s="318">
        <f ca="1">ROUND(C51/C52,3)</f>
        <v>0.72499999999999998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3.2"/>
  <cols>
    <col min="1" max="1" width="9.77734375" style="2779" customWidth="1"/>
    <col min="2" max="2" width="19.21875" style="2885" customWidth="1"/>
    <col min="3" max="4" width="12" style="2711"/>
    <col min="5" max="5" width="14.6640625" style="2711" customWidth="1"/>
    <col min="6" max="8" width="12" style="2711"/>
    <col min="9" max="9" width="12.21875" style="2711" bestFit="1" customWidth="1"/>
    <col min="10" max="10" width="12" style="2711"/>
    <col min="11" max="11" width="8.109375" style="2774" customWidth="1"/>
    <col min="12" max="12" width="12" style="2711"/>
    <col min="13" max="13" width="8.44140625" style="2711" customWidth="1"/>
    <col min="14" max="14" width="9.77734375" style="2711" customWidth="1"/>
    <col min="15" max="25" width="12" style="2711"/>
    <col min="26" max="26" width="9.33203125" style="2779" customWidth="1"/>
    <col min="27" max="32" width="9.33203125" style="1372" customWidth="1"/>
    <col min="33" max="36" width="9.33203125" style="2779" customWidth="1"/>
    <col min="37" max="38" width="9.33203125" style="2711" customWidth="1"/>
    <col min="39" max="16384" width="12" style="2711"/>
  </cols>
  <sheetData>
    <row r="1" spans="1:36" ht="31.2">
      <c r="A1" s="240" t="s">
        <v>2802</v>
      </c>
      <c r="B1" s="241"/>
      <c r="C1" s="245" t="s">
        <v>2803</v>
      </c>
      <c r="D1" s="388">
        <f>SUM(D29:D30,D33:D39)</f>
        <v>24331.200000000001</v>
      </c>
      <c r="E1" s="2708"/>
      <c r="F1" s="2708"/>
      <c r="G1" s="2708"/>
      <c r="H1" s="2708"/>
      <c r="I1" s="2708"/>
      <c r="J1" s="2708"/>
      <c r="K1" s="1370"/>
      <c r="L1" s="2709" t="s">
        <v>2804</v>
      </c>
      <c r="M1" s="1080">
        <f>SUMPRODUCT((区片价!B5:B9=I2)*(区片价!C3:F3=E2)*(区片价!C5:F9))</f>
        <v>0</v>
      </c>
      <c r="N1" s="1083">
        <f>SUMPRODUCT((因素修正幅度!B5:B9=I2)*(因素修正幅度!C3:F3=E2)*(因素修正幅度!C5:F9))</f>
        <v>0</v>
      </c>
      <c r="O1" s="2710"/>
      <c r="P1" s="2710"/>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f ca="1">C26</f>
        <v>2522</v>
      </c>
      <c r="C2" s="2712" t="s">
        <v>2811</v>
      </c>
      <c r="D2" s="2713" t="s">
        <v>2812</v>
      </c>
      <c r="E2" s="2714" t="s">
        <v>27</v>
      </c>
      <c r="F2" s="2713" t="s">
        <v>2813</v>
      </c>
      <c r="G2" s="2715" t="str">
        <f>IF(E2="商业",项目基本情况!B37,IF(E2="办公",项目基本情况!C37,IF(E2="住宅",项目基本情况!D37,项目基本情况!E37)))</f>
        <v>九级</v>
      </c>
      <c r="H2" s="2713" t="s">
        <v>2814</v>
      </c>
      <c r="I2" s="2715" t="str">
        <f>IF(E2="商业",项目基本情况!B38,IF(E2="办公",项目基本情况!C38,IF(E2="住宅",项目基本情况!D38,项目基本情况!E38)))</f>
        <v>Ⅸ-兴3</v>
      </c>
      <c r="J2" s="2716"/>
      <c r="K2" s="1370"/>
      <c r="L2" s="2717"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10386</v>
      </c>
      <c r="U2" s="1602"/>
      <c r="V2" s="1601">
        <f ca="1">ROUND(T2*U2/10000,0)</f>
        <v>0</v>
      </c>
      <c r="W2" s="1605"/>
      <c r="X2" s="1605"/>
      <c r="Y2" s="1605"/>
      <c r="Z2" s="1605"/>
      <c r="AA2" s="1605"/>
      <c r="AB2" s="1605"/>
      <c r="AC2" s="1606"/>
      <c r="AD2" s="1607"/>
      <c r="AE2" s="1607"/>
      <c r="AF2" s="1607"/>
      <c r="AG2" s="1607"/>
      <c r="AH2" s="1607"/>
      <c r="AI2" s="1607"/>
      <c r="AJ2" s="1608"/>
    </row>
    <row r="3" spans="1:36" ht="26.4">
      <c r="A3" s="247" t="s">
        <v>2816</v>
      </c>
      <c r="B3" s="248">
        <f ca="1">ROUND(B2*10000/D1,0)</f>
        <v>1037</v>
      </c>
      <c r="C3" s="2712" t="s">
        <v>2817</v>
      </c>
      <c r="D3" s="2713" t="s">
        <v>2818</v>
      </c>
      <c r="E3" s="2718" t="s">
        <v>3117</v>
      </c>
      <c r="F3" s="2719" t="s">
        <v>2819</v>
      </c>
      <c r="G3" s="916">
        <f>IF(F3="宗地容积率",'数据-汇总表'!I4,IF(F3="估价对象容积率",'数据-汇总表'!I6,'数据-汇总表'!I7))</f>
        <v>2.14</v>
      </c>
      <c r="H3" s="198" t="s">
        <v>2820</v>
      </c>
      <c r="I3" s="944">
        <v>1</v>
      </c>
      <c r="J3" s="2716" t="s">
        <v>2821</v>
      </c>
      <c r="K3" s="1370"/>
      <c r="L3" s="2717"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6845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92"/>
      <c r="B4" s="3293"/>
      <c r="C4" s="3293"/>
      <c r="D4" s="3294"/>
      <c r="E4" s="3294"/>
      <c r="F4" s="3294"/>
      <c r="G4" s="3294"/>
      <c r="H4" s="3294"/>
      <c r="I4" s="3294"/>
      <c r="J4" s="3295"/>
      <c r="K4" s="1370"/>
      <c r="L4" s="2717"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5386</v>
      </c>
      <c r="U4" s="1602"/>
      <c r="V4" s="1601">
        <f t="shared" ca="1" si="1"/>
        <v>0</v>
      </c>
      <c r="W4" s="1605"/>
      <c r="X4" s="1605"/>
      <c r="Y4" s="1605"/>
      <c r="Z4" s="1605"/>
      <c r="AA4" s="1605"/>
      <c r="AB4" s="1605"/>
      <c r="AC4" s="1606"/>
      <c r="AD4" s="1607"/>
      <c r="AE4" s="1607"/>
      <c r="AF4" s="1607"/>
      <c r="AG4" s="1607"/>
      <c r="AH4" s="1607"/>
      <c r="AI4" s="1607"/>
      <c r="AJ4" s="1608"/>
    </row>
    <row r="5" spans="1:36" s="2729" customFormat="1" ht="15.6" thickBot="1">
      <c r="A5" s="2720" t="s">
        <v>807</v>
      </c>
      <c r="B5" s="2721" t="s">
        <v>2824</v>
      </c>
      <c r="C5" s="917">
        <f>ROUND(IF(E2="商业",C6*C7+C16,(IF(E2="住宅",C6*C12+C16,C6+C16))),0)</f>
        <v>3920</v>
      </c>
      <c r="D5" s="1778">
        <f>ROUND(C6+C16,0)</f>
        <v>3920</v>
      </c>
      <c r="E5" s="1778"/>
      <c r="F5" s="2722"/>
      <c r="G5" s="2723"/>
      <c r="H5" s="2723"/>
      <c r="I5" s="2723"/>
      <c r="J5" s="2724"/>
      <c r="K5" s="2725"/>
      <c r="L5" s="2717"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4024</v>
      </c>
      <c r="U5" s="1602"/>
      <c r="V5" s="1601">
        <f t="shared" ca="1" si="1"/>
        <v>0</v>
      </c>
      <c r="W5" s="1605"/>
      <c r="X5" s="1605"/>
      <c r="Y5" s="1605"/>
      <c r="Z5" s="1605"/>
      <c r="AA5" s="1605"/>
      <c r="AB5" s="1605"/>
      <c r="AC5" s="2726"/>
      <c r="AD5" s="2727"/>
      <c r="AE5" s="2727"/>
      <c r="AF5" s="2727"/>
      <c r="AG5" s="2727"/>
      <c r="AH5" s="2727"/>
      <c r="AI5" s="2727"/>
      <c r="AJ5" s="2728"/>
    </row>
    <row r="6" spans="1:36" ht="15.6" thickBot="1">
      <c r="A6" s="2730" t="s">
        <v>2826</v>
      </c>
      <c r="B6" s="2731" t="s">
        <v>2827</v>
      </c>
      <c r="C6" s="918">
        <f>SUMIF(L1:L12,G2,M1:M12)</f>
        <v>3890</v>
      </c>
      <c r="D6" s="2732" t="s">
        <v>2828</v>
      </c>
      <c r="E6" s="2733"/>
      <c r="F6" s="2733"/>
      <c r="G6" s="2734"/>
      <c r="H6" s="2734"/>
      <c r="I6" s="2734"/>
      <c r="J6" s="2735"/>
      <c r="K6" s="1833"/>
      <c r="L6" s="2717"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3026</v>
      </c>
      <c r="U6" s="1602"/>
      <c r="V6" s="1601">
        <f t="shared" ca="1" si="1"/>
        <v>0</v>
      </c>
      <c r="W6" s="1605"/>
      <c r="X6" s="1605"/>
      <c r="Y6" s="1605"/>
      <c r="Z6" s="1605"/>
      <c r="AA6" s="1605"/>
      <c r="AB6" s="1605"/>
      <c r="AC6" s="2726"/>
      <c r="AD6" s="2727"/>
      <c r="AE6" s="2727"/>
      <c r="AF6" s="2727"/>
      <c r="AG6" s="2727"/>
      <c r="AH6" s="2727"/>
      <c r="AI6" s="2727"/>
      <c r="AJ6" s="2728"/>
    </row>
    <row r="7" spans="1:36" ht="24">
      <c r="A7" s="3296" t="str">
        <f>IF(E2="商业",IF(C8="不临58条商业街","",2),"")</f>
        <v/>
      </c>
      <c r="B7" s="2736" t="s">
        <v>2830</v>
      </c>
      <c r="C7" s="919">
        <f>IF(C8="不临58条商业街",1,ROUND(1+(1.6*E8+1.2*E9+0.8*E10+0.4*E11)*C9,4))</f>
        <v>1</v>
      </c>
      <c r="D7" s="2737" t="s">
        <v>2831</v>
      </c>
      <c r="E7" s="945"/>
      <c r="F7" s="2738"/>
      <c r="G7" s="2739"/>
      <c r="H7" s="2739"/>
      <c r="I7" s="2739"/>
      <c r="J7" s="2740"/>
      <c r="K7" s="1833"/>
      <c r="L7" s="2717"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2420</v>
      </c>
      <c r="U7" s="1602"/>
      <c r="V7" s="1601">
        <f t="shared" ca="1" si="1"/>
        <v>0</v>
      </c>
      <c r="W7" s="1807" t="s">
        <v>2833</v>
      </c>
      <c r="X7" s="1603" t="str">
        <f>G2</f>
        <v>九级</v>
      </c>
      <c r="Y7" s="1603" t="s">
        <v>2834</v>
      </c>
      <c r="Z7" s="1604">
        <f>G3</f>
        <v>2.14</v>
      </c>
      <c r="AA7" s="1605"/>
      <c r="AB7" s="1605"/>
      <c r="AC7" s="1606"/>
      <c r="AD7" s="1607"/>
      <c r="AE7" s="1607"/>
      <c r="AF7" s="1607"/>
      <c r="AG7" s="1607"/>
      <c r="AH7" s="1607"/>
      <c r="AI7" s="1607"/>
      <c r="AJ7" s="1608"/>
    </row>
    <row r="8" spans="1:36" ht="26.4">
      <c r="A8" s="3297"/>
      <c r="B8" s="198" t="s">
        <v>2835</v>
      </c>
      <c r="C8" s="2741" t="s">
        <v>3118</v>
      </c>
      <c r="D8" s="920" t="s">
        <v>139</v>
      </c>
      <c r="E8" s="921" t="e">
        <f>ROUND(C11/E7,4)</f>
        <v>#DIV/0!</v>
      </c>
      <c r="F8" s="2742" t="s">
        <v>2836</v>
      </c>
      <c r="G8" s="2743"/>
      <c r="H8" s="2743"/>
      <c r="I8" s="2743"/>
      <c r="J8" s="2744"/>
      <c r="K8" s="1370"/>
      <c r="L8" s="2717"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89" t="s">
        <v>2838</v>
      </c>
      <c r="X8" s="3290"/>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7"/>
      <c r="B9" s="198" t="s">
        <v>2851</v>
      </c>
      <c r="C9" s="922">
        <f>SUMIF(修正!C59:C119,C8,修正!E59:E119)</f>
        <v>0</v>
      </c>
      <c r="D9" s="200" t="s">
        <v>140</v>
      </c>
      <c r="E9" s="200" t="e">
        <f>ROUND(C11/E7,4)</f>
        <v>#DIV/0!</v>
      </c>
      <c r="F9" s="2742" t="s">
        <v>2852</v>
      </c>
      <c r="G9" s="2743"/>
      <c r="H9" s="2743"/>
      <c r="I9" s="2743"/>
      <c r="J9" s="2744"/>
      <c r="K9" s="1370"/>
      <c r="L9" s="2717" t="s">
        <v>2853</v>
      </c>
      <c r="M9" s="1081">
        <f>SUMPRODUCT((区片价!B245:B289=I2)*(区片价!C3:F3=E2)*(区片价!C245:F289))</f>
        <v>3890</v>
      </c>
      <c r="N9" s="1083">
        <f>SUMPRODUCT((因素修正幅度!B245:B289=I2)*(因素修正幅度!C3:F3=E2)*(因素修正幅度!C245:F289))</f>
        <v>0.15</v>
      </c>
      <c r="O9" s="1370"/>
      <c r="P9" s="1370"/>
      <c r="Q9" s="1370"/>
      <c r="R9" s="1601">
        <v>8</v>
      </c>
      <c r="S9" s="1602"/>
      <c r="T9" s="1601">
        <f t="shared" ca="1" si="0"/>
        <v>0</v>
      </c>
      <c r="U9" s="1602"/>
      <c r="V9" s="1601">
        <f t="shared" ca="1" si="1"/>
        <v>0</v>
      </c>
      <c r="W9" s="3291"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8" t="s">
        <v>2856</v>
      </c>
      <c r="C10" s="200">
        <f>SUMIF(修正!C59:C119,C8,修正!F59:F119)</f>
        <v>0</v>
      </c>
      <c r="D10" s="200" t="s">
        <v>141</v>
      </c>
      <c r="E10" s="200" t="e">
        <f>ROUND(C11/E7,4)</f>
        <v>#DIV/0!</v>
      </c>
      <c r="F10" s="2742" t="s">
        <v>2857</v>
      </c>
      <c r="G10" s="2743"/>
      <c r="H10" s="2743"/>
      <c r="I10" s="2743"/>
      <c r="J10" s="2744"/>
      <c r="K10" s="1370"/>
      <c r="L10" s="2717"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7"/>
      <c r="B11" s="2745" t="s">
        <v>2859</v>
      </c>
      <c r="C11" s="923">
        <f>C10/4</f>
        <v>0</v>
      </c>
      <c r="D11" s="923" t="s">
        <v>142</v>
      </c>
      <c r="E11" s="923" t="e">
        <f>ROUND(C11/E7,4)</f>
        <v>#DIV/0!</v>
      </c>
      <c r="F11" s="2746" t="s">
        <v>2860</v>
      </c>
      <c r="G11" s="2747"/>
      <c r="H11" s="2747"/>
      <c r="I11" s="2747"/>
      <c r="J11" s="2748"/>
      <c r="K11" s="1370"/>
      <c r="L11" s="2717"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91" t="s">
        <v>2862</v>
      </c>
      <c r="X11" s="1613" t="s">
        <v>2863</v>
      </c>
      <c r="Y11" s="1614">
        <f>$G$3</f>
        <v>2.14</v>
      </c>
      <c r="Z11" s="1614">
        <f t="shared" ref="Z11:AJ11" si="3">$G$3</f>
        <v>2.14</v>
      </c>
      <c r="AA11" s="1614">
        <f t="shared" si="3"/>
        <v>2.14</v>
      </c>
      <c r="AB11" s="1614">
        <f t="shared" si="3"/>
        <v>2.14</v>
      </c>
      <c r="AC11" s="1614">
        <f t="shared" si="3"/>
        <v>2.14</v>
      </c>
      <c r="AD11" s="1614">
        <f t="shared" si="3"/>
        <v>2.14</v>
      </c>
      <c r="AE11" s="1614">
        <f t="shared" si="3"/>
        <v>2.14</v>
      </c>
      <c r="AF11" s="1614">
        <f t="shared" si="3"/>
        <v>2.14</v>
      </c>
      <c r="AG11" s="1614">
        <f t="shared" si="3"/>
        <v>2.14</v>
      </c>
      <c r="AH11" s="1614">
        <f t="shared" si="3"/>
        <v>2.14</v>
      </c>
      <c r="AI11" s="1614">
        <f t="shared" si="3"/>
        <v>2.14</v>
      </c>
      <c r="AJ11" s="1614">
        <f t="shared" si="3"/>
        <v>2.14</v>
      </c>
    </row>
    <row r="12" spans="1:36" ht="25.8" thickBot="1">
      <c r="A12" s="3296" t="s">
        <v>2864</v>
      </c>
      <c r="B12" s="2749" t="s">
        <v>2865</v>
      </c>
      <c r="C12" s="919">
        <f>ROUND(C15*D15*E15*F15*G15*H15*I15*J15,4)</f>
        <v>1</v>
      </c>
      <c r="D12" s="2750" t="s">
        <v>2866</v>
      </c>
      <c r="E12" s="2751"/>
      <c r="F12" s="2751"/>
      <c r="G12" s="2752"/>
      <c r="H12" s="2752"/>
      <c r="I12" s="2752"/>
      <c r="J12" s="2753"/>
      <c r="K12" s="1370"/>
      <c r="L12" s="2754"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91"/>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55" t="s">
        <v>2869</v>
      </c>
      <c r="C13" s="2756" t="s">
        <v>2870</v>
      </c>
      <c r="D13" s="1799" t="s">
        <v>2871</v>
      </c>
      <c r="E13" s="1799" t="s">
        <v>2872</v>
      </c>
      <c r="F13" s="30" t="s">
        <v>2873</v>
      </c>
      <c r="G13" s="2757" t="s">
        <v>2874</v>
      </c>
      <c r="H13" s="2757" t="s">
        <v>2874</v>
      </c>
      <c r="I13" s="2757" t="s">
        <v>2874</v>
      </c>
      <c r="J13" s="2758" t="s">
        <v>2874</v>
      </c>
      <c r="K13" s="1370"/>
      <c r="L13" s="1370"/>
      <c r="M13" s="1370"/>
      <c r="N13" s="1370"/>
      <c r="O13" s="1370"/>
      <c r="P13" s="1370"/>
      <c r="Q13" s="1370"/>
      <c r="R13" s="1601">
        <v>12</v>
      </c>
      <c r="S13" s="1602"/>
      <c r="T13" s="1601">
        <f t="shared" ca="1" si="0"/>
        <v>0</v>
      </c>
      <c r="U13" s="1602"/>
      <c r="V13" s="1601">
        <f t="shared" ca="1" si="1"/>
        <v>0</v>
      </c>
      <c r="W13" s="3291"/>
      <c r="X13" s="1615"/>
      <c r="Y13" s="1612">
        <f>(-0.163*(Y12^2)-0.59*Y12+7617)*(10^(-4))/Y11</f>
        <v>0.35593457943925233</v>
      </c>
      <c r="Z13" s="1612">
        <f t="shared" ref="Z13:AJ13" si="5">(-0.163*(Z12^2)-0.59*Z12+7617)*(10^(-4))/Z11</f>
        <v>0.35593457943925233</v>
      </c>
      <c r="AA13" s="1612">
        <f t="shared" si="5"/>
        <v>0.35593457943925233</v>
      </c>
      <c r="AB13" s="1612">
        <f t="shared" si="5"/>
        <v>0.35593457943925233</v>
      </c>
      <c r="AC13" s="1612">
        <f t="shared" si="5"/>
        <v>0.35593457943925233</v>
      </c>
      <c r="AD13" s="1612">
        <f t="shared" si="5"/>
        <v>0.35593457943925233</v>
      </c>
      <c r="AE13" s="1612">
        <f t="shared" si="5"/>
        <v>0.35593457943925233</v>
      </c>
      <c r="AF13" s="1612">
        <f t="shared" si="5"/>
        <v>0.35593457943925233</v>
      </c>
      <c r="AG13" s="1612">
        <f t="shared" si="5"/>
        <v>0.35593457943925233</v>
      </c>
      <c r="AH13" s="1612">
        <f t="shared" si="5"/>
        <v>0.35593457943925233</v>
      </c>
      <c r="AI13" s="1612">
        <f t="shared" si="5"/>
        <v>0.35593457943925233</v>
      </c>
      <c r="AJ13" s="1612">
        <f t="shared" si="5"/>
        <v>0.35593457943925233</v>
      </c>
    </row>
    <row r="14" spans="1:36" ht="15">
      <c r="A14" s="3298"/>
      <c r="B14" s="2759"/>
      <c r="C14" s="2760"/>
      <c r="D14" s="2761"/>
      <c r="E14" s="2761"/>
      <c r="F14" s="2762"/>
      <c r="G14" s="2763" t="s">
        <v>2875</v>
      </c>
      <c r="H14" s="2764"/>
      <c r="I14" s="2765"/>
      <c r="J14" s="2766"/>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99"/>
      <c r="B15" s="276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6" t="s">
        <v>2881</v>
      </c>
      <c r="B16" s="2736" t="s">
        <v>2882</v>
      </c>
      <c r="C16" s="2923">
        <f>ROUND(IF(F17="与级别开发程度一致",0,(G17-E17)/C17),0)</f>
        <v>30</v>
      </c>
      <c r="D16" s="3310" t="s">
        <v>2886</v>
      </c>
      <c r="E16" s="3311"/>
      <c r="F16" s="3310" t="s">
        <v>2883</v>
      </c>
      <c r="G16" s="3311"/>
      <c r="H16" s="2770" t="s">
        <v>3119</v>
      </c>
      <c r="I16" s="2770" t="s">
        <v>3120</v>
      </c>
      <c r="J16" s="2926" t="s">
        <v>3121</v>
      </c>
      <c r="K16" s="2770" t="s">
        <v>3122</v>
      </c>
      <c r="L16" s="2770" t="s">
        <v>3123</v>
      </c>
      <c r="M16" s="2770" t="s">
        <v>3212</v>
      </c>
      <c r="N16" s="2770" t="s">
        <v>3213</v>
      </c>
      <c r="O16" s="2771"/>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300"/>
      <c r="B17" s="2933" t="s">
        <v>2885</v>
      </c>
      <c r="C17" s="2934">
        <f>SUMPRODUCT((修正!A2:A5=E2)*(修正!B1:M1=G2)*(修正!B2:M5))</f>
        <v>2</v>
      </c>
      <c r="D17" s="229" t="str">
        <f>IF(OR(G2="八级",G2="九级",G2="十级",G2="十一级",G2="十二级"),"五通一平","七通一平")</f>
        <v>五通一平</v>
      </c>
      <c r="E17" s="2924">
        <f>SUMPRODUCT((修正!B1:M1=G2)*(修正!B15:M15))</f>
        <v>155</v>
      </c>
      <c r="F17" s="3000" t="s">
        <v>3211</v>
      </c>
      <c r="G17" s="2925">
        <f>SUM(H17:O17)</f>
        <v>215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40</v>
      </c>
      <c r="N17" s="2934">
        <f>SUMPRODUCT((七通一平=N16)*(修正!B1:M1=G2)*(修正!B6:M14))</f>
        <v>30</v>
      </c>
      <c r="O17" s="2936">
        <f>SUMPRODUCT((七通一平=O16)*(修正!B1:M1=G2)*(修正!B6:M14))</f>
        <v>0</v>
      </c>
      <c r="Q17" s="1370"/>
      <c r="R17" s="1370"/>
      <c r="S17" s="1370"/>
      <c r="T17" s="1370"/>
      <c r="U17" s="1370"/>
      <c r="V17" s="1370"/>
      <c r="W17" s="1370"/>
      <c r="X17" s="1370"/>
      <c r="Y17" s="1370"/>
      <c r="Z17" s="1371"/>
      <c r="AE17" s="2774"/>
      <c r="AF17" s="2774"/>
      <c r="AG17" s="2711"/>
      <c r="AH17" s="2711"/>
      <c r="AI17" s="2711"/>
      <c r="AJ17" s="2711"/>
    </row>
    <row r="18" spans="1:37" s="2729" customFormat="1" ht="15" thickBot="1">
      <c r="A18" s="2927" t="s">
        <v>808</v>
      </c>
      <c r="B18" s="2928" t="s">
        <v>2888</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9"/>
      <c r="AH18" s="2779"/>
      <c r="AI18" s="2779"/>
    </row>
    <row r="19" spans="1:37" s="2729" customFormat="1" ht="29.4" thickBot="1">
      <c r="A19" s="2775" t="s">
        <v>809</v>
      </c>
      <c r="B19" s="2776" t="s">
        <v>2889</v>
      </c>
      <c r="C19" s="924">
        <f>ROUND(IF(H19="按公示增长率计算",SUMPRODUCT((地价!A3:A30=YEAR(G19)&amp;"-"&amp;ROUNDUP(MONTH(G19)/3,0))*(地价!X2:AB2=E2)*(地价!X3:AB30)),IF(H19="地价指数",M20/M19,(1+I19)^O19)),4)</f>
        <v>1.3566</v>
      </c>
      <c r="D19" s="2780" t="s">
        <v>2890</v>
      </c>
      <c r="E19" s="925">
        <v>41640</v>
      </c>
      <c r="F19" s="2780" t="s">
        <v>2891</v>
      </c>
      <c r="G19" s="926">
        <f>'数据-取费表'!B2</f>
        <v>44012</v>
      </c>
      <c r="H19" s="2781" t="s">
        <v>3124</v>
      </c>
      <c r="I19" s="927" t="str">
        <f>IF(H19="季度增幅（自定义）",SUMIF(N21:N24,E2,O21:O24),"")</f>
        <v/>
      </c>
      <c r="J19" s="2778"/>
      <c r="K19" s="1377"/>
      <c r="L19" s="2782" t="s">
        <v>2892</v>
      </c>
      <c r="M19" s="1733">
        <f>ROUND(SUMIF(地价!B2:F2,E2,地价!B30:F30),0)</f>
        <v>258</v>
      </c>
      <c r="N19" s="2783"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4"/>
      <c r="AG19" s="2785"/>
      <c r="AH19" s="2779"/>
      <c r="AI19" s="2786"/>
      <c r="AJ19" s="2786"/>
      <c r="AK19" s="2786"/>
    </row>
    <row r="20" spans="1:37" s="2729" customFormat="1" ht="29.4" thickBot="1">
      <c r="A20" s="2787" t="s">
        <v>810</v>
      </c>
      <c r="B20" s="2788" t="s">
        <v>2894</v>
      </c>
      <c r="C20" s="929">
        <f ca="1">ROUND(POWER(1+G20,J20-I20)*(POWER(1+G20,I20)-1)/(POWER(1+G20,J20)-1),4)</f>
        <v>0.97570000000000001</v>
      </c>
      <c r="D20" s="2789" t="s">
        <v>2895</v>
      </c>
      <c r="E20" s="1759">
        <f ca="1">存贷款利率!D4/100</f>
        <v>4.3499999999999997E-2</v>
      </c>
      <c r="F20" s="2789" t="s">
        <v>2887</v>
      </c>
      <c r="G20" s="934">
        <f ca="1">SUMIF(M26:P26,E2,M28:P28)</f>
        <v>5.1999999999999998E-2</v>
      </c>
      <c r="H20" s="2789" t="s">
        <v>2896</v>
      </c>
      <c r="I20" s="935">
        <f>SUMIF('数据-取费表'!C6:C15,E2,'数据-取费表'!F6:F15)/COUNTIF('数据-取费表'!C6:C15,E2)</f>
        <v>45.1</v>
      </c>
      <c r="J20" s="936">
        <f>IF(E2="住宅",70,IF(E2="商业",40,50))</f>
        <v>50</v>
      </c>
      <c r="K20" s="1377"/>
      <c r="L20" s="2790" t="s">
        <v>2897</v>
      </c>
      <c r="M20" s="1734">
        <f>ROUND(SUMPRODUCT((地价!A4:A30=YEAR(G19)&amp;"-"&amp;ROUNDUP(MONTH(G19)/3,0))*(地价!B2:F2=E2)*(地价!B4:F30)),0)</f>
        <v>350</v>
      </c>
      <c r="N20" s="2791" t="s">
        <v>2898</v>
      </c>
      <c r="O20" s="2792" t="s">
        <v>2899</v>
      </c>
      <c r="P20" s="2793" t="s">
        <v>2900</v>
      </c>
      <c r="R20" s="1376"/>
      <c r="S20" s="1376"/>
      <c r="T20" s="1371"/>
      <c r="U20" s="1371"/>
      <c r="V20" s="1371"/>
      <c r="W20" s="1370"/>
      <c r="X20" s="1370"/>
      <c r="Y20" s="1370"/>
      <c r="Z20" s="1377"/>
      <c r="AA20" s="1378"/>
      <c r="AB20" s="1378"/>
      <c r="AC20" s="1378"/>
      <c r="AD20" s="1378"/>
      <c r="AE20" s="1378"/>
      <c r="AF20" s="1378"/>
    </row>
    <row r="21" spans="1:37" s="2729" customFormat="1" ht="14.4">
      <c r="A21" s="2794" t="s">
        <v>811</v>
      </c>
      <c r="B21" s="2795" t="s">
        <v>3125</v>
      </c>
      <c r="C21" s="937">
        <f>IF(B21="容积率修正",IF(G3&lt;=10,D22,J22),C23)</f>
        <v>0.97799999999999998</v>
      </c>
      <c r="D21" s="2796"/>
      <c r="E21" s="2796"/>
      <c r="F21" s="2796"/>
      <c r="G21" s="2796"/>
      <c r="H21" s="2796"/>
      <c r="I21" s="2796"/>
      <c r="J21" s="2797"/>
      <c r="K21" s="1377"/>
      <c r="N21" s="2798"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9" customFormat="1" ht="14.4">
      <c r="A22" s="2655" t="s">
        <v>2902</v>
      </c>
      <c r="B22" s="2799" t="s">
        <v>2903</v>
      </c>
      <c r="C22" s="1801" t="s">
        <v>2904</v>
      </c>
      <c r="D22" s="1801">
        <f>IF(E22=G22,F22,IF(G3&lt;=10,ROUND(F22+(H22-F22)*(G3-E22)/(G22-E22),4),"——"))</f>
        <v>0.97799999999999998</v>
      </c>
      <c r="E22" s="916">
        <f>ROUNDDOWN(G3,1)</f>
        <v>2.1</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916">
        <f>ROUNDUP(G3,1)</f>
        <v>2.2000000000000002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801" t="s">
        <v>155</v>
      </c>
      <c r="J22" s="938" t="str">
        <f>IF(G3&gt;10,D113,"——")</f>
        <v>——</v>
      </c>
      <c r="K22" s="1377"/>
      <c r="N22" s="2798"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9.4" thickBot="1">
      <c r="A23" s="2655" t="s">
        <v>2906</v>
      </c>
      <c r="B23" s="2800" t="s">
        <v>2907</v>
      </c>
      <c r="C23" s="1013">
        <f>ROUND(IF(G3&gt;1,IF(I3&lt;7,SUMPRODUCT((B93:B98=I3)*(C92:N92=G2)*(C93:N98)),SUMIF(C92:N92,G2,C100:N100)),IF(I3&lt;7,SUMPRODUCT((B102:B107=I3)*(C92:N92=G2)*(C102:N107)),SUMIF(C92:N92,G2,C109:N109))),4)</f>
        <v>1.9419999999999999</v>
      </c>
      <c r="D23" s="2764"/>
      <c r="E23" s="2764"/>
      <c r="F23" s="2801"/>
      <c r="G23" s="2802"/>
      <c r="H23" s="2803"/>
      <c r="I23" s="2804"/>
      <c r="J23" s="2805"/>
      <c r="K23" s="1370"/>
      <c r="N23" s="2798"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9"/>
    </row>
    <row r="24" spans="1:37" s="2729" customFormat="1" ht="15" thickBot="1">
      <c r="A24" s="2787" t="s">
        <v>812</v>
      </c>
      <c r="B24" s="2776" t="s">
        <v>2909</v>
      </c>
      <c r="C24" s="924">
        <f>SUMIF(A45:A88,E2,B45:B88)</f>
        <v>1.0306999999999999</v>
      </c>
      <c r="D24" s="2777"/>
      <c r="E24" s="2806"/>
      <c r="F24" s="2806"/>
      <c r="G24" s="2806"/>
      <c r="H24" s="2806"/>
      <c r="I24" s="2806"/>
      <c r="J24" s="2807"/>
      <c r="K24" s="1377"/>
      <c r="N24" s="2808"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 thickBot="1">
      <c r="A25" s="2787" t="s">
        <v>813</v>
      </c>
      <c r="B25" s="2809" t="s">
        <v>2911</v>
      </c>
      <c r="C25" s="930"/>
      <c r="D25" s="2739"/>
      <c r="E25" s="2739"/>
      <c r="F25" s="2810"/>
      <c r="G25" s="2739"/>
      <c r="H25" s="2739"/>
      <c r="I25" s="2739"/>
      <c r="J25" s="2740"/>
      <c r="K25" s="1370"/>
      <c r="N25" s="2811"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4">
      <c r="A26" s="2812"/>
      <c r="B26" s="2799" t="s">
        <v>2913</v>
      </c>
      <c r="C26" s="206">
        <f ca="1">E29+SUM(E33:E39)</f>
        <v>2522</v>
      </c>
      <c r="D26" s="2813"/>
      <c r="E26" s="2764"/>
      <c r="F26" s="2814"/>
      <c r="G26" s="2764"/>
      <c r="H26" s="2764"/>
      <c r="I26" s="2764"/>
      <c r="J26" s="2815"/>
      <c r="K26" s="1370"/>
      <c r="L26" s="2768" t="s">
        <v>2812</v>
      </c>
      <c r="M26" s="920" t="s">
        <v>2877</v>
      </c>
      <c r="N26" s="920" t="s">
        <v>2878</v>
      </c>
      <c r="O26" s="920" t="s">
        <v>2879</v>
      </c>
      <c r="P26" s="2769" t="s">
        <v>2880</v>
      </c>
      <c r="R26" s="1376"/>
      <c r="S26" s="1376"/>
      <c r="T26" s="1371"/>
      <c r="U26" s="1371"/>
      <c r="V26" s="1371"/>
      <c r="W26" s="1370"/>
      <c r="X26" s="1370"/>
      <c r="Y26" s="1370"/>
      <c r="Z26" s="1377"/>
      <c r="AA26" s="1378"/>
      <c r="AB26" s="1378"/>
      <c r="AC26" s="1378"/>
      <c r="AD26" s="1378"/>
    </row>
    <row r="27" spans="1:37" ht="15" thickBot="1">
      <c r="A27" s="2812"/>
      <c r="B27" s="2816" t="s">
        <v>2914</v>
      </c>
      <c r="C27" s="931">
        <f ca="1">E30+SUM(I33:I39)</f>
        <v>632</v>
      </c>
      <c r="D27" s="2817"/>
      <c r="E27" s="2818"/>
      <c r="F27" s="2819"/>
      <c r="G27" s="2818"/>
      <c r="H27" s="2818"/>
      <c r="I27" s="2818"/>
      <c r="J27" s="2820"/>
      <c r="K27" s="1370"/>
      <c r="L27" s="277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1"/>
      <c r="B28" s="2822" t="s">
        <v>2915</v>
      </c>
      <c r="C28" s="2823" t="s">
        <v>2916</v>
      </c>
      <c r="D28" s="2823" t="s">
        <v>2917</v>
      </c>
      <c r="E28" s="2824" t="s">
        <v>2918</v>
      </c>
      <c r="F28" s="2825"/>
      <c r="G28" s="2752"/>
      <c r="H28" s="2752"/>
      <c r="I28" s="2752"/>
      <c r="J28" s="2753"/>
      <c r="K28" s="1370"/>
      <c r="L28" s="277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6"/>
      <c r="B29" s="2827" t="s">
        <v>2919</v>
      </c>
      <c r="C29" s="206">
        <f ca="1">ROUND(C5*C18*C19*C20*C21*C24,0)</f>
        <v>5230</v>
      </c>
      <c r="D29" s="2828"/>
      <c r="E29" s="942">
        <f ca="1">ROUND(C29*D29/10000,0)</f>
        <v>0</v>
      </c>
      <c r="F29" s="2829" t="s">
        <v>2920</v>
      </c>
      <c r="G29" s="2830"/>
      <c r="H29" s="2830"/>
      <c r="I29" s="2830"/>
      <c r="J29" s="2831"/>
      <c r="K29" s="1370"/>
      <c r="L29" s="1370"/>
      <c r="M29" s="1370"/>
      <c r="N29" s="1370"/>
      <c r="O29" s="1375"/>
      <c r="P29" s="1375"/>
      <c r="Q29" s="1376"/>
      <c r="R29" s="1376"/>
      <c r="S29" s="1376"/>
      <c r="T29" s="1371"/>
      <c r="U29" s="1371"/>
      <c r="V29" s="1371"/>
      <c r="W29" s="1370"/>
      <c r="X29" s="1370"/>
      <c r="Y29" s="1370"/>
      <c r="Z29" s="1377"/>
      <c r="AA29" s="1378"/>
      <c r="AB29" s="1378"/>
      <c r="AC29" s="1378"/>
      <c r="AD29" s="1378"/>
      <c r="AE29" s="2774"/>
      <c r="AF29" s="2774"/>
      <c r="AG29" s="2711"/>
      <c r="AH29" s="2711"/>
      <c r="AI29" s="2711"/>
      <c r="AJ29" s="2711"/>
    </row>
    <row r="30" spans="1:37" ht="25.8" thickBot="1">
      <c r="A30" s="2832"/>
      <c r="B30" s="2833" t="s">
        <v>2921</v>
      </c>
      <c r="C30" s="229">
        <f ca="1">ROUND(IF(E2="工业",C29*M39,C29*M38),0)</f>
        <v>1308</v>
      </c>
      <c r="D30" s="2834"/>
      <c r="E30" s="942">
        <f ca="1">ROUND(C30*D30/10000,0)</f>
        <v>0</v>
      </c>
      <c r="F30" s="2835" t="s">
        <v>2922</v>
      </c>
      <c r="G30" s="2836"/>
      <c r="H30" s="2836"/>
      <c r="I30" s="2836"/>
      <c r="J30" s="2837"/>
      <c r="K30" s="1370"/>
      <c r="L30" s="1370"/>
      <c r="M30" s="1370"/>
      <c r="N30" s="1370"/>
      <c r="O30" s="1375"/>
      <c r="P30" s="1375"/>
      <c r="Q30" s="1376"/>
      <c r="R30" s="1376"/>
      <c r="S30" s="1376"/>
      <c r="T30" s="1371"/>
      <c r="U30" s="1371"/>
      <c r="V30" s="1371"/>
      <c r="W30" s="1370"/>
      <c r="X30" s="1370"/>
      <c r="Y30" s="1370"/>
      <c r="Z30" s="1377"/>
      <c r="AA30" s="1378"/>
      <c r="AB30" s="1378"/>
      <c r="AC30" s="1378"/>
      <c r="AD30" s="1378"/>
      <c r="AE30" s="2774"/>
      <c r="AF30" s="2774"/>
      <c r="AG30" s="2711"/>
      <c r="AH30" s="2711"/>
      <c r="AI30" s="2711"/>
      <c r="AJ30" s="2711"/>
    </row>
    <row r="31" spans="1:37" ht="13.8">
      <c r="A31" s="2838"/>
      <c r="B31" s="2839" t="s">
        <v>2923</v>
      </c>
      <c r="C31" s="2840" t="s">
        <v>2924</v>
      </c>
      <c r="D31" s="2752"/>
      <c r="E31" s="2840"/>
      <c r="F31" s="2840"/>
      <c r="G31" s="2750" t="s">
        <v>2925</v>
      </c>
      <c r="H31" s="2752"/>
      <c r="I31" s="2841"/>
      <c r="J31" s="2753"/>
      <c r="K31" s="1370"/>
      <c r="L31" s="1370"/>
      <c r="M31" s="1370"/>
      <c r="N31" s="1370"/>
      <c r="O31" s="1375"/>
      <c r="P31" s="1375"/>
      <c r="Q31" s="1376"/>
      <c r="R31" s="1376"/>
      <c r="S31" s="1376"/>
      <c r="T31" s="1371"/>
      <c r="U31" s="1371"/>
      <c r="V31" s="1371"/>
      <c r="W31" s="1370"/>
      <c r="X31" s="1370"/>
      <c r="Y31" s="1370"/>
      <c r="Z31" s="1377"/>
      <c r="AA31" s="1378"/>
      <c r="AB31" s="1378"/>
      <c r="AC31" s="1378"/>
      <c r="AD31" s="1378"/>
      <c r="AE31" s="2774"/>
      <c r="AF31" s="2774"/>
      <c r="AG31" s="2711"/>
      <c r="AH31" s="2711"/>
      <c r="AI31" s="2711"/>
      <c r="AJ31" s="2711"/>
    </row>
    <row r="32" spans="1:37" ht="36">
      <c r="A32" s="2826"/>
      <c r="B32" s="2842"/>
      <c r="C32" s="501" t="s">
        <v>2916</v>
      </c>
      <c r="D32" s="498" t="s">
        <v>2917</v>
      </c>
      <c r="E32" s="498" t="s">
        <v>2918</v>
      </c>
      <c r="F32" s="388" t="s">
        <v>2926</v>
      </c>
      <c r="G32" s="2843" t="s">
        <v>2916</v>
      </c>
      <c r="H32" s="2843" t="s">
        <v>2917</v>
      </c>
      <c r="I32" s="284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4"/>
      <c r="AF32" s="2774"/>
      <c r="AG32" s="2711"/>
      <c r="AH32" s="2711"/>
      <c r="AI32" s="2711"/>
      <c r="AJ32" s="2711"/>
    </row>
    <row r="33" spans="1:37" ht="36" customHeight="1">
      <c r="A33" s="3307" t="s">
        <v>2927</v>
      </c>
      <c r="B33" s="2844" t="s">
        <v>2928</v>
      </c>
      <c r="C33" s="206">
        <f ca="1">ROUND(D5*C19*C20*C24*F33,0)</f>
        <v>3209</v>
      </c>
      <c r="D33" s="2828"/>
      <c r="E33" s="200">
        <f ca="1">ROUND(C33*D33/10000,0)</f>
        <v>0</v>
      </c>
      <c r="F33" s="200">
        <f>SUMIF(修正!A45:A56,G2,修正!B45:B56)</f>
        <v>0.6</v>
      </c>
      <c r="G33" s="200">
        <f t="shared" ref="G33" ca="1" si="6">ROUND(IF(E2="工业",C33*$M$39,C33*$M$38),0)</f>
        <v>802</v>
      </c>
      <c r="H33" s="200">
        <f>D33</f>
        <v>0</v>
      </c>
      <c r="I33" s="200">
        <f ca="1">ROUND(G33*H33/10000,0)</f>
        <v>0</v>
      </c>
      <c r="J33" s="284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8"/>
      <c r="B34" s="2756" t="s">
        <v>2929</v>
      </c>
      <c r="C34" s="206">
        <f ca="1">ROUND(D5*C19*C20*C24*F34,0)</f>
        <v>1604</v>
      </c>
      <c r="D34" s="2828"/>
      <c r="E34" s="200">
        <f t="shared" ref="E34:E39" ca="1" si="7">ROUND(C34*D34/10000,0)</f>
        <v>0</v>
      </c>
      <c r="F34" s="200">
        <f>SUMIF(修正!A45:A56,G2,修正!C45:C56)</f>
        <v>0.3</v>
      </c>
      <c r="G34" s="200">
        <f ca="1">ROUND(IF(E2="工业",C34*$M$39,C34*$M$38),0)</f>
        <v>401</v>
      </c>
      <c r="H34" s="200">
        <f t="shared" ref="H34:H39" si="8">D34</f>
        <v>0</v>
      </c>
      <c r="I34" s="200">
        <f t="shared" ref="I34:I39" ca="1" si="9">ROUND(G34*H34/10000,0)</f>
        <v>0</v>
      </c>
      <c r="J34" s="284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56" t="s">
        <v>2930</v>
      </c>
      <c r="C35" s="206">
        <f ca="1">ROUND(D5*C19*C20*C24*F35,0)</f>
        <v>1070</v>
      </c>
      <c r="D35" s="2828"/>
      <c r="E35" s="200">
        <f t="shared" ca="1" si="7"/>
        <v>0</v>
      </c>
      <c r="F35" s="200">
        <f>SUMIF(修正!A45:A56,G2,修正!D45:D56)</f>
        <v>0.2</v>
      </c>
      <c r="G35" s="200">
        <f ca="1">ROUND(IF(E2="工业",C35*$M$39,C35*$M$38),0)</f>
        <v>268</v>
      </c>
      <c r="H35" s="200">
        <f t="shared" si="8"/>
        <v>0</v>
      </c>
      <c r="I35" s="200">
        <f t="shared" ca="1" si="9"/>
        <v>0</v>
      </c>
      <c r="J35" s="2845"/>
      <c r="K35" s="1370"/>
      <c r="L35" s="1370"/>
      <c r="M35" s="1370"/>
      <c r="N35" s="1370"/>
      <c r="O35" s="1370"/>
      <c r="P35" s="1370"/>
      <c r="Q35" s="1370"/>
      <c r="R35" s="1370"/>
      <c r="S35" s="1370"/>
      <c r="T35" s="1370"/>
      <c r="U35" s="1370"/>
      <c r="V35" s="1370"/>
      <c r="W35" s="1370"/>
      <c r="X35" s="1370"/>
      <c r="Y35" s="1370"/>
      <c r="Z35" s="1371"/>
    </row>
    <row r="36" spans="1:37" ht="13.8" thickBot="1">
      <c r="A36" s="3309"/>
      <c r="B36" s="2756" t="s">
        <v>2931</v>
      </c>
      <c r="C36" s="206">
        <f ca="1">ROUND(D5*C19*C20*C24*F36,0)</f>
        <v>1070</v>
      </c>
      <c r="D36" s="2828"/>
      <c r="E36" s="200">
        <f t="shared" ca="1" si="7"/>
        <v>0</v>
      </c>
      <c r="F36" s="200">
        <f>SUMIF(修正!A45:A56,G2,修正!E45:E56)</f>
        <v>0.2</v>
      </c>
      <c r="G36" s="200">
        <f ca="1">ROUND(IF(E2="工业",C36*$M$39,C36*$M$38),0)</f>
        <v>268</v>
      </c>
      <c r="H36" s="200">
        <f t="shared" si="8"/>
        <v>0</v>
      </c>
      <c r="I36" s="200">
        <f t="shared" ca="1" si="9"/>
        <v>0</v>
      </c>
      <c r="J36" s="2845"/>
      <c r="K36" s="1370"/>
      <c r="L36" s="2710"/>
      <c r="M36" s="2710"/>
      <c r="N36" s="1370"/>
      <c r="O36" s="1370"/>
      <c r="P36" s="1370"/>
      <c r="Q36" s="1370"/>
      <c r="R36" s="1370"/>
      <c r="S36" s="1370"/>
      <c r="T36" s="1370"/>
      <c r="U36" s="1370"/>
      <c r="V36" s="1370"/>
      <c r="W36" s="1370"/>
      <c r="X36" s="1370"/>
      <c r="Y36" s="1370"/>
      <c r="Z36" s="1371"/>
    </row>
    <row r="37" spans="1:37">
      <c r="A37" s="2846"/>
      <c r="B37" s="2756" t="s">
        <v>2932</v>
      </c>
      <c r="C37" s="200">
        <f ca="1">ROUND(D5*C19*C20*C24*F37,0)</f>
        <v>1070</v>
      </c>
      <c r="D37" s="2828"/>
      <c r="E37" s="200">
        <f t="shared" ca="1" si="7"/>
        <v>0</v>
      </c>
      <c r="F37" s="206">
        <f>SUMIF(修正!A45:A56,G2,修正!F45:F56)</f>
        <v>0.2</v>
      </c>
      <c r="G37" s="200">
        <f ca="1">ROUND(IF(E2="工业",C37*$M$39,C37*$M$38),0)</f>
        <v>268</v>
      </c>
      <c r="H37" s="200">
        <f t="shared" si="8"/>
        <v>0</v>
      </c>
      <c r="I37" s="200">
        <f t="shared" ca="1" si="9"/>
        <v>0</v>
      </c>
      <c r="J37" s="2845"/>
      <c r="K37" s="1370"/>
      <c r="L37" s="2847" t="s">
        <v>2933</v>
      </c>
      <c r="M37" s="2848"/>
      <c r="N37" s="1370"/>
      <c r="O37" s="1370"/>
      <c r="P37" s="1370"/>
      <c r="Q37" s="1370"/>
      <c r="R37" s="1370"/>
      <c r="S37" s="1370"/>
      <c r="T37" s="1370"/>
      <c r="U37" s="1370"/>
      <c r="V37" s="1370"/>
      <c r="W37" s="1370"/>
      <c r="X37" s="1370"/>
      <c r="Y37" s="1370"/>
      <c r="Z37" s="1371"/>
    </row>
    <row r="38" spans="1:37">
      <c r="A38" s="2846"/>
      <c r="B38" s="2756" t="s">
        <v>2934</v>
      </c>
      <c r="C38" s="200">
        <f ca="1">ROUND(D5*C19*C41*C24*F38,0)</f>
        <v>1070</v>
      </c>
      <c r="D38" s="2828">
        <f>'数据-基础表'!O14</f>
        <v>21293.83</v>
      </c>
      <c r="E38" s="200">
        <f t="shared" ca="1" si="7"/>
        <v>2278</v>
      </c>
      <c r="F38" s="206">
        <f>SUMIF(修正!A45:A56,G2,修正!G45:G56)</f>
        <v>0.2</v>
      </c>
      <c r="G38" s="200">
        <f ca="1">ROUND(IF(E2="工业",C38*$M$39,C38*$M$38),0)</f>
        <v>268</v>
      </c>
      <c r="H38" s="200">
        <f t="shared" si="8"/>
        <v>21293.83</v>
      </c>
      <c r="I38" s="200">
        <f t="shared" ca="1" si="9"/>
        <v>571</v>
      </c>
      <c r="J38" s="2845"/>
      <c r="K38" s="1370"/>
      <c r="L38" s="1878" t="s">
        <v>2935</v>
      </c>
      <c r="M38" s="2849">
        <v>0.25</v>
      </c>
      <c r="N38" s="1370"/>
      <c r="O38" s="1370"/>
      <c r="P38" s="1370"/>
      <c r="Q38" s="1370"/>
      <c r="R38" s="1370"/>
      <c r="S38" s="1370"/>
      <c r="T38" s="1370"/>
      <c r="U38" s="1370"/>
      <c r="V38" s="1370"/>
      <c r="W38" s="1370"/>
      <c r="X38" s="1370"/>
      <c r="Y38" s="1370"/>
      <c r="Z38" s="1371"/>
    </row>
    <row r="39" spans="1:37" ht="13.8" thickBot="1">
      <c r="A39" s="2832"/>
      <c r="B39" s="2850" t="s">
        <v>2936</v>
      </c>
      <c r="C39" s="229">
        <f ca="1">ROUND(D5*C19*C41*C24*F39,0)</f>
        <v>802</v>
      </c>
      <c r="D39" s="2834">
        <f>'数据-基础表'!Q14</f>
        <v>3037.3700000000003</v>
      </c>
      <c r="E39" s="229">
        <f t="shared" ca="1" si="7"/>
        <v>244</v>
      </c>
      <c r="F39" s="932">
        <f>SUMIF(修正!A45:A56,G2,修正!H45:H56)</f>
        <v>0.15</v>
      </c>
      <c r="G39" s="229">
        <f ca="1">ROUND(IF(E2="工业",C39*$M$39,C39*$M$38),0)</f>
        <v>201</v>
      </c>
      <c r="H39" s="229">
        <f t="shared" si="8"/>
        <v>3037.3700000000003</v>
      </c>
      <c r="I39" s="229">
        <f t="shared" ca="1" si="9"/>
        <v>61</v>
      </c>
      <c r="J39" s="2851"/>
      <c r="K39" s="1370"/>
      <c r="L39" s="2852" t="s">
        <v>2880</v>
      </c>
      <c r="M39" s="285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1" t="s">
        <v>3041</v>
      </c>
      <c r="C41" s="388">
        <f ca="1">ROUND(POWER(1+E41,H41-G41)*(POWER(1+E41,G41)-1)/(POWER(1+E41,H41)-1),4)</f>
        <v>0.97570000000000001</v>
      </c>
      <c r="D41" s="200" t="s">
        <v>2887</v>
      </c>
      <c r="E41" s="2920">
        <f ca="1">G20</f>
        <v>5.1999999999999998E-2</v>
      </c>
      <c r="F41" s="200" t="s">
        <v>2896</v>
      </c>
      <c r="G41" s="218">
        <f>项目基本情况!F15</f>
        <v>45.1</v>
      </c>
      <c r="H41" s="200">
        <v>50</v>
      </c>
      <c r="Z41" s="1371"/>
      <c r="AA41" s="1371"/>
      <c r="AB41" s="1371"/>
      <c r="AC41" s="1371"/>
      <c r="AD41" s="1371"/>
      <c r="AE41" s="1371"/>
      <c r="AF41" s="1371"/>
      <c r="AG41" s="1371"/>
      <c r="AH41" s="1371"/>
      <c r="AI41" s="1371"/>
      <c r="AJ41" s="1371"/>
    </row>
    <row r="42" spans="1:37" s="1370" customFormat="1">
      <c r="A42" s="1371"/>
      <c r="B42" s="2854"/>
      <c r="Z42" s="1371"/>
      <c r="AA42" s="1371"/>
      <c r="AB42" s="1371"/>
      <c r="AC42" s="1371"/>
      <c r="AD42" s="1371"/>
      <c r="AE42" s="1371"/>
      <c r="AF42" s="1371"/>
      <c r="AG42" s="1371"/>
      <c r="AH42" s="1371"/>
      <c r="AI42" s="1371"/>
      <c r="AJ42" s="1371"/>
    </row>
    <row r="43" spans="1:37" s="1370" customFormat="1">
      <c r="A43" s="1371"/>
      <c r="B43" s="2854"/>
      <c r="Z43" s="1371"/>
      <c r="AA43" s="1371"/>
      <c r="AB43" s="1371"/>
      <c r="AC43" s="1371"/>
      <c r="AD43" s="1371"/>
      <c r="AE43" s="1371"/>
      <c r="AF43" s="1371"/>
      <c r="AG43" s="1371"/>
      <c r="AH43" s="1371"/>
      <c r="AI43" s="1371"/>
      <c r="AJ43" s="1371"/>
    </row>
    <row r="44" spans="1:37" s="1370" customFormat="1">
      <c r="A44" s="1371"/>
      <c r="B44" s="2854"/>
      <c r="Z44" s="1371"/>
      <c r="AA44" s="1371"/>
      <c r="AB44" s="1371"/>
      <c r="AC44" s="1371"/>
      <c r="AD44" s="1371"/>
      <c r="AE44" s="1371"/>
      <c r="AF44" s="1371"/>
      <c r="AG44" s="1371"/>
      <c r="AH44" s="1371"/>
      <c r="AI44" s="1371"/>
      <c r="AJ44" s="1371"/>
    </row>
    <row r="45" spans="1:37" s="1370" customFormat="1" ht="15" thickBot="1">
      <c r="A45" s="2855" t="s">
        <v>2937</v>
      </c>
      <c r="B45" s="2856"/>
      <c r="C45" s="7"/>
      <c r="D45" s="7"/>
      <c r="E45" s="7"/>
      <c r="F45" s="6"/>
      <c r="G45" s="6"/>
      <c r="H45" s="6"/>
      <c r="I45" s="7"/>
      <c r="J45" s="7"/>
      <c r="K45" s="7"/>
      <c r="L45" s="7"/>
      <c r="M45" s="7"/>
      <c r="N45" s="2774"/>
      <c r="Z45" s="1371"/>
      <c r="AA45" s="1371"/>
      <c r="AB45" s="1371"/>
      <c r="AC45" s="1371"/>
      <c r="AD45" s="1371"/>
      <c r="AE45" s="1371"/>
      <c r="AF45" s="1371"/>
      <c r="AG45" s="1371"/>
      <c r="AH45" s="1371"/>
      <c r="AI45" s="1371"/>
      <c r="AJ45" s="1371"/>
    </row>
    <row r="46" spans="1:37" s="1370" customFormat="1" ht="14.4">
      <c r="A46" s="2857" t="s">
        <v>2938</v>
      </c>
      <c r="B46" s="2858">
        <f>1+E48</f>
        <v>1</v>
      </c>
      <c r="C46" s="2859"/>
      <c r="D46" s="814"/>
      <c r="E46" s="815"/>
      <c r="F46" s="2860"/>
      <c r="G46" s="6"/>
      <c r="H46" s="7"/>
      <c r="I46" s="7"/>
      <c r="J46" s="7"/>
      <c r="K46" s="7"/>
      <c r="L46" s="7"/>
      <c r="M46" s="7"/>
      <c r="N46" s="2774"/>
      <c r="Z46" s="1371"/>
      <c r="AA46" s="1371"/>
      <c r="AB46" s="1371"/>
      <c r="AC46" s="1371"/>
      <c r="AD46" s="1371"/>
      <c r="AE46" s="1371"/>
      <c r="AF46" s="1371"/>
      <c r="AG46" s="1371"/>
      <c r="AH46" s="1371"/>
      <c r="AI46" s="1371"/>
      <c r="AJ46" s="1371"/>
    </row>
    <row r="47" spans="1:37" s="1370" customFormat="1" ht="25.2">
      <c r="A47" s="2861" t="s">
        <v>2939</v>
      </c>
      <c r="B47" s="1800" t="s">
        <v>2940</v>
      </c>
      <c r="C47" s="1800" t="s">
        <v>2941</v>
      </c>
      <c r="D47" s="1800" t="s">
        <v>2942</v>
      </c>
      <c r="E47" s="819" t="s">
        <v>2943</v>
      </c>
      <c r="F47" s="2862" t="s">
        <v>2944</v>
      </c>
      <c r="G47" s="1800" t="s">
        <v>754</v>
      </c>
      <c r="H47" s="2863" t="s">
        <v>2945</v>
      </c>
      <c r="I47" s="1800"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2.8">
      <c r="A48" s="2861" t="s">
        <v>2947</v>
      </c>
      <c r="B48" s="2864" t="str">
        <f>估价对象房地状况!C4</f>
        <v>估价对象位于XX商圈，周边商业氛围成熟，人流量大，商业繁华度好</v>
      </c>
      <c r="C48" s="2761"/>
      <c r="D48" s="1286">
        <f t="shared" ref="D48:D56" si="10">SUMIF($J$47:$N$47,C48,J48:N48)</f>
        <v>0</v>
      </c>
      <c r="E48" s="821">
        <f>ROUND(SUM(D48:D56),4)</f>
        <v>0</v>
      </c>
      <c r="F48" s="249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1" t="s">
        <v>2948</v>
      </c>
      <c r="B49" s="2865" t="str">
        <f>估价对象房地状况!C18</f>
        <v>估价对象周边道路状况、公共交通通达情况、停车便捷程度，综合评价交通便捷度较好</v>
      </c>
      <c r="C49" s="2761"/>
      <c r="D49" s="1286">
        <f t="shared" si="10"/>
        <v>0</v>
      </c>
      <c r="E49" s="822"/>
      <c r="F49" s="249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1" t="s">
        <v>2949</v>
      </c>
      <c r="B50" s="2865">
        <f>估价对象房地状况!C19</f>
        <v>0</v>
      </c>
      <c r="C50" s="2761"/>
      <c r="D50" s="1286">
        <f t="shared" si="10"/>
        <v>0</v>
      </c>
      <c r="E50" s="822"/>
      <c r="F50" s="249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1" t="s">
        <v>2950</v>
      </c>
      <c r="B51" s="2866" t="s">
        <v>2951</v>
      </c>
      <c r="C51" s="2761"/>
      <c r="D51" s="1286">
        <f t="shared" si="10"/>
        <v>0</v>
      </c>
      <c r="E51" s="822"/>
      <c r="F51" s="249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1" t="s">
        <v>2952</v>
      </c>
      <c r="B52" s="2865">
        <f>估价对象房地状况!C24</f>
        <v>0</v>
      </c>
      <c r="C52" s="2761"/>
      <c r="D52" s="1286">
        <f t="shared" si="10"/>
        <v>0</v>
      </c>
      <c r="E52" s="822"/>
      <c r="F52" s="249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1" t="s">
        <v>2953</v>
      </c>
      <c r="B53" s="2867" t="s">
        <v>2954</v>
      </c>
      <c r="C53" s="2761"/>
      <c r="D53" s="1286">
        <f t="shared" si="10"/>
        <v>0</v>
      </c>
      <c r="E53" s="822"/>
      <c r="F53" s="249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68" t="s">
        <v>2955</v>
      </c>
      <c r="B54" s="1724" t="str">
        <f>估价对象房地状况!C21</f>
        <v>估价对象所在区域公共配套设施齐备情况</v>
      </c>
      <c r="C54" s="2761"/>
      <c r="D54" s="1286">
        <f t="shared" si="10"/>
        <v>0</v>
      </c>
      <c r="E54" s="822"/>
      <c r="F54" s="249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68" t="s">
        <v>2956</v>
      </c>
      <c r="B55" s="2865" t="str">
        <f>估价对象房地状况!C22</f>
        <v>估价对象所在区域基础设施水平</v>
      </c>
      <c r="C55" s="2761"/>
      <c r="D55" s="1286">
        <f t="shared" si="10"/>
        <v>0</v>
      </c>
      <c r="E55" s="822"/>
      <c r="F55" s="249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69" t="s">
        <v>2957</v>
      </c>
      <c r="B56" s="2870" t="str">
        <f>估价对象房地状况!C20</f>
        <v>区域自然环境：；人文环境；综合评价环境状况一般</v>
      </c>
      <c r="C56" s="2761"/>
      <c r="D56" s="1286">
        <f t="shared" si="10"/>
        <v>0</v>
      </c>
      <c r="E56" s="825"/>
      <c r="F56" s="249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57" t="s">
        <v>2958</v>
      </c>
      <c r="B57" s="2858">
        <f>1+E59</f>
        <v>1.0306999999999999</v>
      </c>
      <c r="C57" s="814"/>
      <c r="D57" s="814"/>
      <c r="E57" s="815"/>
      <c r="F57" s="286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1" t="s">
        <v>2939</v>
      </c>
      <c r="B58" s="1800"/>
      <c r="C58" s="1800" t="s">
        <v>2941</v>
      </c>
      <c r="D58" s="1800" t="s">
        <v>2942</v>
      </c>
      <c r="E58" s="819" t="s">
        <v>2943</v>
      </c>
      <c r="F58" s="2862" t="s">
        <v>2959</v>
      </c>
      <c r="G58" s="1800" t="s">
        <v>754</v>
      </c>
      <c r="H58" s="2863" t="s">
        <v>2945</v>
      </c>
      <c r="I58" s="1800"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2.8">
      <c r="A59" s="2861" t="s">
        <v>2960</v>
      </c>
      <c r="B59" s="2864" t="str">
        <f>估价对象房地状况!C17</f>
        <v>估价对象位于XX商圈，周边办公楼项目较多，入驻率高，办公集聚程度较好</v>
      </c>
      <c r="C59" s="2761" t="s">
        <v>3126</v>
      </c>
      <c r="D59" s="1286">
        <f t="shared" ref="D59:D67" si="15">SUMIF($J$58:$N$58,C59,J59:N59)</f>
        <v>0</v>
      </c>
      <c r="E59" s="821">
        <f>ROUND(SUM(D59:D67),4)</f>
        <v>3.0700000000000002E-2</v>
      </c>
      <c r="F59" s="249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66">
      <c r="A60" s="2861" t="s">
        <v>2948</v>
      </c>
      <c r="B60" s="2865" t="str">
        <f>估价对象房地状况!C18</f>
        <v>估价对象周边道路状况、公共交通通达情况、停车便捷程度，综合评价交通便捷度较好</v>
      </c>
      <c r="C60" s="2761" t="s">
        <v>3126</v>
      </c>
      <c r="D60" s="1286">
        <f t="shared" si="15"/>
        <v>0</v>
      </c>
      <c r="E60" s="822"/>
      <c r="F60" s="249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61" t="s">
        <v>2949</v>
      </c>
      <c r="B61" s="2865">
        <f>估价对象房地状况!C19</f>
        <v>0</v>
      </c>
      <c r="C61" s="2761" t="s">
        <v>3127</v>
      </c>
      <c r="D61" s="1286">
        <f t="shared" si="15"/>
        <v>6.0000000000000001E-3</v>
      </c>
      <c r="E61" s="822"/>
      <c r="F61" s="249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50.4">
      <c r="A62" s="2861" t="s">
        <v>2950</v>
      </c>
      <c r="B62" s="2866" t="s">
        <v>2951</v>
      </c>
      <c r="C62" s="2761" t="s">
        <v>3127</v>
      </c>
      <c r="D62" s="1286">
        <f t="shared" si="15"/>
        <v>3.0000000000000001E-3</v>
      </c>
      <c r="E62" s="822"/>
      <c r="F62" s="249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61" t="s">
        <v>2952</v>
      </c>
      <c r="B63" s="2865">
        <f>估价对象房地状况!C24</f>
        <v>0</v>
      </c>
      <c r="C63" s="2761" t="s">
        <v>3126</v>
      </c>
      <c r="D63" s="1286">
        <f t="shared" si="15"/>
        <v>0</v>
      </c>
      <c r="E63" s="822"/>
      <c r="F63" s="249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36">
      <c r="A64" s="2861" t="s">
        <v>2953</v>
      </c>
      <c r="B64" s="2867" t="s">
        <v>2954</v>
      </c>
      <c r="C64" s="2761" t="s">
        <v>3127</v>
      </c>
      <c r="D64" s="1286">
        <f t="shared" si="15"/>
        <v>3.7000000000000002E-3</v>
      </c>
      <c r="E64" s="822"/>
      <c r="F64" s="249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6.4">
      <c r="A65" s="2861" t="s">
        <v>2955</v>
      </c>
      <c r="B65" s="1724" t="str">
        <f>估价对象房地状况!C21</f>
        <v>估价对象所在区域公共配套设施齐备情况</v>
      </c>
      <c r="C65" s="2761" t="s">
        <v>3126</v>
      </c>
      <c r="D65" s="1286">
        <f t="shared" si="15"/>
        <v>0</v>
      </c>
      <c r="E65" s="822"/>
      <c r="F65" s="249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6.4">
      <c r="A66" s="2861" t="s">
        <v>2956</v>
      </c>
      <c r="B66" s="1724" t="str">
        <f>估价对象房地状况!C22</f>
        <v>估价对象所在区域基础设施水平</v>
      </c>
      <c r="C66" s="2761" t="s">
        <v>3210</v>
      </c>
      <c r="D66" s="1286">
        <f t="shared" si="15"/>
        <v>1.7999999999999999E-2</v>
      </c>
      <c r="E66" s="822"/>
      <c r="F66" s="249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40.200000000000003" thickBot="1">
      <c r="A67" s="2869" t="s">
        <v>2957</v>
      </c>
      <c r="B67" s="2871" t="str">
        <f>估价对象房地状况!C20</f>
        <v>区域自然环境：；人文环境；综合评价环境状况一般</v>
      </c>
      <c r="C67" s="2761" t="s">
        <v>3126</v>
      </c>
      <c r="D67" s="1286">
        <f t="shared" si="15"/>
        <v>0</v>
      </c>
      <c r="E67" s="825"/>
      <c r="F67" s="249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4.4">
      <c r="A68" s="2857" t="s">
        <v>2961</v>
      </c>
      <c r="B68" s="2858">
        <f>1+E70</f>
        <v>1</v>
      </c>
      <c r="C68" s="814"/>
      <c r="D68" s="814"/>
      <c r="E68" s="815"/>
      <c r="F68" s="286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1" t="s">
        <v>2939</v>
      </c>
      <c r="B69" s="1800"/>
      <c r="C69" s="1800" t="s">
        <v>2941</v>
      </c>
      <c r="D69" s="1800" t="s">
        <v>2942</v>
      </c>
      <c r="E69" s="819" t="s">
        <v>2943</v>
      </c>
      <c r="F69" s="2862" t="s">
        <v>2959</v>
      </c>
      <c r="G69" s="1800" t="s">
        <v>754</v>
      </c>
      <c r="H69" s="2863" t="s">
        <v>2945</v>
      </c>
      <c r="I69" s="1800"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6">
      <c r="A70" s="2861" t="s">
        <v>2962</v>
      </c>
      <c r="B70" s="2864" t="str">
        <f>估价对象房地状况!C15</f>
        <v>估价对象周边居住用地比例、居住小区规模和社区发展完善程度，综合评价居住社区成熟度一般</v>
      </c>
      <c r="C70" s="2761"/>
      <c r="D70" s="1286">
        <f t="shared" ref="D70:D78" si="21">SUMIF($J$69:$N$69,C70,J70:N70)</f>
        <v>0</v>
      </c>
      <c r="E70" s="821">
        <f>ROUND(SUM(D70:D78),4)</f>
        <v>0</v>
      </c>
      <c r="F70" s="249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66">
      <c r="A71" s="2861" t="s">
        <v>2948</v>
      </c>
      <c r="B71" s="2865" t="str">
        <f>估价对象房地状况!C18</f>
        <v>估价对象周边道路状况、公共交通通达情况、停车便捷程度，综合评价交通便捷度较好</v>
      </c>
      <c r="C71" s="2761"/>
      <c r="D71" s="1286">
        <f t="shared" si="21"/>
        <v>0</v>
      </c>
      <c r="E71" s="826"/>
      <c r="F71" s="249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1" t="s">
        <v>2949</v>
      </c>
      <c r="B72" s="2865">
        <f>估价对象房地状况!C19</f>
        <v>0</v>
      </c>
      <c r="C72" s="2761"/>
      <c r="D72" s="1286">
        <f t="shared" si="21"/>
        <v>0</v>
      </c>
      <c r="E72" s="826"/>
      <c r="F72" s="249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3.8">
      <c r="A73" s="2861" t="s">
        <v>2963</v>
      </c>
      <c r="B73" s="2865">
        <f>估价对象房地状况!C24</f>
        <v>0</v>
      </c>
      <c r="C73" s="2761"/>
      <c r="D73" s="1286">
        <f t="shared" si="21"/>
        <v>0</v>
      </c>
      <c r="E73" s="826"/>
      <c r="F73" s="249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4">
      <c r="A74" s="2861" t="s">
        <v>2955</v>
      </c>
      <c r="B74" s="1724" t="str">
        <f>估价对象房地状况!C21</f>
        <v>估价对象所在区域公共配套设施齐备情况</v>
      </c>
      <c r="C74" s="2761"/>
      <c r="D74" s="1286">
        <f t="shared" si="21"/>
        <v>0</v>
      </c>
      <c r="E74" s="826"/>
      <c r="F74" s="249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4">
      <c r="A75" s="2861" t="s">
        <v>2956</v>
      </c>
      <c r="B75" s="1724" t="str">
        <f>估价对象房地状况!C22</f>
        <v>估价对象所在区域基础设施水平</v>
      </c>
      <c r="C75" s="2761"/>
      <c r="D75" s="1286">
        <f t="shared" si="21"/>
        <v>0</v>
      </c>
      <c r="E75" s="826"/>
      <c r="F75" s="249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0" customFormat="1" ht="36">
      <c r="A76" s="2861" t="s">
        <v>2953</v>
      </c>
      <c r="B76" s="2867" t="s">
        <v>2954</v>
      </c>
      <c r="C76" s="2761"/>
      <c r="D76" s="1286">
        <f t="shared" si="21"/>
        <v>0</v>
      </c>
      <c r="E76" s="826"/>
      <c r="F76" s="2492"/>
      <c r="G76" s="1284"/>
      <c r="H76" s="1288" t="str">
        <f t="shared" si="22"/>
        <v>——</v>
      </c>
      <c r="I76" s="820">
        <v>0.05</v>
      </c>
      <c r="J76" s="1285">
        <f t="shared" si="23"/>
        <v>0</v>
      </c>
      <c r="K76" s="1285">
        <f t="shared" si="24"/>
        <v>0</v>
      </c>
      <c r="L76" s="1285">
        <v>0</v>
      </c>
      <c r="M76" s="1285">
        <f t="shared" si="25"/>
        <v>0</v>
      </c>
      <c r="N76" s="1285">
        <f t="shared" si="25"/>
        <v>0</v>
      </c>
      <c r="AA76" s="2872"/>
      <c r="AB76" s="1371"/>
      <c r="AC76" s="1371"/>
      <c r="AD76" s="1371"/>
      <c r="AE76" s="1371"/>
      <c r="AF76" s="1371"/>
      <c r="AG76" s="1371"/>
      <c r="AH76" s="2872"/>
      <c r="AI76" s="2872"/>
      <c r="AJ76" s="2872"/>
      <c r="AK76" s="2872"/>
    </row>
    <row r="77" spans="1:37" ht="39.6">
      <c r="A77" s="2861" t="s">
        <v>2957</v>
      </c>
      <c r="B77" s="2864" t="str">
        <f>估价对象房地状况!C20</f>
        <v>区域自然环境：；人文环境；综合评价环境状况一般</v>
      </c>
      <c r="C77" s="2761"/>
      <c r="D77" s="1286">
        <f t="shared" si="21"/>
        <v>0</v>
      </c>
      <c r="E77" s="826"/>
      <c r="F77" s="2492"/>
      <c r="G77" s="1284"/>
      <c r="H77" s="1288" t="str">
        <f t="shared" si="22"/>
        <v>——</v>
      </c>
      <c r="I77" s="820">
        <v>0.15</v>
      </c>
      <c r="J77" s="1285">
        <f t="shared" si="23"/>
        <v>0</v>
      </c>
      <c r="K77" s="1285">
        <f t="shared" si="24"/>
        <v>0</v>
      </c>
      <c r="L77" s="1285">
        <v>0</v>
      </c>
      <c r="M77" s="1285">
        <f t="shared" si="25"/>
        <v>0</v>
      </c>
      <c r="N77" s="1285">
        <f t="shared" si="25"/>
        <v>0</v>
      </c>
      <c r="Z77" s="2711"/>
      <c r="AA77" s="2779"/>
      <c r="AG77" s="1372"/>
      <c r="AK77" s="2779"/>
    </row>
    <row r="78" spans="1:37" ht="36.6" thickBot="1">
      <c r="A78" s="2869" t="s">
        <v>2964</v>
      </c>
      <c r="B78" s="2873"/>
      <c r="C78" s="2761"/>
      <c r="D78" s="1286">
        <f t="shared" si="21"/>
        <v>0</v>
      </c>
      <c r="E78" s="827"/>
      <c r="F78" s="2492"/>
      <c r="G78" s="1284"/>
      <c r="H78" s="1288" t="str">
        <f t="shared" si="22"/>
        <v>——</v>
      </c>
      <c r="I78" s="824">
        <v>0.04</v>
      </c>
      <c r="J78" s="1285">
        <f t="shared" si="23"/>
        <v>0</v>
      </c>
      <c r="K78" s="1285">
        <f t="shared" si="24"/>
        <v>0</v>
      </c>
      <c r="L78" s="1285">
        <v>0</v>
      </c>
      <c r="M78" s="1285">
        <f t="shared" si="25"/>
        <v>0</v>
      </c>
      <c r="N78" s="1285">
        <f t="shared" si="25"/>
        <v>0</v>
      </c>
      <c r="Z78" s="2711"/>
      <c r="AA78" s="2779"/>
      <c r="AG78" s="1372"/>
      <c r="AK78" s="2779"/>
    </row>
    <row r="79" spans="1:37" ht="14.4">
      <c r="A79" s="2857" t="s">
        <v>2965</v>
      </c>
      <c r="B79" s="2858">
        <f>1+E81</f>
        <v>1</v>
      </c>
      <c r="C79" s="814"/>
      <c r="D79" s="814"/>
      <c r="E79" s="815"/>
      <c r="F79" s="2860"/>
      <c r="G79" s="6"/>
      <c r="H79" s="6"/>
      <c r="I79" s="6"/>
      <c r="J79" s="7"/>
      <c r="K79" s="7"/>
      <c r="L79" s="7"/>
      <c r="M79" s="7"/>
      <c r="N79" s="7"/>
      <c r="Z79" s="2711"/>
      <c r="AA79" s="2779"/>
      <c r="AG79" s="1372"/>
      <c r="AK79" s="2779"/>
    </row>
    <row r="80" spans="1:37" ht="25.2">
      <c r="A80" s="2861" t="s">
        <v>2939</v>
      </c>
      <c r="B80" s="1800"/>
      <c r="C80" s="1800" t="s">
        <v>2941</v>
      </c>
      <c r="D80" s="1800" t="s">
        <v>2942</v>
      </c>
      <c r="E80" s="819" t="s">
        <v>2943</v>
      </c>
      <c r="F80" s="2862" t="s">
        <v>2959</v>
      </c>
      <c r="G80" s="1800" t="s">
        <v>754</v>
      </c>
      <c r="H80" s="2863" t="s">
        <v>2945</v>
      </c>
      <c r="I80" s="1800" t="s">
        <v>2946</v>
      </c>
      <c r="J80" s="603" t="s">
        <v>2596</v>
      </c>
      <c r="K80" s="603" t="s">
        <v>2597</v>
      </c>
      <c r="L80" s="603" t="s">
        <v>2598</v>
      </c>
      <c r="M80" s="603" t="s">
        <v>2599</v>
      </c>
      <c r="N80" s="603" t="s">
        <v>2600</v>
      </c>
      <c r="Z80" s="2711"/>
      <c r="AA80" s="2779"/>
      <c r="AG80" s="1372"/>
      <c r="AK80" s="2779"/>
    </row>
    <row r="81" spans="1:37" ht="39.6">
      <c r="A81" s="2861" t="s">
        <v>2966</v>
      </c>
      <c r="B81" s="2865" t="str">
        <f>估价对象房地状况!G15</f>
        <v>估价对象位于XX开发区，园区建设成熟度XX，产业集聚程度XX</v>
      </c>
      <c r="C81" s="2761"/>
      <c r="D81" s="1286">
        <f t="shared" ref="D81:D88" si="26">SUMIF($J$80:$N$80,C81,J81:N81)</f>
        <v>0</v>
      </c>
      <c r="E81" s="821">
        <f>ROUND(SUM(D81:D88),4)</f>
        <v>0</v>
      </c>
      <c r="F81" s="249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1"/>
      <c r="AA81" s="2779"/>
      <c r="AG81" s="1372"/>
      <c r="AK81" s="2779"/>
    </row>
    <row r="82" spans="1:37" ht="66">
      <c r="A82" s="2861" t="s">
        <v>2948</v>
      </c>
      <c r="B82" s="2865" t="str">
        <f>估价对象房地状况!G16</f>
        <v>估价对象周边道路状况、公共交通通达情况、停车便捷程度，综合评价交通便捷度较好</v>
      </c>
      <c r="C82" s="2761"/>
      <c r="D82" s="1286">
        <f t="shared" si="26"/>
        <v>0</v>
      </c>
      <c r="E82" s="826"/>
      <c r="F82" s="2492"/>
      <c r="G82" s="1284"/>
      <c r="H82" s="1288" t="str">
        <f t="shared" si="27"/>
        <v>——</v>
      </c>
      <c r="I82" s="820">
        <v>0.33</v>
      </c>
      <c r="J82" s="1285">
        <f t="shared" si="28"/>
        <v>0</v>
      </c>
      <c r="K82" s="1285">
        <f t="shared" si="29"/>
        <v>0</v>
      </c>
      <c r="L82" s="1285">
        <v>0</v>
      </c>
      <c r="M82" s="1285">
        <f t="shared" si="30"/>
        <v>0</v>
      </c>
      <c r="N82" s="1285">
        <f t="shared" si="30"/>
        <v>0</v>
      </c>
      <c r="Z82" s="2711"/>
      <c r="AA82" s="2779"/>
      <c r="AG82" s="1372"/>
      <c r="AK82" s="2779"/>
    </row>
    <row r="83" spans="1:37" ht="24">
      <c r="A83" s="2861" t="s">
        <v>2949</v>
      </c>
      <c r="B83" s="2865">
        <f>估价对象房地状况!G17</f>
        <v>0</v>
      </c>
      <c r="C83" s="2761"/>
      <c r="D83" s="1286">
        <f t="shared" si="26"/>
        <v>0</v>
      </c>
      <c r="E83" s="826"/>
      <c r="F83" s="2492"/>
      <c r="G83" s="1284"/>
      <c r="H83" s="1288" t="str">
        <f t="shared" si="27"/>
        <v>——</v>
      </c>
      <c r="I83" s="820">
        <v>0.05</v>
      </c>
      <c r="J83" s="1285">
        <f t="shared" si="28"/>
        <v>0</v>
      </c>
      <c r="K83" s="1285">
        <f t="shared" si="29"/>
        <v>0</v>
      </c>
      <c r="L83" s="1285">
        <v>0</v>
      </c>
      <c r="M83" s="1285">
        <f t="shared" si="30"/>
        <v>0</v>
      </c>
      <c r="N83" s="1285">
        <f t="shared" si="30"/>
        <v>0</v>
      </c>
      <c r="Z83" s="2711"/>
      <c r="AA83" s="2779"/>
      <c r="AG83" s="1372"/>
      <c r="AK83" s="2779"/>
    </row>
    <row r="84" spans="1:37" ht="13.8">
      <c r="A84" s="2861" t="s">
        <v>2963</v>
      </c>
      <c r="B84" s="2865">
        <f>估价对象房地状况!G22</f>
        <v>0</v>
      </c>
      <c r="C84" s="2761"/>
      <c r="D84" s="1286">
        <f t="shared" si="26"/>
        <v>0</v>
      </c>
      <c r="E84" s="826"/>
      <c r="F84" s="2492"/>
      <c r="G84" s="1284"/>
      <c r="H84" s="1288" t="str">
        <f t="shared" si="27"/>
        <v>——</v>
      </c>
      <c r="I84" s="820">
        <v>0.04</v>
      </c>
      <c r="J84" s="1285">
        <f t="shared" si="28"/>
        <v>0</v>
      </c>
      <c r="K84" s="1285">
        <f t="shared" si="29"/>
        <v>0</v>
      </c>
      <c r="L84" s="1285">
        <v>0</v>
      </c>
      <c r="M84" s="1285">
        <f t="shared" si="30"/>
        <v>0</v>
      </c>
      <c r="N84" s="1285">
        <f t="shared" si="30"/>
        <v>0</v>
      </c>
      <c r="Z84" s="2711"/>
      <c r="AA84" s="2779"/>
      <c r="AG84" s="1372"/>
      <c r="AK84" s="2779"/>
    </row>
    <row r="85" spans="1:37" ht="26.4">
      <c r="A85" s="2861" t="s">
        <v>2955</v>
      </c>
      <c r="B85" s="1724" t="str">
        <f>估价对象房地状况!G19</f>
        <v>估价对象所在区域公共配套设施齐备情况</v>
      </c>
      <c r="C85" s="2761"/>
      <c r="D85" s="1286">
        <f t="shared" si="26"/>
        <v>0</v>
      </c>
      <c r="E85" s="826"/>
      <c r="F85" s="2492"/>
      <c r="G85" s="1284"/>
      <c r="H85" s="1288" t="str">
        <f t="shared" si="27"/>
        <v>——</v>
      </c>
      <c r="I85" s="820">
        <v>0.06</v>
      </c>
      <c r="J85" s="1285">
        <f t="shared" si="28"/>
        <v>0</v>
      </c>
      <c r="K85" s="1285">
        <f t="shared" si="29"/>
        <v>0</v>
      </c>
      <c r="L85" s="1285">
        <v>0</v>
      </c>
      <c r="M85" s="1285">
        <f t="shared" si="30"/>
        <v>0</v>
      </c>
      <c r="N85" s="1285">
        <f t="shared" si="30"/>
        <v>0</v>
      </c>
      <c r="Z85" s="2711"/>
      <c r="AA85" s="2779"/>
      <c r="AG85" s="1372"/>
      <c r="AK85" s="2779"/>
    </row>
    <row r="86" spans="1:37" ht="26.4">
      <c r="A86" s="2861" t="s">
        <v>2956</v>
      </c>
      <c r="B86" s="1724" t="str">
        <f>估价对象房地状况!G20</f>
        <v>估价对象所在区域基础设施水平</v>
      </c>
      <c r="C86" s="2761"/>
      <c r="D86" s="1286">
        <f t="shared" si="26"/>
        <v>0</v>
      </c>
      <c r="E86" s="826"/>
      <c r="F86" s="2492"/>
      <c r="G86" s="1284"/>
      <c r="H86" s="1288" t="str">
        <f t="shared" si="27"/>
        <v>——</v>
      </c>
      <c r="I86" s="820">
        <v>0.15</v>
      </c>
      <c r="J86" s="1285">
        <f t="shared" si="28"/>
        <v>0</v>
      </c>
      <c r="K86" s="1285">
        <f t="shared" si="29"/>
        <v>0</v>
      </c>
      <c r="L86" s="1285">
        <v>0</v>
      </c>
      <c r="M86" s="1285">
        <f t="shared" si="30"/>
        <v>0</v>
      </c>
      <c r="N86" s="1285">
        <f t="shared" si="30"/>
        <v>0</v>
      </c>
      <c r="Z86" s="2711"/>
      <c r="AA86" s="2779"/>
      <c r="AG86" s="1372"/>
      <c r="AK86" s="2779"/>
    </row>
    <row r="87" spans="1:37" ht="36">
      <c r="A87" s="2861" t="s">
        <v>2953</v>
      </c>
      <c r="B87" s="2867" t="s">
        <v>2967</v>
      </c>
      <c r="C87" s="2761"/>
      <c r="D87" s="1286">
        <f t="shared" si="26"/>
        <v>0</v>
      </c>
      <c r="E87" s="826"/>
      <c r="F87" s="2492"/>
      <c r="G87" s="1284"/>
      <c r="H87" s="1288" t="str">
        <f t="shared" si="27"/>
        <v>——</v>
      </c>
      <c r="I87" s="820">
        <v>0.05</v>
      </c>
      <c r="J87" s="1285">
        <f t="shared" si="28"/>
        <v>0</v>
      </c>
      <c r="K87" s="1285">
        <f t="shared" si="29"/>
        <v>0</v>
      </c>
      <c r="L87" s="1285">
        <v>0</v>
      </c>
      <c r="M87" s="1285">
        <f t="shared" si="30"/>
        <v>0</v>
      </c>
      <c r="N87" s="1285">
        <f t="shared" si="30"/>
        <v>0</v>
      </c>
      <c r="Z87" s="2711"/>
      <c r="AA87" s="2779"/>
      <c r="AG87" s="1372"/>
      <c r="AK87" s="2779"/>
    </row>
    <row r="88" spans="1:37" ht="53.4" thickBot="1">
      <c r="A88" s="2869" t="s">
        <v>2968</v>
      </c>
      <c r="B88" s="2874" t="str">
        <f>估价对象房地状况!G18</f>
        <v>该园区内是否有污染型企业，绿化情况，卫生条件，整体环境状况判断</v>
      </c>
      <c r="C88" s="2761"/>
      <c r="D88" s="1286">
        <f t="shared" si="26"/>
        <v>0</v>
      </c>
      <c r="E88" s="827"/>
      <c r="F88" s="2492"/>
      <c r="G88" s="1284"/>
      <c r="H88" s="1288" t="str">
        <f t="shared" si="27"/>
        <v>——</v>
      </c>
      <c r="I88" s="824">
        <v>0.06</v>
      </c>
      <c r="J88" s="1285">
        <f t="shared" si="28"/>
        <v>0</v>
      </c>
      <c r="K88" s="1285">
        <f t="shared" si="29"/>
        <v>0</v>
      </c>
      <c r="L88" s="1285">
        <v>0</v>
      </c>
      <c r="M88" s="1285">
        <f t="shared" si="30"/>
        <v>0</v>
      </c>
      <c r="N88" s="1285">
        <f t="shared" si="30"/>
        <v>0</v>
      </c>
      <c r="Z88" s="2711"/>
      <c r="AA88" s="2779"/>
      <c r="AG88" s="1372"/>
      <c r="AK88" s="2779"/>
    </row>
    <row r="90" spans="1:37">
      <c r="A90" s="3301" t="s">
        <v>2969</v>
      </c>
      <c r="B90" s="3301"/>
      <c r="C90" s="3301"/>
      <c r="D90" s="3301"/>
      <c r="E90" s="3301"/>
      <c r="F90" s="3301"/>
      <c r="G90" s="3301"/>
      <c r="H90" s="3301"/>
      <c r="I90" s="3301"/>
      <c r="J90" s="3301"/>
      <c r="K90" s="2875"/>
      <c r="L90" s="2875"/>
      <c r="M90" s="2875"/>
      <c r="N90" s="2875"/>
    </row>
    <row r="91" spans="1:37">
      <c r="A91" s="3303" t="s">
        <v>2970</v>
      </c>
      <c r="B91" s="3303" t="s">
        <v>2971</v>
      </c>
      <c r="C91" s="2829" t="s">
        <v>2972</v>
      </c>
      <c r="D91" s="2830"/>
      <c r="E91" s="2830"/>
      <c r="F91" s="2830"/>
      <c r="G91" s="2830"/>
      <c r="H91" s="2830"/>
      <c r="I91" s="2830"/>
      <c r="J91" s="2876"/>
      <c r="K91" s="2877"/>
      <c r="L91" s="2877"/>
      <c r="M91" s="2877"/>
      <c r="N91" s="2877"/>
    </row>
    <row r="92" spans="1:37">
      <c r="A92" s="3303"/>
      <c r="B92" s="330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04"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0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0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0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0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0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05"/>
      <c r="B99" s="2878" t="s">
        <v>2855</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306"/>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04" t="s">
        <v>2974</v>
      </c>
      <c r="B101" s="2882" t="s">
        <v>2975</v>
      </c>
      <c r="C101" s="2883">
        <f>$G$3</f>
        <v>2.14</v>
      </c>
      <c r="D101" s="2883">
        <f t="shared" ref="D101:N101" si="32">$G$3</f>
        <v>2.14</v>
      </c>
      <c r="E101" s="2883">
        <f t="shared" si="32"/>
        <v>2.14</v>
      </c>
      <c r="F101" s="2883">
        <f t="shared" si="32"/>
        <v>2.14</v>
      </c>
      <c r="G101" s="2883">
        <f t="shared" si="32"/>
        <v>2.14</v>
      </c>
      <c r="H101" s="2883">
        <f t="shared" si="32"/>
        <v>2.14</v>
      </c>
      <c r="I101" s="2883">
        <f t="shared" si="32"/>
        <v>2.14</v>
      </c>
      <c r="J101" s="2883">
        <f t="shared" si="32"/>
        <v>2.14</v>
      </c>
      <c r="K101" s="2883">
        <f t="shared" si="32"/>
        <v>2.14</v>
      </c>
      <c r="L101" s="2883">
        <f t="shared" si="32"/>
        <v>2.14</v>
      </c>
      <c r="M101" s="2883">
        <f t="shared" si="32"/>
        <v>2.14</v>
      </c>
      <c r="N101" s="2883">
        <f t="shared" si="32"/>
        <v>2.14</v>
      </c>
    </row>
    <row r="102" spans="1:14">
      <c r="A102" s="3305"/>
      <c r="B102" s="2878">
        <v>1</v>
      </c>
      <c r="C102" s="2879">
        <f>1.9362/C101</f>
        <v>0.90476635514018677</v>
      </c>
      <c r="D102" s="2879">
        <f>1.9362/D101</f>
        <v>0.90476635514018677</v>
      </c>
      <c r="E102" s="2879">
        <f>1.8629/E101</f>
        <v>0.87051401869158873</v>
      </c>
      <c r="F102" s="2879">
        <f>1.8629/F101</f>
        <v>0.87051401869158873</v>
      </c>
      <c r="G102" s="2879">
        <f>1.8629/G101</f>
        <v>0.87051401869158873</v>
      </c>
      <c r="H102" s="2879">
        <f>1.8629/H101</f>
        <v>0.87051401869158873</v>
      </c>
      <c r="I102" s="2879">
        <f>1.8629/I101</f>
        <v>0.87051401869158873</v>
      </c>
      <c r="J102" s="2879">
        <f>1.942/J101</f>
        <v>0.90747663551401858</v>
      </c>
      <c r="K102" s="2879">
        <f>1.942/K101</f>
        <v>0.90747663551401858</v>
      </c>
      <c r="L102" s="2879">
        <f>1.942/L101</f>
        <v>0.90747663551401858</v>
      </c>
      <c r="M102" s="2879">
        <f>1.942/M101</f>
        <v>0.90747663551401858</v>
      </c>
      <c r="N102" s="2879">
        <f>1.942/N101</f>
        <v>0.90747663551401858</v>
      </c>
    </row>
    <row r="103" spans="1:14">
      <c r="A103" s="3305"/>
      <c r="B103" s="2878">
        <v>2</v>
      </c>
      <c r="C103" s="2879">
        <f>1.4198/C101</f>
        <v>0.66345794392523361</v>
      </c>
      <c r="D103" s="2879">
        <f>1.4198/D101</f>
        <v>0.66345794392523361</v>
      </c>
      <c r="E103" s="2879">
        <f>1.3372/E101</f>
        <v>0.62485981308411209</v>
      </c>
      <c r="F103" s="2879">
        <f>1.3372/F101</f>
        <v>0.62485981308411209</v>
      </c>
      <c r="G103" s="2879">
        <f>1.3372/G101</f>
        <v>0.62485981308411209</v>
      </c>
      <c r="H103" s="2879">
        <f>1.3372/H101</f>
        <v>0.62485981308411209</v>
      </c>
      <c r="I103" s="2879">
        <f>1.3372/I101</f>
        <v>0.62485981308411209</v>
      </c>
      <c r="J103" s="2879">
        <f>1.2799/J101</f>
        <v>0.59808411214953272</v>
      </c>
      <c r="K103" s="2879">
        <f>1.2799/K101</f>
        <v>0.59808411214953272</v>
      </c>
      <c r="L103" s="2879">
        <f>1.2799/L101</f>
        <v>0.59808411214953272</v>
      </c>
      <c r="M103" s="2879">
        <f>1.2799/M101</f>
        <v>0.59808411214953272</v>
      </c>
      <c r="N103" s="2879">
        <f>1.2799/N101</f>
        <v>0.59808411214953272</v>
      </c>
    </row>
    <row r="104" spans="1:14">
      <c r="A104" s="3305"/>
      <c r="B104" s="2878">
        <v>3</v>
      </c>
      <c r="C104" s="2879">
        <f>1.1594/C101</f>
        <v>0.54177570093457939</v>
      </c>
      <c r="D104" s="2879">
        <f>1.1594/D101</f>
        <v>0.54177570093457939</v>
      </c>
      <c r="E104" s="2879">
        <f>1.0788/E101</f>
        <v>0.50411214953271022</v>
      </c>
      <c r="F104" s="2879">
        <f>1.0788/F101</f>
        <v>0.50411214953271022</v>
      </c>
      <c r="G104" s="2879">
        <f>1.0788/G101</f>
        <v>0.50411214953271022</v>
      </c>
      <c r="H104" s="2879">
        <f>1.0788/H101</f>
        <v>0.50411214953271022</v>
      </c>
      <c r="I104" s="2879">
        <f>1.0788/I101</f>
        <v>0.50411214953271022</v>
      </c>
      <c r="J104" s="2879">
        <f>1.0072/J101</f>
        <v>0.47065420560747667</v>
      </c>
      <c r="K104" s="2879">
        <f>1.0072/K101</f>
        <v>0.47065420560747667</v>
      </c>
      <c r="L104" s="2879">
        <f>1.0072/L101</f>
        <v>0.47065420560747667</v>
      </c>
      <c r="M104" s="2879">
        <f>1.0072/M101</f>
        <v>0.47065420560747667</v>
      </c>
      <c r="N104" s="2879">
        <f>1.0072/N101</f>
        <v>0.47065420560747667</v>
      </c>
    </row>
    <row r="105" spans="1:14">
      <c r="A105" s="3305"/>
      <c r="B105" s="2878">
        <v>4</v>
      </c>
      <c r="C105" s="2879">
        <f>0.9622/C101</f>
        <v>0.44962616822429907</v>
      </c>
      <c r="D105" s="2879">
        <f>0.9622/D101</f>
        <v>0.44962616822429907</v>
      </c>
      <c r="E105" s="2879">
        <f>0.8656/E101</f>
        <v>0.40448598130841124</v>
      </c>
      <c r="F105" s="2879">
        <f>0.8656/F101</f>
        <v>0.40448598130841124</v>
      </c>
      <c r="G105" s="2879">
        <f>0.8656/G101</f>
        <v>0.40448598130841124</v>
      </c>
      <c r="H105" s="2879">
        <f>0.8656/H101</f>
        <v>0.40448598130841124</v>
      </c>
      <c r="I105" s="2879">
        <f>0.8656/I101</f>
        <v>0.40448598130841124</v>
      </c>
      <c r="J105" s="2879">
        <f>0.7525/J101</f>
        <v>0.35163551401869153</v>
      </c>
      <c r="K105" s="2879">
        <f>0.7525/K101</f>
        <v>0.35163551401869153</v>
      </c>
      <c r="L105" s="2879">
        <f>0.7525/L101</f>
        <v>0.35163551401869153</v>
      </c>
      <c r="M105" s="2879">
        <f>0.7525/M101</f>
        <v>0.35163551401869153</v>
      </c>
      <c r="N105" s="2879">
        <f>0.7525/N101</f>
        <v>0.35163551401869153</v>
      </c>
    </row>
    <row r="106" spans="1:14">
      <c r="A106" s="3305"/>
      <c r="B106" s="2878">
        <v>5</v>
      </c>
      <c r="C106" s="2879">
        <f>0.8417/C101</f>
        <v>0.39331775700934579</v>
      </c>
      <c r="D106" s="2879">
        <f>0.8417/D101</f>
        <v>0.39331775700934579</v>
      </c>
      <c r="E106" s="2879">
        <f>0.7371/E101</f>
        <v>0.34443925233644856</v>
      </c>
      <c r="F106" s="2879">
        <f>0.7371/F101</f>
        <v>0.34443925233644856</v>
      </c>
      <c r="G106" s="2879">
        <f>0.7371/G101</f>
        <v>0.34443925233644856</v>
      </c>
      <c r="H106" s="2879">
        <f>0.7371/H101</f>
        <v>0.34443925233644856</v>
      </c>
      <c r="I106" s="2879">
        <f>0.7371/I101</f>
        <v>0.34443925233644856</v>
      </c>
      <c r="J106" s="2879">
        <f>0.5659/J101</f>
        <v>0.26443925233644855</v>
      </c>
      <c r="K106" s="2879">
        <f>0.5659/K101</f>
        <v>0.26443925233644855</v>
      </c>
      <c r="L106" s="2879">
        <f>0.5659/L101</f>
        <v>0.26443925233644855</v>
      </c>
      <c r="M106" s="2879">
        <f>0.5659/M101</f>
        <v>0.26443925233644855</v>
      </c>
      <c r="N106" s="2879">
        <f>0.5659/N101</f>
        <v>0.26443925233644855</v>
      </c>
    </row>
    <row r="107" spans="1:14">
      <c r="A107" s="3305"/>
      <c r="B107" s="2878">
        <v>6</v>
      </c>
      <c r="C107" s="2879">
        <f>0.7608/C101</f>
        <v>0.35551401869158877</v>
      </c>
      <c r="D107" s="2879">
        <f>0.7608/D101</f>
        <v>0.35551401869158877</v>
      </c>
      <c r="E107" s="2879">
        <f>0.6482/E101</f>
        <v>0.30289719626168221</v>
      </c>
      <c r="F107" s="2879">
        <f>0.6482/F101</f>
        <v>0.30289719626168221</v>
      </c>
      <c r="G107" s="2879">
        <f>0.6482/G101</f>
        <v>0.30289719626168221</v>
      </c>
      <c r="H107" s="2879">
        <f>0.6482/H101</f>
        <v>0.30289719626168221</v>
      </c>
      <c r="I107" s="2879">
        <f>0.6482/I101</f>
        <v>0.30289719626168221</v>
      </c>
      <c r="J107" s="2879">
        <f>0.4525/J101</f>
        <v>0.2114485981308411</v>
      </c>
      <c r="K107" s="2879">
        <f>0.4525/K101</f>
        <v>0.2114485981308411</v>
      </c>
      <c r="L107" s="2879">
        <f>0.4525/L101</f>
        <v>0.2114485981308411</v>
      </c>
      <c r="M107" s="2879">
        <f>0.4525/M101</f>
        <v>0.2114485981308411</v>
      </c>
      <c r="N107" s="2879">
        <f>0.4525/N101</f>
        <v>0.2114485981308411</v>
      </c>
    </row>
    <row r="108" spans="1:14">
      <c r="A108" s="3305"/>
      <c r="B108" s="3185" t="s">
        <v>2976</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306"/>
      <c r="B109" s="3186"/>
      <c r="C109" s="2881">
        <f>(-0.163*(C108^2)-0.59*C108+7617)*(10^(-4))/C101</f>
        <v>0.3558993925233645</v>
      </c>
      <c r="D109" s="2881">
        <f>(-0.163*(D108^2)-0.59*D108+7617)*(10^(-4))/D101</f>
        <v>0.3558993925233645</v>
      </c>
      <c r="E109" s="2881">
        <f>(-0.161*(E108^2)-7.509*E108+6533)*(10^(-4))/E101</f>
        <v>0.30492196261682242</v>
      </c>
      <c r="F109" s="2881">
        <f>(-0.161*(F108^2)-7.509*F108+6533)*(10^(-4))/F101</f>
        <v>0.30492196261682242</v>
      </c>
      <c r="G109" s="2881">
        <f>(-0.161*(G108^2)-7.509*G108+6533)*(10^(-4))/G101</f>
        <v>0.30492196261682242</v>
      </c>
      <c r="H109" s="2881">
        <f>(-0.161*(H108^2)-7.509*H108+6533)*(10^(-4))/H101</f>
        <v>0.30492196261682242</v>
      </c>
      <c r="I109" s="2881">
        <f>(-0.161*(I108^2)-7.509*I108+6533)*(10^(-4))/I101</f>
        <v>0.30492196261682242</v>
      </c>
      <c r="J109" s="2881">
        <f>(-0.214*(J108^2)-21.991*J108+4665)*(10^(-4))/J101</f>
        <v>0.21695303738317756</v>
      </c>
      <c r="K109" s="2881">
        <f>(-0.214*(K108^2)-21.991*K108+4665)*(10^(-4))/K101</f>
        <v>0.21695303738317756</v>
      </c>
      <c r="L109" s="2881">
        <f>(-0.214*(L108^2)-21.991*L108+4665)*(10^(-4))/L101</f>
        <v>0.21695303738317756</v>
      </c>
      <c r="M109" s="2881">
        <f>(-0.214*(M108^2)-21.991*M108+4665)*(10^(-4))/M101</f>
        <v>0.21695303738317756</v>
      </c>
      <c r="N109" s="2881">
        <f>(-0.214*(N108^2)-21.991*N108+4665)*(10^(-4))/N101</f>
        <v>0.21695303738317756</v>
      </c>
    </row>
    <row r="110" spans="1:14">
      <c r="A110" s="3302" t="s">
        <v>2977</v>
      </c>
      <c r="B110" s="3302"/>
      <c r="C110" s="3302"/>
      <c r="D110" s="3302"/>
      <c r="E110" s="3302"/>
      <c r="F110" s="3302"/>
      <c r="G110" s="3302"/>
      <c r="H110" s="3302"/>
      <c r="I110" s="3302"/>
      <c r="J110" s="3302"/>
      <c r="K110" s="2884"/>
      <c r="L110" s="2884"/>
      <c r="M110" s="2884"/>
      <c r="N110" s="2884"/>
    </row>
    <row r="112" spans="1:14" ht="13.8" thickBot="1"/>
    <row r="113" spans="1:13" ht="25.8" thickBot="1">
      <c r="A113" s="903" t="s">
        <v>2978</v>
      </c>
      <c r="B113" s="1287">
        <f>G3</f>
        <v>2.14</v>
      </c>
      <c r="C113" s="904" t="s">
        <v>2979</v>
      </c>
      <c r="D113" s="905">
        <f>SUMPRODUCT((A115:A118=F113)*(B114:M114=H113)*B115:M118)</f>
        <v>0.73939999999999995</v>
      </c>
      <c r="E113" s="2715" t="s">
        <v>2812</v>
      </c>
      <c r="F113" s="2886" t="str">
        <f>E2</f>
        <v>办公</v>
      </c>
      <c r="G113" s="2715" t="s">
        <v>2813</v>
      </c>
      <c r="H113" s="2886" t="str">
        <f>G2</f>
        <v>九级</v>
      </c>
      <c r="I113" s="2715"/>
      <c r="J113" s="2887"/>
      <c r="K113" s="2887"/>
      <c r="L113" s="2887"/>
      <c r="M113" s="2887"/>
    </row>
    <row r="114" spans="1:13">
      <c r="A114" s="908"/>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9" t="s">
        <v>2877</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4">I115</f>
        <v>0.65580000000000005</v>
      </c>
      <c r="K115" s="910">
        <f t="shared" si="34"/>
        <v>0.65580000000000005</v>
      </c>
      <c r="L115" s="910">
        <f t="shared" si="34"/>
        <v>0.65580000000000005</v>
      </c>
      <c r="M115" s="911">
        <f t="shared" si="34"/>
        <v>0.65580000000000005</v>
      </c>
    </row>
    <row r="116" spans="1:13">
      <c r="A116" s="909" t="s">
        <v>2878</v>
      </c>
      <c r="B116" s="910">
        <f>ROUND(0.949-0.012*B113,4)</f>
        <v>0.92330000000000001</v>
      </c>
      <c r="C116" s="910">
        <f>B116</f>
        <v>0.92330000000000001</v>
      </c>
      <c r="D116" s="910">
        <f>ROUND(0.8567-0.013*B113,4)</f>
        <v>0.82889999999999997</v>
      </c>
      <c r="E116" s="910">
        <f t="shared" ref="E116:H117" si="35">D116</f>
        <v>0.82889999999999997</v>
      </c>
      <c r="F116" s="910">
        <f t="shared" si="35"/>
        <v>0.82889999999999997</v>
      </c>
      <c r="G116" s="910">
        <f t="shared" si="35"/>
        <v>0.82889999999999997</v>
      </c>
      <c r="H116" s="910">
        <f t="shared" si="35"/>
        <v>0.82889999999999997</v>
      </c>
      <c r="I116" s="910">
        <f>ROUND(0.7694-0.014*B113,4)</f>
        <v>0.73939999999999995</v>
      </c>
      <c r="J116" s="910">
        <f t="shared" si="34"/>
        <v>0.73939999999999995</v>
      </c>
      <c r="K116" s="910">
        <f t="shared" si="34"/>
        <v>0.73939999999999995</v>
      </c>
      <c r="L116" s="910">
        <f t="shared" si="34"/>
        <v>0.73939999999999995</v>
      </c>
      <c r="M116" s="911">
        <f t="shared" si="34"/>
        <v>0.73939999999999995</v>
      </c>
    </row>
    <row r="117" spans="1:13">
      <c r="A117" s="909" t="s">
        <v>2879</v>
      </c>
      <c r="B117" s="910">
        <f>ROUND(0.8808-0.006*B113,4)</f>
        <v>0.86799999999999999</v>
      </c>
      <c r="C117" s="910">
        <f>B117</f>
        <v>0.86799999999999999</v>
      </c>
      <c r="D117" s="910">
        <f>ROUND(0.8748-0.008*B113,4)</f>
        <v>0.85770000000000002</v>
      </c>
      <c r="E117" s="910">
        <f t="shared" si="35"/>
        <v>0.85770000000000002</v>
      </c>
      <c r="F117" s="910">
        <f t="shared" si="35"/>
        <v>0.85770000000000002</v>
      </c>
      <c r="G117" s="910">
        <f t="shared" si="35"/>
        <v>0.85770000000000002</v>
      </c>
      <c r="H117" s="910">
        <f t="shared" si="35"/>
        <v>0.85770000000000002</v>
      </c>
      <c r="I117" s="910">
        <f>ROUND(0.7412-0.0095*B113,4)</f>
        <v>0.72089999999999999</v>
      </c>
      <c r="J117" s="910">
        <f t="shared" si="34"/>
        <v>0.72089999999999999</v>
      </c>
      <c r="K117" s="910">
        <f t="shared" si="34"/>
        <v>0.72089999999999999</v>
      </c>
      <c r="L117" s="910">
        <f t="shared" si="34"/>
        <v>0.72089999999999999</v>
      </c>
      <c r="M117" s="911">
        <f t="shared" si="34"/>
        <v>0.72089999999999999</v>
      </c>
    </row>
    <row r="118" spans="1:13" ht="13.8" thickBot="1">
      <c r="A118" s="714" t="s">
        <v>2880</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4"/>
        <v>0.53759999999999997</v>
      </c>
      <c r="K118" s="912">
        <f t="shared" si="34"/>
        <v>0.53759999999999997</v>
      </c>
      <c r="L118" s="912">
        <f t="shared" si="34"/>
        <v>0.53759999999999997</v>
      </c>
      <c r="M118" s="913">
        <f t="shared" si="34"/>
        <v>0.53759999999999997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05" priority="5" stopIfTrue="1" operator="notEqual">
      <formula>"——"</formula>
    </cfRule>
  </conditionalFormatting>
  <conditionalFormatting sqref="F59">
    <cfRule type="cellIs" dxfId="104" priority="4" stopIfTrue="1" operator="notEqual">
      <formula>"——"</formula>
    </cfRule>
  </conditionalFormatting>
  <conditionalFormatting sqref="F70">
    <cfRule type="cellIs" dxfId="103" priority="3" stopIfTrue="1" operator="notEqual">
      <formula>"——"</formula>
    </cfRule>
  </conditionalFormatting>
  <conditionalFormatting sqref="F81">
    <cfRule type="cellIs" dxfId="102" priority="2" stopIfTrue="1" operator="notEqual">
      <formula>"——"</formula>
    </cfRule>
  </conditionalFormatting>
  <conditionalFormatting sqref="H48:H56 H59:H67 H70:H78 H81:H88">
    <cfRule type="cellIs" dxfId="10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3223</v>
      </c>
      <c r="D1" s="1811" t="s">
        <v>70</v>
      </c>
      <c r="E1" s="1812" t="s">
        <v>1381</v>
      </c>
      <c r="F1" s="1283">
        <f ca="1">J53</f>
        <v>45.1</v>
      </c>
      <c r="G1" s="182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301</v>
      </c>
      <c r="C2" s="1836" t="s">
        <v>1510</v>
      </c>
      <c r="D2" s="1836"/>
      <c r="E2" s="1837"/>
      <c r="F2" s="1838"/>
      <c r="G2" s="1839"/>
      <c r="H2" s="1831"/>
      <c r="I2" s="1831"/>
      <c r="J2" s="1831"/>
      <c r="K2" s="1832"/>
      <c r="L2" s="1831"/>
      <c r="M2" s="1831"/>
    </row>
    <row r="3" spans="1:37" ht="18" customHeight="1" thickBot="1">
      <c r="A3" s="1840" t="s">
        <v>1511</v>
      </c>
      <c r="B3" s="1841">
        <f ca="1">IF(ISERROR(B2*10000/F43),0,ROUND(B2*10000/F43,0))</f>
        <v>991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34</v>
      </c>
      <c r="D5" s="1813" t="s">
        <v>1396</v>
      </c>
      <c r="E5" s="1293"/>
      <c r="F5" s="1294"/>
      <c r="G5" s="1842"/>
      <c r="H5" s="344">
        <v>1</v>
      </c>
      <c r="I5" s="345" t="s">
        <v>1395</v>
      </c>
      <c r="J5" s="1292">
        <f ca="1">J6+J10+J12</f>
        <v>0</v>
      </c>
      <c r="K5" s="1813" t="s">
        <v>1396</v>
      </c>
      <c r="L5" s="1293"/>
      <c r="M5" s="1294"/>
    </row>
    <row r="6" spans="1:37" ht="18" customHeight="1">
      <c r="A6" s="1291" t="s">
        <v>1031</v>
      </c>
      <c r="B6" s="3217" t="s">
        <v>1397</v>
      </c>
      <c r="C6" s="1296">
        <f ca="1">ROUND(F6*F8*F7*(1-F9)/10000,0)</f>
        <v>34</v>
      </c>
      <c r="D6" s="164" t="s">
        <v>3028</v>
      </c>
      <c r="E6" s="347" t="s">
        <v>1399</v>
      </c>
      <c r="F6" s="348">
        <f ca="1">INDIRECT("'数据-取费表'!u"&amp;$G$1)</f>
        <v>500</v>
      </c>
      <c r="G6" s="1842"/>
      <c r="H6" s="1291" t="s">
        <v>1031</v>
      </c>
      <c r="I6" s="3217" t="s">
        <v>1397</v>
      </c>
      <c r="J6" s="346">
        <f ca="1">ROUND(M6*M8*M7*(1-M9)/10000,0)</f>
        <v>0</v>
      </c>
      <c r="K6" s="164" t="s">
        <v>3027</v>
      </c>
      <c r="L6" s="347" t="s">
        <v>1399</v>
      </c>
      <c r="M6" s="348">
        <f ca="1">INDIRECT("'数据-取费表'!z"&amp;$G$1)</f>
        <v>0</v>
      </c>
    </row>
    <row r="7" spans="1:37" ht="18" customHeight="1">
      <c r="A7" s="1295"/>
      <c r="B7" s="3218"/>
      <c r="C7" s="1297"/>
      <c r="D7" s="352"/>
      <c r="E7" s="2964" t="s">
        <v>1400</v>
      </c>
      <c r="F7" s="348">
        <f ca="1">IF(INDIRECT("'数据-取费表'!ah"&amp;$G$1)="",INDIRECT("'数据-取费表'!k"&amp;$G$1),INDIRECT("'数据-取费表'!ah"&amp;$G$1))</f>
        <v>63</v>
      </c>
      <c r="G7" s="1842"/>
      <c r="H7" s="349"/>
      <c r="I7" s="3218"/>
      <c r="J7" s="351"/>
      <c r="K7" s="352"/>
      <c r="L7" s="347" t="s">
        <v>1400</v>
      </c>
      <c r="M7" s="348">
        <f ca="1">F7</f>
        <v>63</v>
      </c>
    </row>
    <row r="8" spans="1:37" ht="18" customHeight="1">
      <c r="A8" s="349"/>
      <c r="B8" s="3218"/>
      <c r="C8" s="351"/>
      <c r="D8" s="352"/>
      <c r="E8" s="347" t="s">
        <v>1401</v>
      </c>
      <c r="F8" s="348">
        <f ca="1">INDIRECT("'数据-取费表'!ai"&amp;$G$1)</f>
        <v>12</v>
      </c>
      <c r="G8" s="1842"/>
      <c r="H8" s="349"/>
      <c r="I8" s="3218"/>
      <c r="J8" s="351"/>
      <c r="K8" s="352"/>
      <c r="L8" s="347" t="s">
        <v>1401</v>
      </c>
      <c r="M8" s="348">
        <f ca="1">INDIRECT("'数据-取费表'!ai"&amp;$G$1)</f>
        <v>12</v>
      </c>
    </row>
    <row r="9" spans="1:37" ht="18" customHeight="1">
      <c r="A9" s="349"/>
      <c r="B9" s="3219"/>
      <c r="C9" s="351"/>
      <c r="D9" s="352"/>
      <c r="E9" s="347" t="s">
        <v>1402</v>
      </c>
      <c r="F9" s="357">
        <f ca="1">INDIRECT("'数据-取费表'!w"&amp;$G$1)</f>
        <v>0.1</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3035</v>
      </c>
      <c r="E10" s="358" t="s">
        <v>1404</v>
      </c>
      <c r="F10" s="1366" t="s">
        <v>3114</v>
      </c>
      <c r="G10" s="1842"/>
      <c r="H10" s="1291" t="s">
        <v>1035</v>
      </c>
      <c r="I10" s="1814" t="s">
        <v>1403</v>
      </c>
      <c r="J10" s="346">
        <f ca="1">ROUND(IF(M10="押一",J6/12*M11,IF(M10="押二",J6/12*2*M11,IF(M10="押三",J6/12*3*M11,J11*M11))),0)</f>
        <v>0</v>
      </c>
      <c r="K10" s="1815" t="s">
        <v>3035</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1116</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855</v>
      </c>
      <c r="D14" s="2958" t="s">
        <v>1412</v>
      </c>
      <c r="E14" s="2956"/>
      <c r="F14" s="364"/>
      <c r="G14" s="1842"/>
      <c r="H14" s="1201" t="s">
        <v>1031</v>
      </c>
      <c r="I14" s="347" t="s">
        <v>1413</v>
      </c>
      <c r="J14" s="24">
        <f ca="1">C29</f>
        <v>1175</v>
      </c>
      <c r="K14" s="2963"/>
      <c r="L14" s="979"/>
      <c r="M14" s="980"/>
    </row>
    <row r="15" spans="1:37" s="1849" customFormat="1" ht="18" customHeight="1" thickBot="1">
      <c r="A15" s="1201" t="s">
        <v>1032</v>
      </c>
      <c r="B15" s="347" t="s">
        <v>1414</v>
      </c>
      <c r="C15" s="24">
        <f ca="1">ROUND(C14*F15,0)</f>
        <v>43</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22</v>
      </c>
      <c r="K16" s="1337" t="s">
        <v>1419</v>
      </c>
      <c r="L16" s="2959"/>
      <c r="M16" s="1294"/>
    </row>
    <row r="17" spans="1:37" s="1849" customFormat="1" ht="18" customHeight="1">
      <c r="A17" s="1201" t="s">
        <v>1384</v>
      </c>
      <c r="B17" s="347" t="s">
        <v>1420</v>
      </c>
      <c r="C17" s="24">
        <f ca="1">ROUND(F17*(F43+INDIRECT("'数据-取费表'!S"&amp;$G$1))/10000,0)</f>
        <v>61</v>
      </c>
      <c r="D17" s="347" t="s">
        <v>1421</v>
      </c>
      <c r="E17" s="347" t="s">
        <v>1422</v>
      </c>
      <c r="F17" s="26">
        <f>'数据-取费表'!B35</f>
        <v>200</v>
      </c>
      <c r="G17" s="1845"/>
      <c r="H17" s="1201" t="s">
        <v>1031</v>
      </c>
      <c r="I17" s="347" t="s">
        <v>1423</v>
      </c>
      <c r="J17" s="24">
        <f ca="1">ROUND(IF(项目基本情况!B11="自然人",J6*M17/(1+'数据-取费表'!C42),J18+J19+J20),1)</f>
        <v>10</v>
      </c>
      <c r="K17" s="2958"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13</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972</v>
      </c>
      <c r="D19" s="140" t="s">
        <v>1430</v>
      </c>
      <c r="E19" s="2962"/>
      <c r="F19" s="26"/>
      <c r="G19" s="1842"/>
      <c r="H19" s="1201" t="s">
        <v>1032</v>
      </c>
      <c r="I19" s="347" t="s">
        <v>1431</v>
      </c>
      <c r="J19" s="24">
        <f ca="1">IF(K19="按租金收入计税",ROUND(J6*M19/(1+'数据-取费表'!C42),2),ROUND(C29*M19*0.7,2))</f>
        <v>9.8699999999999992</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19</v>
      </c>
      <c r="D20" s="369" t="s">
        <v>1434</v>
      </c>
      <c r="E20" s="347" t="s">
        <v>1416</v>
      </c>
      <c r="F20" s="367">
        <f>'数据-取费表'!B37</f>
        <v>0.02</v>
      </c>
      <c r="G20" s="1845"/>
      <c r="H20" s="1201" t="s">
        <v>1383</v>
      </c>
      <c r="I20" s="164" t="s">
        <v>1435</v>
      </c>
      <c r="J20" s="25">
        <f ca="1">ROUND(M20*M21/10000,2)</f>
        <v>0.12</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829.88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2"/>
      <c r="F22" s="26"/>
      <c r="G22" s="1842"/>
      <c r="H22" s="1201" t="s">
        <v>1035</v>
      </c>
      <c r="I22" s="347" t="s">
        <v>1443</v>
      </c>
      <c r="J22" s="24">
        <f ca="1">ROUND(J14*M22,1)</f>
        <v>11.8</v>
      </c>
      <c r="K22" s="2957" t="s">
        <v>1444</v>
      </c>
      <c r="L22" s="347" t="s">
        <v>1416</v>
      </c>
      <c r="M22" s="374">
        <f ca="1">INDIRECT("'数据-取费表'!Ak"&amp;$G$1)</f>
        <v>0.01</v>
      </c>
    </row>
    <row r="23" spans="1:37" s="1849" customFormat="1" ht="18" customHeight="1">
      <c r="A23" s="1201" t="s">
        <v>1030</v>
      </c>
      <c r="B23" s="347" t="s">
        <v>1445</v>
      </c>
      <c r="C23" s="24">
        <f ca="1">IF('数据-取费表'!B22&lt;=1,ROUND(C19*F24*F23/2,0)+ROUND(C20*F24*F23/2,0),ROUND(C19*(POWER((1+F24),F23/2)-1),0)+ROUND(C20*(POWER((1+F24),F23/2)-1),0))</f>
        <v>47</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57"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2"/>
      <c r="F25" s="26"/>
      <c r="G25" s="1842"/>
      <c r="H25" s="1329" t="s">
        <v>1027</v>
      </c>
      <c r="I25" s="1344" t="s">
        <v>1457</v>
      </c>
      <c r="J25" s="355">
        <f ca="1">J5-J16</f>
        <v>-22</v>
      </c>
      <c r="K25" s="1345" t="s">
        <v>1458</v>
      </c>
      <c r="L25" s="1346"/>
      <c r="M25" s="1347"/>
    </row>
    <row r="26" spans="1:37">
      <c r="A26" s="1201" t="s">
        <v>1030</v>
      </c>
      <c r="B26" s="347" t="s">
        <v>1459</v>
      </c>
      <c r="C26" s="24">
        <f ca="1">ROUND((C19+C20)*F26,0)</f>
        <v>50</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1175</v>
      </c>
      <c r="D29" s="1342"/>
      <c r="E29" s="1340"/>
      <c r="F29" s="1343"/>
      <c r="G29" s="1845"/>
      <c r="H29" s="380" t="s">
        <v>1029</v>
      </c>
      <c r="I29" s="381" t="s">
        <v>1473</v>
      </c>
      <c r="J29" s="382">
        <f ca="1">ROUND(J26/(1+F40)^F41,0)</f>
        <v>0</v>
      </c>
      <c r="K29" s="383" t="s">
        <v>1474</v>
      </c>
      <c r="L29" s="384"/>
      <c r="M29" s="385">
        <f ca="1">INDIRECT("'数据-取费表'!k"&amp;$G$1)</f>
        <v>3037.37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20</v>
      </c>
      <c r="D30" s="1337" t="s">
        <v>1419</v>
      </c>
      <c r="E30" s="2959"/>
      <c r="F30" s="1294"/>
      <c r="G30" s="1842"/>
      <c r="H30" s="745"/>
      <c r="I30" s="746"/>
      <c r="J30" s="747"/>
      <c r="K30" s="748"/>
      <c r="L30" s="749"/>
      <c r="M30" s="750"/>
    </row>
    <row r="31" spans="1:37" ht="18" customHeight="1">
      <c r="A31" s="1201" t="s">
        <v>1031</v>
      </c>
      <c r="B31" s="347" t="s">
        <v>1423</v>
      </c>
      <c r="C31" s="24">
        <f ca="1">ROUND(IF(项目基本情况!B11="自然人",C6*F31/(1+'数据-取费表'!C42),C32+C33+C34),1)</f>
        <v>5.8</v>
      </c>
      <c r="D31" s="2958"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1.78</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3.89</v>
      </c>
      <c r="D33" s="1819" t="s">
        <v>3110</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0.12</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829.88</v>
      </c>
      <c r="G35" s="1842"/>
      <c r="H35" s="745"/>
      <c r="I35" s="1851"/>
      <c r="J35" s="1852"/>
      <c r="K35" s="1853"/>
      <c r="L35" s="1850"/>
      <c r="M35" s="1850"/>
    </row>
    <row r="36" spans="1:18" ht="18" customHeight="1">
      <c r="A36" s="1352" t="s">
        <v>1035</v>
      </c>
      <c r="B36" s="347" t="s">
        <v>1443</v>
      </c>
      <c r="C36" s="24">
        <f ca="1">ROUND(C29*F36,1)</f>
        <v>11.8</v>
      </c>
      <c r="D36" s="2957" t="s">
        <v>1476</v>
      </c>
      <c r="E36" s="347" t="s">
        <v>1416</v>
      </c>
      <c r="F36" s="374">
        <f ca="1">INDIRECT("'数据-取费表'!Ak"&amp;$G$1)</f>
        <v>0.01</v>
      </c>
      <c r="G36" s="1842"/>
      <c r="H36" s="1850"/>
      <c r="I36" s="1851"/>
      <c r="J36" s="1852"/>
      <c r="K36" s="751"/>
      <c r="L36" s="1850"/>
      <c r="M36" s="1850"/>
    </row>
    <row r="37" spans="1:18" ht="18" customHeight="1">
      <c r="A37" s="1201" t="s">
        <v>1071</v>
      </c>
      <c r="B37" s="347" t="s">
        <v>1447</v>
      </c>
      <c r="C37" s="24">
        <f ca="1">ROUND(C13*F37,1)</f>
        <v>1.7</v>
      </c>
      <c r="D37" s="2957" t="s">
        <v>1448</v>
      </c>
      <c r="E37" s="347" t="s">
        <v>1449</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0.3</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1457</v>
      </c>
      <c r="C39" s="355">
        <f ca="1">C5-C30</f>
        <v>14</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289</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951</v>
      </c>
      <c r="D43" s="383" t="s">
        <v>1482</v>
      </c>
      <c r="E43" s="384" t="s">
        <v>1483</v>
      </c>
      <c r="F43" s="385">
        <f ca="1">INDIRECT("'数据-取费表'!k"&amp;$G$1)</f>
        <v>3037.37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-2143</v>
      </c>
      <c r="D46" s="1863" t="str">
        <f>C2</f>
        <v>万元</v>
      </c>
      <c r="E46" s="1857"/>
      <c r="F46" s="1857"/>
      <c r="I46" s="1864" t="s">
        <v>1515</v>
      </c>
      <c r="J46" s="1865"/>
      <c r="K46" s="1866"/>
      <c r="L46" s="1867">
        <f ca="1">IF(M47="住宅",0,IF(L48&gt;J51,L60,J60))</f>
        <v>12</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3111</v>
      </c>
      <c r="K47" s="1873" t="s">
        <v>1521</v>
      </c>
      <c r="L47" s="1874">
        <f ca="1">INDIRECT("'数据-取费表'!d"&amp;$G$1)</f>
        <v>50</v>
      </c>
      <c r="M47" s="1829" t="str">
        <f>IF(ISNUMBER(FIND("住宅",C1)),"住宅","非住宅")</f>
        <v>非住宅</v>
      </c>
      <c r="O47" s="1875" t="s">
        <v>1036</v>
      </c>
      <c r="P47" s="1876" t="s">
        <v>1522</v>
      </c>
      <c r="Q47" s="1877">
        <f ca="1">C40+J29</f>
        <v>289</v>
      </c>
      <c r="R47" s="1877" t="s">
        <v>1523</v>
      </c>
    </row>
    <row r="48" spans="1:18" s="1833" customFormat="1" ht="40.200000000000003" thickBot="1">
      <c r="A48" s="1360" t="s">
        <v>1131</v>
      </c>
      <c r="B48" s="345" t="s">
        <v>1395</v>
      </c>
      <c r="C48" s="2961">
        <f ca="1">C49+C53+C55</f>
        <v>0</v>
      </c>
      <c r="D48" s="1362"/>
      <c r="E48" s="1363"/>
      <c r="F48" s="1181"/>
      <c r="G48" s="792"/>
      <c r="H48" s="793"/>
      <c r="I48" s="1878" t="s">
        <v>1524</v>
      </c>
      <c r="J48" s="1879" t="s">
        <v>3112</v>
      </c>
      <c r="K48" s="1880" t="s">
        <v>1525</v>
      </c>
      <c r="L48" s="1881">
        <f ca="1">INDIRECT("'数据-取费表'!f"&amp;$G$1)</f>
        <v>45.1</v>
      </c>
      <c r="O48" s="1875" t="s">
        <v>1037</v>
      </c>
      <c r="P48" s="1876" t="s">
        <v>1526</v>
      </c>
      <c r="Q48" s="1877">
        <f ca="1">J60</f>
        <v>12</v>
      </c>
      <c r="R48" s="1877" t="s">
        <v>1527</v>
      </c>
    </row>
    <row r="49" spans="1:18" s="1833" customFormat="1" ht="13.8" thickBot="1">
      <c r="A49" s="1194" t="s">
        <v>1132</v>
      </c>
      <c r="B49" s="1820" t="s">
        <v>1484</v>
      </c>
      <c r="C49" s="1364">
        <f ca="1">ROUND(F49*F51*F50*(1-F52)/10000,0)</f>
        <v>0</v>
      </c>
      <c r="D49" s="1276" t="s">
        <v>3027</v>
      </c>
      <c r="E49" s="1821" t="s">
        <v>1485</v>
      </c>
      <c r="F49" s="1281"/>
      <c r="G49" s="1882"/>
      <c r="H49" s="793"/>
      <c r="I49" s="1878" t="s">
        <v>1528</v>
      </c>
      <c r="J49" s="1883">
        <v>2017</v>
      </c>
      <c r="K49" s="1880" t="s">
        <v>1529</v>
      </c>
      <c r="L49" s="1884"/>
      <c r="O49" s="1885" t="s">
        <v>1038</v>
      </c>
      <c r="P49" s="1876" t="s">
        <v>1530</v>
      </c>
      <c r="Q49" s="1877">
        <f ca="1">C29</f>
        <v>1175</v>
      </c>
      <c r="R49" s="1877" t="s">
        <v>1523</v>
      </c>
    </row>
    <row r="50" spans="1:18" s="1833" customFormat="1" ht="13.8" thickBot="1">
      <c r="A50" s="1195"/>
      <c r="B50" s="1198"/>
      <c r="C50" s="1368"/>
      <c r="D50" s="1172"/>
      <c r="E50" s="1277" t="s">
        <v>1400</v>
      </c>
      <c r="F50" s="1278">
        <f ca="1">F7</f>
        <v>63</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12</v>
      </c>
      <c r="I51" s="1889" t="s">
        <v>1534</v>
      </c>
      <c r="J51" s="1890">
        <f>IF(J49="",J50,J49+J50-YEAR('数据-取费表'!B2))</f>
        <v>57</v>
      </c>
      <c r="K51" s="1891" t="s">
        <v>1535</v>
      </c>
      <c r="L51" s="1892">
        <f ca="1">ROUND(-PV(INDIRECT("'数据-取费表'!h"&amp;$G$1),J51,(C39-C13*C76),0),0)</f>
        <v>-1367</v>
      </c>
      <c r="M51" s="1893"/>
      <c r="O51" s="1885" t="s">
        <v>1040</v>
      </c>
      <c r="P51" s="1876" t="s">
        <v>1536</v>
      </c>
      <c r="Q51" s="1888">
        <f>J52</f>
        <v>8.5000000000000006E-2</v>
      </c>
      <c r="R51" s="1877"/>
    </row>
    <row r="52" spans="1:18" s="1833" customFormat="1" ht="13.8"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36.6" thickBot="1">
      <c r="A53" s="1405" t="s">
        <v>1133</v>
      </c>
      <c r="B53" s="1822" t="s">
        <v>1403</v>
      </c>
      <c r="C53" s="361">
        <f ca="1">ROUND(IF(F53="押一",C49/12*F11,IF(F53="押二",C49/12*2*F11,IF(F53="押三",C49/12*3*F11,C54*F11))),0)</f>
        <v>0</v>
      </c>
      <c r="D53" s="1815" t="s">
        <v>3035</v>
      </c>
      <c r="E53" s="358" t="s">
        <v>1404</v>
      </c>
      <c r="F53" s="1366"/>
      <c r="I53" s="1896" t="s">
        <v>1541</v>
      </c>
      <c r="J53" s="2940">
        <f ca="1">IF(M47="住宅",IF(D1="——",MAX(J51,L48),MAX(J51,L48-'数据-取费表'!B24)),IF(D1="——",MIN(J51,L48),MIN(J51,L48-'数据-取费表'!B24)))</f>
        <v>45.1</v>
      </c>
      <c r="K53" s="3220" t="s">
        <v>1542</v>
      </c>
      <c r="L53" s="3221"/>
      <c r="O53" s="1875" t="s">
        <v>1042</v>
      </c>
      <c r="P53" s="1876" t="s">
        <v>1543</v>
      </c>
      <c r="Q53" s="1877">
        <f ca="1">Q47+Q48</f>
        <v>301</v>
      </c>
      <c r="R53" s="1877" t="s">
        <v>1043</v>
      </c>
    </row>
    <row r="54" spans="1:18" s="1833" customFormat="1" ht="24.6" thickBot="1">
      <c r="A54" s="1406"/>
      <c r="B54" s="1816" t="s">
        <v>1382</v>
      </c>
      <c r="C54" s="1178"/>
      <c r="D54" s="1815"/>
      <c r="E54" s="296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60"/>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1116</v>
      </c>
      <c r="D56" s="1904"/>
      <c r="E56" s="1905"/>
      <c r="F56" s="1897"/>
      <c r="I56" s="1906" t="s">
        <v>1548</v>
      </c>
      <c r="J56" s="1907" t="s">
        <v>3113</v>
      </c>
      <c r="K56" s="1878" t="s">
        <v>1549</v>
      </c>
      <c r="L56" s="1881" t="str">
        <f ca="1">IF(L48&lt;J51,"——",L48-J53)</f>
        <v>——</v>
      </c>
      <c r="O56" s="1875" t="s">
        <v>1036</v>
      </c>
      <c r="P56" s="1876" t="s">
        <v>1522</v>
      </c>
      <c r="Q56" s="1877">
        <f ca="1">C40+J29</f>
        <v>289</v>
      </c>
      <c r="R56" s="1877" t="s">
        <v>1523</v>
      </c>
    </row>
    <row r="57" spans="1:18" s="1833" customFormat="1" ht="24.6" thickBot="1">
      <c r="A57" s="1908"/>
      <c r="B57" s="1169" t="s">
        <v>1472</v>
      </c>
      <c r="C57" s="282">
        <f ca="1">C29</f>
        <v>1175</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112</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98.8</v>
      </c>
      <c r="D59" s="1182" t="s">
        <v>1424</v>
      </c>
      <c r="E59" s="1183" t="s">
        <v>1425</v>
      </c>
      <c r="F59" s="368" t="str">
        <f ca="1">IF(项目基本情况!B11="企业","",IF(INDIRECT("'数据-取费表'!c"&amp;$G$1)="住宅",5%,IF(F49*F50*F51/12/(1+'数据-取费表'!C42)&gt;20000,12%,7%)))</f>
        <v/>
      </c>
      <c r="I59" s="1912" t="s">
        <v>1557</v>
      </c>
      <c r="J59" s="1913">
        <f ca="1">IF(OR(M47="住宅",J51&lt;L48,J56="是"),"——",ROUND(C29*J58,0))</f>
        <v>470</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12</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98.7</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0.12</v>
      </c>
      <c r="D62" s="1184" t="s">
        <v>1491</v>
      </c>
      <c r="E62" s="1169" t="s">
        <v>1437</v>
      </c>
      <c r="F62" s="371">
        <f t="shared" si="0"/>
        <v>1.5</v>
      </c>
      <c r="I62" s="1919" t="s">
        <v>1564</v>
      </c>
      <c r="J62" s="1920" t="s">
        <v>1565</v>
      </c>
      <c r="K62" s="1920" t="s">
        <v>1566</v>
      </c>
      <c r="L62" s="1920" t="s">
        <v>1567</v>
      </c>
      <c r="M62" s="1921" t="s">
        <v>1568</v>
      </c>
      <c r="O62" s="1875" t="s">
        <v>1042</v>
      </c>
      <c r="P62" s="1876" t="s">
        <v>1543</v>
      </c>
      <c r="Q62" s="1877">
        <f ca="1">Q56+Q57</f>
        <v>289</v>
      </c>
      <c r="R62" s="1877" t="s">
        <v>1043</v>
      </c>
    </row>
    <row r="63" spans="1:18" s="1833" customFormat="1" ht="13.8" thickBot="1">
      <c r="A63" s="372"/>
      <c r="B63" s="1175"/>
      <c r="C63" s="29"/>
      <c r="D63" s="1185"/>
      <c r="E63" s="1169" t="s">
        <v>1493</v>
      </c>
      <c r="F63" s="348">
        <f t="shared" ca="1" si="0"/>
        <v>829.88</v>
      </c>
      <c r="I63" s="1919" t="s">
        <v>1570</v>
      </c>
      <c r="J63" s="1920">
        <v>70</v>
      </c>
      <c r="K63" s="1920">
        <v>50</v>
      </c>
      <c r="L63" s="1920">
        <v>80</v>
      </c>
      <c r="M63" s="1922">
        <v>0.02</v>
      </c>
      <c r="O63" s="1860" t="s">
        <v>1571</v>
      </c>
      <c r="P63" s="1830"/>
      <c r="Q63" s="1830"/>
      <c r="R63" s="1830"/>
    </row>
    <row r="64" spans="1:18" s="1833" customFormat="1" ht="13.8" thickBot="1">
      <c r="A64" s="1201" t="s">
        <v>1035</v>
      </c>
      <c r="B64" s="1169" t="s">
        <v>1495</v>
      </c>
      <c r="C64" s="24">
        <f ca="1">ROUND(C57*F64,1)</f>
        <v>11.8</v>
      </c>
      <c r="D64" s="1183" t="s">
        <v>1496</v>
      </c>
      <c r="E64" s="1169" t="s">
        <v>1488</v>
      </c>
      <c r="F64" s="374">
        <f t="shared" ca="1" si="0"/>
        <v>0.01</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1.7</v>
      </c>
      <c r="D65" s="1183" t="s">
        <v>1448</v>
      </c>
      <c r="E65" s="1169" t="s">
        <v>1449</v>
      </c>
      <c r="F65" s="376">
        <f t="shared" ca="1" si="0"/>
        <v>1.5E-3</v>
      </c>
      <c r="I65" s="1919" t="s">
        <v>1573</v>
      </c>
      <c r="J65" s="1920">
        <v>40</v>
      </c>
      <c r="K65" s="1920">
        <v>30</v>
      </c>
      <c r="L65" s="1920">
        <v>50</v>
      </c>
      <c r="M65" s="1922">
        <v>0.02</v>
      </c>
      <c r="O65" s="1875" t="s">
        <v>1036</v>
      </c>
      <c r="P65" s="1876" t="s">
        <v>1522</v>
      </c>
      <c r="Q65" s="1877">
        <f ca="1">C40+J29</f>
        <v>289</v>
      </c>
      <c r="R65" s="1877" t="s">
        <v>1523</v>
      </c>
    </row>
    <row r="66" spans="1:18" s="1833" customFormat="1" ht="16.2" thickBot="1">
      <c r="A66" s="1201" t="s">
        <v>1498</v>
      </c>
      <c r="B66" s="1169" t="s">
        <v>1433</v>
      </c>
      <c r="C66" s="24">
        <f ca="1">ROUND(C48*F66,1)</f>
        <v>0</v>
      </c>
      <c r="D66" s="1183" t="s">
        <v>1453</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-112</v>
      </c>
      <c r="D67" s="1182" t="s">
        <v>1458</v>
      </c>
      <c r="E67" s="1187"/>
      <c r="F67" s="1188"/>
      <c r="O67" s="1885" t="s">
        <v>1038</v>
      </c>
      <c r="P67" s="1876" t="s">
        <v>1556</v>
      </c>
      <c r="Q67" s="1923">
        <f ca="1">L51</f>
        <v>-1367</v>
      </c>
      <c r="R67" s="1877" t="s">
        <v>1576</v>
      </c>
    </row>
    <row r="68" spans="1:18" s="1833" customFormat="1" ht="16.2" thickBot="1">
      <c r="A68" s="1166" t="s">
        <v>1028</v>
      </c>
      <c r="B68" s="1167" t="s">
        <v>1479</v>
      </c>
      <c r="C68" s="346">
        <f ca="1">ROUND(C67*(1-((1+F70)/(1+F68))^F69)/(F68-F70),0)</f>
        <v>-1854</v>
      </c>
      <c r="D68" s="1184" t="s">
        <v>1463</v>
      </c>
      <c r="E68" s="1169" t="s">
        <v>1464</v>
      </c>
      <c r="F68" s="357">
        <f ca="1">F40</f>
        <v>5.5E-2</v>
      </c>
      <c r="O68" s="1885" t="s">
        <v>1039</v>
      </c>
      <c r="P68" s="1924" t="s">
        <v>1577</v>
      </c>
      <c r="Q68" s="1877">
        <f ca="1">ROUND(Q69-Q70*Q71,0)</f>
        <v>-75</v>
      </c>
      <c r="R68" s="1877" t="s">
        <v>1047</v>
      </c>
    </row>
    <row r="69" spans="1:18" s="1833" customFormat="1" ht="13.8" thickBot="1">
      <c r="A69" s="1170"/>
      <c r="B69" s="1171"/>
      <c r="C69" s="351"/>
      <c r="D69" s="1189" t="s">
        <v>1467</v>
      </c>
      <c r="E69" s="1169" t="s">
        <v>1468</v>
      </c>
      <c r="F69" s="379">
        <f ca="1">F41</f>
        <v>45.1</v>
      </c>
      <c r="O69" s="1885" t="s">
        <v>1044</v>
      </c>
      <c r="P69" s="1924" t="s">
        <v>1578</v>
      </c>
      <c r="Q69" s="1877">
        <f ca="1">C39</f>
        <v>14</v>
      </c>
      <c r="R69" s="1877" t="s">
        <v>1523</v>
      </c>
    </row>
    <row r="70" spans="1:18" s="1833" customFormat="1" ht="13.8" thickBot="1">
      <c r="A70" s="1173"/>
      <c r="B70" s="1174"/>
      <c r="C70" s="355"/>
      <c r="D70" s="1185"/>
      <c r="E70" s="1169" t="s">
        <v>1471</v>
      </c>
      <c r="F70" s="1275"/>
      <c r="O70" s="1885" t="s">
        <v>1045</v>
      </c>
      <c r="P70" s="1924" t="s">
        <v>1579</v>
      </c>
      <c r="Q70" s="1877">
        <f ca="1">C13</f>
        <v>1116</v>
      </c>
      <c r="R70" s="1877" t="s">
        <v>1523</v>
      </c>
    </row>
    <row r="71" spans="1:18" s="1833" customFormat="1" ht="13.8" thickBot="1">
      <c r="A71" s="1190" t="s">
        <v>1029</v>
      </c>
      <c r="B71" s="1191" t="s">
        <v>1481</v>
      </c>
      <c r="C71" s="382">
        <f ca="1">ROUND(C68*10000/F71,0)</f>
        <v>-6104</v>
      </c>
      <c r="D71" s="1192" t="s">
        <v>1482</v>
      </c>
      <c r="E71" s="1193" t="s">
        <v>1483</v>
      </c>
      <c r="F71" s="385">
        <f ca="1">F43</f>
        <v>3037.37</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89</v>
      </c>
      <c r="D75" s="1833"/>
      <c r="E75" s="1833"/>
      <c r="F75" s="1833"/>
      <c r="K75" s="1859"/>
      <c r="L75" s="1833"/>
      <c r="O75" s="1875" t="s">
        <v>1042</v>
      </c>
      <c r="P75" s="1876" t="s">
        <v>1543</v>
      </c>
      <c r="Q75" s="1877">
        <f ca="1">Q65+Q66</f>
        <v>289</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-5.3570000000000002</v>
      </c>
    </row>
    <row r="80" spans="1:18">
      <c r="B80" s="386" t="s">
        <v>1505</v>
      </c>
      <c r="C80" s="318">
        <f ca="1">ROUND(C75/C39,3)</f>
        <v>6.3570000000000002</v>
      </c>
    </row>
    <row r="81" spans="2:3">
      <c r="B81" s="314" t="s">
        <v>1506</v>
      </c>
      <c r="C81" s="282"/>
    </row>
    <row r="82" spans="2:3">
      <c r="B82" s="317" t="s">
        <v>1507</v>
      </c>
      <c r="C82" s="319">
        <f ca="1">1-C83</f>
        <v>-2.8620000000000001</v>
      </c>
    </row>
    <row r="83" spans="2:3">
      <c r="B83" s="317" t="s">
        <v>1508</v>
      </c>
      <c r="C83" s="318">
        <f ca="1">ROUND(C13/C40,3)</f>
        <v>3.8620000000000001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3221</v>
      </c>
      <c r="D1" s="1811" t="s">
        <v>70</v>
      </c>
      <c r="E1" s="1812" t="s">
        <v>1381</v>
      </c>
      <c r="F1" s="1283">
        <f ca="1">J53</f>
        <v>45.1</v>
      </c>
      <c r="G1" s="182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587</v>
      </c>
      <c r="C2" s="1836" t="s">
        <v>1510</v>
      </c>
      <c r="D2" s="1836"/>
      <c r="E2" s="1837"/>
      <c r="F2" s="1838"/>
      <c r="G2" s="1839"/>
      <c r="H2" s="1831"/>
      <c r="I2" s="1831"/>
      <c r="J2" s="1831"/>
      <c r="K2" s="1832"/>
      <c r="L2" s="1831"/>
      <c r="M2" s="1831"/>
    </row>
    <row r="3" spans="1:37" ht="18" customHeight="1" thickBot="1">
      <c r="A3" s="1840" t="s">
        <v>1511</v>
      </c>
      <c r="B3" s="1841">
        <f ca="1">IF(ISERROR(B2*10000/F43),0,ROUND(B2*10000/F43,0))</f>
        <v>559</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165</v>
      </c>
      <c r="D5" s="1813" t="s">
        <v>1396</v>
      </c>
      <c r="E5" s="1293"/>
      <c r="F5" s="1294"/>
      <c r="G5" s="1842"/>
      <c r="H5" s="344">
        <v>1</v>
      </c>
      <c r="I5" s="345" t="s">
        <v>1395</v>
      </c>
      <c r="J5" s="1292">
        <f ca="1">J6+J10+J12</f>
        <v>0</v>
      </c>
      <c r="K5" s="1813" t="s">
        <v>1396</v>
      </c>
      <c r="L5" s="1293"/>
      <c r="M5" s="1294"/>
    </row>
    <row r="6" spans="1:37" ht="18" customHeight="1">
      <c r="A6" s="1291" t="s">
        <v>1031</v>
      </c>
      <c r="B6" s="3217" t="s">
        <v>1397</v>
      </c>
      <c r="C6" s="1296">
        <f ca="1">ROUND(F6*F8*F7*(1-F9)/10000,0)</f>
        <v>165</v>
      </c>
      <c r="D6" s="164" t="s">
        <v>3028</v>
      </c>
      <c r="E6" s="347" t="s">
        <v>1399</v>
      </c>
      <c r="F6" s="348">
        <f ca="1">INDIRECT("'数据-取费表'!u"&amp;$G$1)</f>
        <v>400</v>
      </c>
      <c r="G6" s="1842"/>
      <c r="H6" s="1291" t="s">
        <v>1031</v>
      </c>
      <c r="I6" s="3217" t="s">
        <v>1397</v>
      </c>
      <c r="J6" s="346">
        <f ca="1">ROUND(M6*M8*M7*(1-M9)/10000,0)</f>
        <v>0</v>
      </c>
      <c r="K6" s="164" t="s">
        <v>3027</v>
      </c>
      <c r="L6" s="347" t="s">
        <v>1399</v>
      </c>
      <c r="M6" s="348">
        <f ca="1">INDIRECT("'数据-取费表'!z"&amp;$G$1)</f>
        <v>0</v>
      </c>
    </row>
    <row r="7" spans="1:37" ht="18" customHeight="1">
      <c r="A7" s="1295"/>
      <c r="B7" s="3218"/>
      <c r="C7" s="1297"/>
      <c r="D7" s="352"/>
      <c r="E7" s="2999" t="s">
        <v>1400</v>
      </c>
      <c r="F7" s="348">
        <f ca="1">IF(INDIRECT("'数据-取费表'!ah"&amp;$G$1)="",INDIRECT("'数据-取费表'!k"&amp;$G$1),INDIRECT("'数据-取费表'!ah"&amp;$G$1))</f>
        <v>429</v>
      </c>
      <c r="G7" s="1842"/>
      <c r="H7" s="349"/>
      <c r="I7" s="3218"/>
      <c r="J7" s="351"/>
      <c r="K7" s="352"/>
      <c r="L7" s="347" t="s">
        <v>1400</v>
      </c>
      <c r="M7" s="348">
        <f ca="1">F7</f>
        <v>429</v>
      </c>
    </row>
    <row r="8" spans="1:37" ht="18" customHeight="1">
      <c r="A8" s="349"/>
      <c r="B8" s="3218"/>
      <c r="C8" s="351"/>
      <c r="D8" s="352"/>
      <c r="E8" s="347" t="s">
        <v>1401</v>
      </c>
      <c r="F8" s="348">
        <f ca="1">INDIRECT("'数据-取费表'!ai"&amp;$G$1)</f>
        <v>12</v>
      </c>
      <c r="G8" s="1842"/>
      <c r="H8" s="349"/>
      <c r="I8" s="3218"/>
      <c r="J8" s="351"/>
      <c r="K8" s="352"/>
      <c r="L8" s="347" t="s">
        <v>1401</v>
      </c>
      <c r="M8" s="348">
        <f ca="1">INDIRECT("'数据-取费表'!ai"&amp;$G$1)</f>
        <v>12</v>
      </c>
    </row>
    <row r="9" spans="1:37" ht="18" customHeight="1">
      <c r="A9" s="349"/>
      <c r="B9" s="3219"/>
      <c r="C9" s="351"/>
      <c r="D9" s="352"/>
      <c r="E9" s="347" t="s">
        <v>1402</v>
      </c>
      <c r="F9" s="357">
        <f ca="1">INDIRECT("'数据-取费表'!w"&amp;$G$1)</f>
        <v>0.2</v>
      </c>
      <c r="G9" s="1842"/>
      <c r="H9" s="349"/>
      <c r="I9" s="321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3035</v>
      </c>
      <c r="E10" s="358" t="s">
        <v>1404</v>
      </c>
      <c r="F10" s="1366" t="s">
        <v>3114</v>
      </c>
      <c r="G10" s="1842"/>
      <c r="H10" s="1291" t="s">
        <v>1035</v>
      </c>
      <c r="I10" s="1814" t="s">
        <v>1403</v>
      </c>
      <c r="J10" s="346">
        <f ca="1">ROUND(IF(M10="押一",J6/12*M11,IF(M10="押二",J6/12*2*M11,IF(M10="押三",J6/12*3*M11,J11*M11))),0)</f>
        <v>0</v>
      </c>
      <c r="K10" s="1815" t="s">
        <v>3035</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4760</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3692</v>
      </c>
      <c r="D14" s="2993" t="s">
        <v>1412</v>
      </c>
      <c r="E14" s="2991"/>
      <c r="F14" s="364"/>
      <c r="G14" s="1842"/>
      <c r="H14" s="1201" t="s">
        <v>1031</v>
      </c>
      <c r="I14" s="347" t="s">
        <v>1413</v>
      </c>
      <c r="J14" s="24">
        <f ca="1">C29</f>
        <v>5011</v>
      </c>
      <c r="K14" s="2998"/>
      <c r="L14" s="979"/>
      <c r="M14" s="980"/>
    </row>
    <row r="15" spans="1:37" s="1849" customFormat="1" ht="18" customHeight="1" thickBot="1">
      <c r="A15" s="1201" t="s">
        <v>1032</v>
      </c>
      <c r="B15" s="347" t="s">
        <v>1414</v>
      </c>
      <c r="C15" s="24">
        <f ca="1">ROUND(C14*F15,0)</f>
        <v>185</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143</v>
      </c>
      <c r="K16" s="1337" t="s">
        <v>1419</v>
      </c>
      <c r="L16" s="2994"/>
      <c r="M16" s="1294"/>
    </row>
    <row r="17" spans="1:37" s="1849" customFormat="1" ht="18" customHeight="1">
      <c r="A17" s="1201" t="s">
        <v>1384</v>
      </c>
      <c r="B17" s="347" t="s">
        <v>1420</v>
      </c>
      <c r="C17" s="24">
        <f ca="1">ROUND(F17*(F43+INDIRECT("'数据-取费表'!S"&amp;$G$1))/10000,0)</f>
        <v>211</v>
      </c>
      <c r="D17" s="347" t="s">
        <v>1421</v>
      </c>
      <c r="E17" s="347" t="s">
        <v>1422</v>
      </c>
      <c r="F17" s="26">
        <f>'数据-取费表'!B35</f>
        <v>200</v>
      </c>
      <c r="G17" s="1845"/>
      <c r="H17" s="1201" t="s">
        <v>1031</v>
      </c>
      <c r="I17" s="347" t="s">
        <v>1423</v>
      </c>
      <c r="J17" s="24">
        <f ca="1">ROUND(IF(项目基本情况!B11="自然人",J6*M17/(1+'数据-取费表'!C42),J18+J19+J20),1)</f>
        <v>42.5</v>
      </c>
      <c r="K17" s="2993" t="s">
        <v>1424</v>
      </c>
      <c r="L17" s="2992"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55</v>
      </c>
      <c r="D18" s="347" t="s">
        <v>1415</v>
      </c>
      <c r="E18" s="347" t="s">
        <v>1416</v>
      </c>
      <c r="F18" s="367">
        <f>'数据-取费表'!B36</f>
        <v>1.4999999999999999E-2</v>
      </c>
      <c r="G18" s="1845"/>
      <c r="H18" s="1201" t="s">
        <v>1030</v>
      </c>
      <c r="I18" s="347" t="s">
        <v>1427</v>
      </c>
      <c r="J18" s="24">
        <f ca="1">ROUND(J6*M18/(1+'数据-取费表'!C42),2)</f>
        <v>0</v>
      </c>
      <c r="K18" s="2992"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4143</v>
      </c>
      <c r="D19" s="140" t="s">
        <v>1430</v>
      </c>
      <c r="E19" s="2997"/>
      <c r="F19" s="26"/>
      <c r="G19" s="1842"/>
      <c r="H19" s="1201" t="s">
        <v>1032</v>
      </c>
      <c r="I19" s="347" t="s">
        <v>1431</v>
      </c>
      <c r="J19" s="24">
        <f ca="1">IF(K19="按租金收入计税",ROUND(J6*M19/(1+'数据-取费表'!C42),2),ROUND(C29*M19*0.7,2))</f>
        <v>42.09</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83</v>
      </c>
      <c r="D20" s="369" t="s">
        <v>1434</v>
      </c>
      <c r="E20" s="347" t="s">
        <v>1416</v>
      </c>
      <c r="F20" s="367">
        <f>'数据-取费表'!B37</f>
        <v>0.02</v>
      </c>
      <c r="G20" s="1845"/>
      <c r="H20" s="1201" t="s">
        <v>1383</v>
      </c>
      <c r="I20" s="164" t="s">
        <v>1435</v>
      </c>
      <c r="J20" s="25">
        <f ca="1">ROUND(M20*M21/10000,2)</f>
        <v>0.43</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2869.4900000000002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97"/>
      <c r="F22" s="26"/>
      <c r="G22" s="1842"/>
      <c r="H22" s="1201" t="s">
        <v>1035</v>
      </c>
      <c r="I22" s="347" t="s">
        <v>1443</v>
      </c>
      <c r="J22" s="24">
        <f ca="1">ROUND(J14*M22,1)</f>
        <v>100.2</v>
      </c>
      <c r="K22" s="2992" t="s">
        <v>1444</v>
      </c>
      <c r="L22" s="347" t="s">
        <v>1416</v>
      </c>
      <c r="M22" s="374">
        <f ca="1">INDIRECT("'数据-取费表'!Ak"&amp;$G$1)</f>
        <v>0.02</v>
      </c>
    </row>
    <row r="23" spans="1:37" s="1849" customFormat="1" ht="18" customHeight="1">
      <c r="A23" s="1201" t="s">
        <v>1030</v>
      </c>
      <c r="B23" s="347" t="s">
        <v>1445</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92"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97"/>
      <c r="F25" s="26"/>
      <c r="G25" s="1842"/>
      <c r="H25" s="1329" t="s">
        <v>1027</v>
      </c>
      <c r="I25" s="1344" t="s">
        <v>1457</v>
      </c>
      <c r="J25" s="355">
        <f ca="1">J5-J16</f>
        <v>-143</v>
      </c>
      <c r="K25" s="1345" t="s">
        <v>1458</v>
      </c>
      <c r="L25" s="1346"/>
      <c r="M25" s="1347"/>
    </row>
    <row r="26" spans="1:37">
      <c r="A26" s="1201" t="s">
        <v>1030</v>
      </c>
      <c r="B26" s="347" t="s">
        <v>1459</v>
      </c>
      <c r="C26" s="24">
        <f ca="1">ROUND((C19+C20)*F26,0)</f>
        <v>211</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5011</v>
      </c>
      <c r="D29" s="1342"/>
      <c r="E29" s="1340"/>
      <c r="F29" s="1343"/>
      <c r="G29" s="1845"/>
      <c r="H29" s="380" t="s">
        <v>1029</v>
      </c>
      <c r="I29" s="381" t="s">
        <v>1473</v>
      </c>
      <c r="J29" s="382">
        <f ca="1">ROUND(J26/(1+F40)^F41,0)</f>
        <v>0</v>
      </c>
      <c r="K29" s="383" t="s">
        <v>1474</v>
      </c>
      <c r="L29" s="384"/>
      <c r="M29" s="385">
        <f ca="1">INDIRECT("'数据-取费表'!k"&amp;$G$1)</f>
        <v>10502.380000000003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139</v>
      </c>
      <c r="D30" s="1337" t="s">
        <v>1419</v>
      </c>
      <c r="E30" s="2994"/>
      <c r="F30" s="1294"/>
      <c r="G30" s="1842"/>
      <c r="H30" s="745"/>
      <c r="I30" s="746"/>
      <c r="J30" s="747"/>
      <c r="K30" s="748"/>
      <c r="L30" s="749"/>
      <c r="M30" s="750"/>
    </row>
    <row r="31" spans="1:37" ht="18" customHeight="1">
      <c r="A31" s="1201" t="s">
        <v>1031</v>
      </c>
      <c r="B31" s="347" t="s">
        <v>1423</v>
      </c>
      <c r="C31" s="24">
        <f ca="1">ROUND(IF(项目基本情况!B11="自然人",C6*F31/(1+'数据-取费表'!C42),C32+C33+C34),1)</f>
        <v>27.9</v>
      </c>
      <c r="D31" s="2993" t="s">
        <v>1424</v>
      </c>
      <c r="E31" s="2992"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8.64</v>
      </c>
      <c r="D32" s="2992"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18.86</v>
      </c>
      <c r="D33" s="1819" t="s">
        <v>3110</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0.43</v>
      </c>
      <c r="D34" s="370" t="s">
        <v>1436</v>
      </c>
      <c r="E34" s="347" t="s">
        <v>1437</v>
      </c>
      <c r="F34" s="371">
        <f>'数据-取费表'!B52</f>
        <v>1.5</v>
      </c>
      <c r="G34" s="1842"/>
      <c r="H34" s="745"/>
      <c r="I34" s="1851"/>
      <c r="J34" s="1852"/>
      <c r="K34" s="1854"/>
      <c r="L34" s="1855"/>
      <c r="M34" s="1855"/>
    </row>
    <row r="35" spans="1:18" ht="18" customHeight="1">
      <c r="A35" s="1353"/>
      <c r="B35" s="1351"/>
      <c r="C35" s="29"/>
      <c r="D35" s="373"/>
      <c r="E35" s="347" t="s">
        <v>1441</v>
      </c>
      <c r="F35" s="348">
        <f ca="1">INDIRECT("'数据-取费表'!r"&amp;$G$1)</f>
        <v>2869.4900000000002</v>
      </c>
      <c r="G35" s="1842"/>
      <c r="H35" s="745"/>
      <c r="I35" s="1851"/>
      <c r="J35" s="1852"/>
      <c r="K35" s="1853"/>
      <c r="L35" s="1850"/>
      <c r="M35" s="1850"/>
    </row>
    <row r="36" spans="1:18" ht="18" customHeight="1">
      <c r="A36" s="1352" t="s">
        <v>1035</v>
      </c>
      <c r="B36" s="347" t="s">
        <v>1443</v>
      </c>
      <c r="C36" s="24">
        <f ca="1">ROUND(C29*F36,1)</f>
        <v>100.2</v>
      </c>
      <c r="D36" s="2992" t="s">
        <v>1476</v>
      </c>
      <c r="E36" s="347" t="s">
        <v>1416</v>
      </c>
      <c r="F36" s="374">
        <f ca="1">INDIRECT("'数据-取费表'!Ak"&amp;$G$1)</f>
        <v>0.02</v>
      </c>
      <c r="G36" s="1842"/>
      <c r="H36" s="1850"/>
      <c r="I36" s="1851"/>
      <c r="J36" s="1852"/>
      <c r="K36" s="751"/>
      <c r="L36" s="1850"/>
      <c r="M36" s="1850"/>
    </row>
    <row r="37" spans="1:18" ht="18" customHeight="1">
      <c r="A37" s="1201" t="s">
        <v>1071</v>
      </c>
      <c r="B37" s="347" t="s">
        <v>1447</v>
      </c>
      <c r="C37" s="24">
        <f ca="1">ROUND(C13*F37,1)</f>
        <v>7.1</v>
      </c>
      <c r="D37" s="2992"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3.3</v>
      </c>
      <c r="D38" s="1342" t="s">
        <v>1453</v>
      </c>
      <c r="E38" s="1340" t="s">
        <v>1416</v>
      </c>
      <c r="F38" s="1336">
        <f ca="1">INDIRECT("'数据-取费表'!Am"&amp;$G$1)</f>
        <v>0.02</v>
      </c>
      <c r="G38" s="1842"/>
      <c r="H38" s="1850"/>
      <c r="I38" s="1851"/>
      <c r="J38" s="1852"/>
      <c r="K38" s="1856"/>
      <c r="L38" s="1850"/>
      <c r="M38" s="1850"/>
    </row>
    <row r="39" spans="1:18" ht="24.6" customHeight="1" thickTop="1">
      <c r="A39" s="1329" t="s">
        <v>1027</v>
      </c>
      <c r="B39" s="1344" t="s">
        <v>1457</v>
      </c>
      <c r="C39" s="355">
        <f ca="1">C5-C30</f>
        <v>26</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536</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45.1</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510</v>
      </c>
      <c r="D43" s="383" t="s">
        <v>1482</v>
      </c>
      <c r="E43" s="384" t="s">
        <v>1483</v>
      </c>
      <c r="F43" s="385">
        <f ca="1">INDIRECT("'数据-取费表'!k"&amp;$G$1)</f>
        <v>10502.380000000003</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-9294</v>
      </c>
      <c r="D46" s="1863" t="str">
        <f>C2</f>
        <v>万元</v>
      </c>
      <c r="E46" s="1857"/>
      <c r="F46" s="1857"/>
      <c r="I46" s="1864" t="s">
        <v>1515</v>
      </c>
      <c r="J46" s="1865"/>
      <c r="K46" s="1866"/>
      <c r="L46" s="1867">
        <f ca="1">IF(M47="住宅",0,IF(L48&gt;J51,L60,J60))</f>
        <v>51</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3111</v>
      </c>
      <c r="K47" s="1873" t="s">
        <v>1521</v>
      </c>
      <c r="L47" s="1874">
        <f ca="1">INDIRECT("'数据-取费表'!d"&amp;$G$1)</f>
        <v>50</v>
      </c>
      <c r="M47" s="1829" t="str">
        <f>IF(ISNUMBER(FIND("住宅",C1)),"住宅","非住宅")</f>
        <v>非住宅</v>
      </c>
      <c r="O47" s="1875" t="s">
        <v>1036</v>
      </c>
      <c r="P47" s="1876" t="s">
        <v>1522</v>
      </c>
      <c r="Q47" s="1877">
        <f ca="1">C40+J29</f>
        <v>536</v>
      </c>
      <c r="R47" s="1877" t="s">
        <v>1523</v>
      </c>
    </row>
    <row r="48" spans="1:18" s="1833" customFormat="1" ht="40.200000000000003" thickBot="1">
      <c r="A48" s="1360" t="s">
        <v>1131</v>
      </c>
      <c r="B48" s="345" t="s">
        <v>1395</v>
      </c>
      <c r="C48" s="2996">
        <f ca="1">C49+C53+C55</f>
        <v>0</v>
      </c>
      <c r="D48" s="1362"/>
      <c r="E48" s="1363"/>
      <c r="F48" s="1181"/>
      <c r="G48" s="792"/>
      <c r="H48" s="793"/>
      <c r="I48" s="1878" t="s">
        <v>1524</v>
      </c>
      <c r="J48" s="1879" t="s">
        <v>3112</v>
      </c>
      <c r="K48" s="1880" t="s">
        <v>1525</v>
      </c>
      <c r="L48" s="1881">
        <f ca="1">INDIRECT("'数据-取费表'!f"&amp;$G$1)</f>
        <v>45.1</v>
      </c>
      <c r="O48" s="1875" t="s">
        <v>1037</v>
      </c>
      <c r="P48" s="1876" t="s">
        <v>1526</v>
      </c>
      <c r="Q48" s="1877">
        <f ca="1">J60</f>
        <v>51</v>
      </c>
      <c r="R48" s="1877" t="s">
        <v>1527</v>
      </c>
    </row>
    <row r="49" spans="1:18" s="1833" customFormat="1" ht="13.8" thickBot="1">
      <c r="A49" s="1194" t="s">
        <v>1132</v>
      </c>
      <c r="B49" s="1820" t="s">
        <v>1484</v>
      </c>
      <c r="C49" s="1364">
        <f ca="1">ROUND(F49*F51*F50*(1-F52)/10000,0)</f>
        <v>0</v>
      </c>
      <c r="D49" s="1276" t="s">
        <v>3027</v>
      </c>
      <c r="E49" s="1821" t="s">
        <v>1485</v>
      </c>
      <c r="F49" s="1281"/>
      <c r="G49" s="1882"/>
      <c r="H49" s="793"/>
      <c r="I49" s="1878" t="s">
        <v>1528</v>
      </c>
      <c r="J49" s="1883">
        <v>2017</v>
      </c>
      <c r="K49" s="1880" t="s">
        <v>1529</v>
      </c>
      <c r="L49" s="1884"/>
      <c r="O49" s="1885" t="s">
        <v>1038</v>
      </c>
      <c r="P49" s="1876" t="s">
        <v>1530</v>
      </c>
      <c r="Q49" s="1877">
        <f ca="1">C29</f>
        <v>5011</v>
      </c>
      <c r="R49" s="1877" t="s">
        <v>1523</v>
      </c>
    </row>
    <row r="50" spans="1:18" s="1833" customFormat="1" ht="13.8" thickBot="1">
      <c r="A50" s="1195"/>
      <c r="B50" s="1198"/>
      <c r="C50" s="1368"/>
      <c r="D50" s="1172"/>
      <c r="E50" s="1277" t="s">
        <v>1400</v>
      </c>
      <c r="F50" s="1278">
        <f ca="1">F7</f>
        <v>429</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12</v>
      </c>
      <c r="I51" s="1889" t="s">
        <v>1534</v>
      </c>
      <c r="J51" s="1890">
        <f>IF(J49="",J50,J49+J50-YEAR('数据-取费表'!B2))</f>
        <v>57</v>
      </c>
      <c r="K51" s="1891" t="s">
        <v>1535</v>
      </c>
      <c r="L51" s="1892">
        <f ca="1">ROUND(-PV(INDIRECT("'数据-取费表'!h"&amp;$G$1),J51,(C39-C13*C76),0),0)</f>
        <v>-6444</v>
      </c>
      <c r="M51" s="1893"/>
      <c r="O51" s="1885" t="s">
        <v>1040</v>
      </c>
      <c r="P51" s="1876" t="s">
        <v>1536</v>
      </c>
      <c r="Q51" s="1888">
        <f>J52</f>
        <v>8.5000000000000006E-2</v>
      </c>
      <c r="R51" s="1877"/>
    </row>
    <row r="52" spans="1:18" s="1833" customFormat="1" ht="13.8" thickBot="1">
      <c r="A52" s="1196"/>
      <c r="B52" s="1198"/>
      <c r="C52" s="1199"/>
      <c r="D52" s="1172"/>
      <c r="E52" s="1200" t="s">
        <v>1402</v>
      </c>
      <c r="F52" s="1275"/>
      <c r="I52" s="1894" t="s">
        <v>1537</v>
      </c>
      <c r="J52" s="1895">
        <v>8.5000000000000006E-2</v>
      </c>
      <c r="K52" s="1894" t="s">
        <v>1538</v>
      </c>
      <c r="L52" s="1895"/>
      <c r="O52" s="1885" t="s">
        <v>1041</v>
      </c>
      <c r="P52" s="1876" t="s">
        <v>1539</v>
      </c>
      <c r="Q52" s="1877">
        <f ca="1">J53</f>
        <v>45.1</v>
      </c>
      <c r="R52" s="1877" t="s">
        <v>1540</v>
      </c>
    </row>
    <row r="53" spans="1:18" s="1833" customFormat="1" ht="36.6" thickBot="1">
      <c r="A53" s="1405" t="s">
        <v>1133</v>
      </c>
      <c r="B53" s="1822" t="s">
        <v>1403</v>
      </c>
      <c r="C53" s="361">
        <f ca="1">ROUND(IF(F53="押一",C49/12*F11,IF(F53="押二",C49/12*2*F11,IF(F53="押三",C49/12*3*F11,C54*F11))),0)</f>
        <v>0</v>
      </c>
      <c r="D53" s="1815" t="s">
        <v>3035</v>
      </c>
      <c r="E53" s="358" t="s">
        <v>1404</v>
      </c>
      <c r="F53" s="1366"/>
      <c r="I53" s="1896" t="s">
        <v>1541</v>
      </c>
      <c r="J53" s="2940">
        <f ca="1">IF(M47="住宅",IF(D1="——",MAX(J51,L48),MAX(J51,L48-'数据-取费表'!B24)),IF(D1="——",MIN(J51,L48),MIN(J51,L48-'数据-取费表'!B24)))</f>
        <v>45.1</v>
      </c>
      <c r="K53" s="3220" t="s">
        <v>1542</v>
      </c>
      <c r="L53" s="3221"/>
      <c r="O53" s="1875" t="s">
        <v>1042</v>
      </c>
      <c r="P53" s="1876" t="s">
        <v>1543</v>
      </c>
      <c r="Q53" s="1877">
        <f ca="1">Q47+Q48</f>
        <v>587</v>
      </c>
      <c r="R53" s="1877" t="s">
        <v>1043</v>
      </c>
    </row>
    <row r="54" spans="1:18" s="1833" customFormat="1" ht="24.6" thickBot="1">
      <c r="A54" s="1406"/>
      <c r="B54" s="1816" t="s">
        <v>1382</v>
      </c>
      <c r="C54" s="1178"/>
      <c r="D54" s="1815"/>
      <c r="E54" s="299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95"/>
      <c r="F55" s="1897"/>
      <c r="I55" s="1900" t="s">
        <v>1545</v>
      </c>
      <c r="J55" s="1901">
        <f ca="1">ROUND(IF(J47="钢混",J57/J50,1-(1-2%)*(J50-J57)/J50),3)</f>
        <v>0.19800000000000001</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4760</v>
      </c>
      <c r="D56" s="1904"/>
      <c r="E56" s="1905"/>
      <c r="F56" s="1897"/>
      <c r="I56" s="1906" t="s">
        <v>1548</v>
      </c>
      <c r="J56" s="1907" t="s">
        <v>3113</v>
      </c>
      <c r="K56" s="1878" t="s">
        <v>1549</v>
      </c>
      <c r="L56" s="1881" t="str">
        <f ca="1">IF(L48&lt;J51,"——",L48-J53)</f>
        <v>——</v>
      </c>
      <c r="O56" s="1875" t="s">
        <v>1036</v>
      </c>
      <c r="P56" s="1876" t="s">
        <v>1522</v>
      </c>
      <c r="Q56" s="1877">
        <f ca="1">C40+J29</f>
        <v>536</v>
      </c>
      <c r="R56" s="1877" t="s">
        <v>1523</v>
      </c>
    </row>
    <row r="57" spans="1:18" s="1833" customFormat="1" ht="24.6" thickBot="1">
      <c r="A57" s="1908"/>
      <c r="B57" s="1169" t="s">
        <v>1472</v>
      </c>
      <c r="C57" s="282">
        <f ca="1">C29</f>
        <v>5011</v>
      </c>
      <c r="D57" s="1909"/>
      <c r="E57" s="1910"/>
      <c r="F57" s="1911"/>
      <c r="I57" s="1912" t="s">
        <v>1550</v>
      </c>
      <c r="J57" s="1913">
        <f ca="1">IF(OR(M47="住宅",J51&lt;L48,J56="是"),"——",J51-L48)</f>
        <v>11.899999999999999</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529</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421.4</v>
      </c>
      <c r="D59" s="1182" t="s">
        <v>1424</v>
      </c>
      <c r="E59" s="1183" t="s">
        <v>1425</v>
      </c>
      <c r="F59" s="368" t="str">
        <f ca="1">IF(项目基本情况!B11="企业","",IF(INDIRECT("'数据-取费表'!c"&amp;$G$1)="住宅",5%,IF(F49*F50*F51/12/(1+'数据-取费表'!C42)&gt;20000,12%,7%)))</f>
        <v/>
      </c>
      <c r="I59" s="1912" t="s">
        <v>1557</v>
      </c>
      <c r="J59" s="1913">
        <f ca="1">IF(OR(M47="住宅",J51&lt;L48,J56="是"),"——",ROUND(C29*J58,0))</f>
        <v>2004</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51</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1431</v>
      </c>
      <c r="C61" s="24">
        <f ca="1">IF(项目基本情况!B11="自然人","——",IF(D61="按租金收入计税",ROUND(C48*F61,2),IF(D61="按房产原值计税",ROUND(C57*F61*0.7,2),INDIRECT("'数据-取费表'!Aj"&amp;$G$1))))</f>
        <v>420.92</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0.43</v>
      </c>
      <c r="D62" s="1184" t="s">
        <v>1436</v>
      </c>
      <c r="E62" s="1169" t="s">
        <v>1437</v>
      </c>
      <c r="F62" s="371">
        <f t="shared" si="0"/>
        <v>1.5</v>
      </c>
      <c r="I62" s="1919" t="s">
        <v>1564</v>
      </c>
      <c r="J62" s="1920" t="s">
        <v>1565</v>
      </c>
      <c r="K62" s="1920" t="s">
        <v>1566</v>
      </c>
      <c r="L62" s="1920" t="s">
        <v>1567</v>
      </c>
      <c r="M62" s="1921" t="s">
        <v>1568</v>
      </c>
      <c r="O62" s="1875" t="s">
        <v>1042</v>
      </c>
      <c r="P62" s="1876" t="s">
        <v>1543</v>
      </c>
      <c r="Q62" s="1877">
        <f ca="1">Q56+Q57</f>
        <v>536</v>
      </c>
      <c r="R62" s="1877" t="s">
        <v>1043</v>
      </c>
    </row>
    <row r="63" spans="1:18" s="1833" customFormat="1" ht="13.8" thickBot="1">
      <c r="A63" s="372"/>
      <c r="B63" s="1175"/>
      <c r="C63" s="29"/>
      <c r="D63" s="1185"/>
      <c r="E63" s="1169" t="s">
        <v>1441</v>
      </c>
      <c r="F63" s="348">
        <f t="shared" ca="1" si="0"/>
        <v>2869.4900000000002</v>
      </c>
      <c r="I63" s="1919" t="s">
        <v>1570</v>
      </c>
      <c r="J63" s="1920">
        <v>70</v>
      </c>
      <c r="K63" s="1920">
        <v>50</v>
      </c>
      <c r="L63" s="1920">
        <v>80</v>
      </c>
      <c r="M63" s="1922">
        <v>0.02</v>
      </c>
      <c r="O63" s="1860" t="s">
        <v>1571</v>
      </c>
      <c r="P63" s="1830"/>
      <c r="Q63" s="1830"/>
      <c r="R63" s="1830"/>
    </row>
    <row r="64" spans="1:18" s="1833" customFormat="1" ht="13.8" thickBot="1">
      <c r="A64" s="1201" t="s">
        <v>1035</v>
      </c>
      <c r="B64" s="1169" t="s">
        <v>1443</v>
      </c>
      <c r="C64" s="24">
        <f ca="1">ROUND(C57*F64,1)</f>
        <v>100.2</v>
      </c>
      <c r="D64" s="1183" t="s">
        <v>1476</v>
      </c>
      <c r="E64" s="1169" t="s">
        <v>1416</v>
      </c>
      <c r="F64" s="374">
        <f t="shared" ca="1" si="0"/>
        <v>0.02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7.1</v>
      </c>
      <c r="D65" s="1183" t="s">
        <v>1448</v>
      </c>
      <c r="E65" s="1169" t="s">
        <v>1416</v>
      </c>
      <c r="F65" s="376">
        <f t="shared" ca="1" si="0"/>
        <v>1.5E-3</v>
      </c>
      <c r="I65" s="1919" t="s">
        <v>1573</v>
      </c>
      <c r="J65" s="1920">
        <v>40</v>
      </c>
      <c r="K65" s="1920">
        <v>30</v>
      </c>
      <c r="L65" s="1920">
        <v>50</v>
      </c>
      <c r="M65" s="1922">
        <v>0.02</v>
      </c>
      <c r="O65" s="1875" t="s">
        <v>1036</v>
      </c>
      <c r="P65" s="1876" t="s">
        <v>1522</v>
      </c>
      <c r="Q65" s="1877">
        <f ca="1">C40+J29</f>
        <v>536</v>
      </c>
      <c r="R65" s="1877" t="s">
        <v>1523</v>
      </c>
    </row>
    <row r="66" spans="1:18" s="1833" customFormat="1" ht="16.2" thickBot="1">
      <c r="A66" s="1201" t="s">
        <v>1498</v>
      </c>
      <c r="B66" s="1169" t="s">
        <v>1433</v>
      </c>
      <c r="C66" s="24">
        <f ca="1">ROUND(C48*F66,1)</f>
        <v>0</v>
      </c>
      <c r="D66" s="1183" t="s">
        <v>1453</v>
      </c>
      <c r="E66" s="1169" t="s">
        <v>1416</v>
      </c>
      <c r="F66" s="357">
        <f t="shared" ca="1" si="0"/>
        <v>0.02</v>
      </c>
      <c r="O66" s="1875" t="s">
        <v>1037</v>
      </c>
      <c r="P66" s="1876" t="s">
        <v>1552</v>
      </c>
      <c r="Q66" s="1877">
        <f ca="1">L60</f>
        <v>0</v>
      </c>
      <c r="R66" s="1877" t="s">
        <v>1575</v>
      </c>
    </row>
    <row r="67" spans="1:18" s="1833" customFormat="1" ht="24.6" thickBot="1">
      <c r="A67" s="1176" t="s">
        <v>1027</v>
      </c>
      <c r="B67" s="1186" t="s">
        <v>1457</v>
      </c>
      <c r="C67" s="361">
        <f ca="1">C48-C58</f>
        <v>-529</v>
      </c>
      <c r="D67" s="1182" t="s">
        <v>1458</v>
      </c>
      <c r="E67" s="1187"/>
      <c r="F67" s="1188"/>
      <c r="O67" s="1885" t="s">
        <v>1038</v>
      </c>
      <c r="P67" s="1876" t="s">
        <v>1556</v>
      </c>
      <c r="Q67" s="1923">
        <f ca="1">L51</f>
        <v>-6444</v>
      </c>
      <c r="R67" s="1877" t="s">
        <v>1576</v>
      </c>
    </row>
    <row r="68" spans="1:18" s="1833" customFormat="1" ht="16.2" thickBot="1">
      <c r="A68" s="1166" t="s">
        <v>1028</v>
      </c>
      <c r="B68" s="1167" t="s">
        <v>1479</v>
      </c>
      <c r="C68" s="346">
        <f ca="1">ROUND(C67*(1-((1+F70)/(1+F68))^F69)/(F68-F70),0)</f>
        <v>-8758</v>
      </c>
      <c r="D68" s="1184" t="s">
        <v>1463</v>
      </c>
      <c r="E68" s="1169" t="s">
        <v>1464</v>
      </c>
      <c r="F68" s="357">
        <f ca="1">F40</f>
        <v>5.5E-2</v>
      </c>
      <c r="O68" s="1885" t="s">
        <v>1039</v>
      </c>
      <c r="P68" s="1924" t="s">
        <v>1577</v>
      </c>
      <c r="Q68" s="1877">
        <f ca="1">ROUND(Q69-Q70*Q71,0)</f>
        <v>-355</v>
      </c>
      <c r="R68" s="1877" t="s">
        <v>1047</v>
      </c>
    </row>
    <row r="69" spans="1:18" s="1833" customFormat="1" ht="13.8" thickBot="1">
      <c r="A69" s="1170"/>
      <c r="B69" s="1171"/>
      <c r="C69" s="351"/>
      <c r="D69" s="1189" t="s">
        <v>1467</v>
      </c>
      <c r="E69" s="1169" t="s">
        <v>1468</v>
      </c>
      <c r="F69" s="379">
        <f ca="1">F41</f>
        <v>45.1</v>
      </c>
      <c r="O69" s="1885" t="s">
        <v>1044</v>
      </c>
      <c r="P69" s="1924" t="s">
        <v>1578</v>
      </c>
      <c r="Q69" s="1877">
        <f ca="1">C39</f>
        <v>26</v>
      </c>
      <c r="R69" s="1877" t="s">
        <v>1523</v>
      </c>
    </row>
    <row r="70" spans="1:18" s="1833" customFormat="1" ht="13.8" thickBot="1">
      <c r="A70" s="1173"/>
      <c r="B70" s="1174"/>
      <c r="C70" s="355"/>
      <c r="D70" s="1185"/>
      <c r="E70" s="1169" t="s">
        <v>1471</v>
      </c>
      <c r="F70" s="1275"/>
      <c r="O70" s="1885" t="s">
        <v>1045</v>
      </c>
      <c r="P70" s="1924" t="s">
        <v>1579</v>
      </c>
      <c r="Q70" s="1877">
        <f ca="1">C13</f>
        <v>4760</v>
      </c>
      <c r="R70" s="1877" t="s">
        <v>1523</v>
      </c>
    </row>
    <row r="71" spans="1:18" s="1833" customFormat="1" ht="13.8" thickBot="1">
      <c r="A71" s="1190" t="s">
        <v>1029</v>
      </c>
      <c r="B71" s="1191" t="s">
        <v>1481</v>
      </c>
      <c r="C71" s="382">
        <f ca="1">ROUND(C68*10000/F71,0)</f>
        <v>-8339</v>
      </c>
      <c r="D71" s="1192" t="s">
        <v>1482</v>
      </c>
      <c r="E71" s="1193" t="s">
        <v>1483</v>
      </c>
      <c r="F71" s="385">
        <f ca="1">F43</f>
        <v>10502.380000000003</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381</v>
      </c>
      <c r="D75" s="1833"/>
      <c r="E75" s="1833"/>
      <c r="F75" s="1833"/>
      <c r="K75" s="1859"/>
      <c r="L75" s="1833"/>
      <c r="O75" s="1875" t="s">
        <v>1042</v>
      </c>
      <c r="P75" s="1876" t="s">
        <v>1543</v>
      </c>
      <c r="Q75" s="1877">
        <f ca="1">Q65+Q66</f>
        <v>536</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-13.654</v>
      </c>
    </row>
    <row r="80" spans="1:18">
      <c r="B80" s="386" t="s">
        <v>1505</v>
      </c>
      <c r="C80" s="318">
        <f ca="1">ROUND(C75/C39,3)</f>
        <v>14.654</v>
      </c>
    </row>
    <row r="81" spans="2:3">
      <c r="B81" s="314" t="s">
        <v>1506</v>
      </c>
      <c r="C81" s="282"/>
    </row>
    <row r="82" spans="2:3">
      <c r="B82" s="317" t="s">
        <v>1507</v>
      </c>
      <c r="C82" s="319">
        <f ca="1">1-C83</f>
        <v>-7.8810000000000002</v>
      </c>
    </row>
    <row r="83" spans="2:3">
      <c r="B83" s="317" t="s">
        <v>1508</v>
      </c>
      <c r="C83" s="318">
        <f ca="1">ROUND(C13/C40,3)</f>
        <v>8.8810000000000002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0" sqref="G10"/>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2" t="s">
        <v>2525</v>
      </c>
      <c r="B1" s="2553"/>
      <c r="C1" s="2553"/>
      <c r="D1" s="2553"/>
      <c r="E1" s="2554"/>
    </row>
    <row r="2" spans="1:6" ht="15.6">
      <c r="A2" s="2555" t="s">
        <v>2326</v>
      </c>
      <c r="B2" s="2556">
        <f ca="1">SUMIF(B6:B13,"&lt;&gt;#ref!",B6:B13)</f>
        <v>10046</v>
      </c>
      <c r="C2" s="2557" t="s">
        <v>2518</v>
      </c>
      <c r="D2" s="2558" t="s">
        <v>2519</v>
      </c>
      <c r="E2" s="2559">
        <f>SUM(E6:E13)</f>
        <v>35025.61</v>
      </c>
    </row>
    <row r="3" spans="1:6" ht="15.6">
      <c r="A3" s="2555" t="s">
        <v>1389</v>
      </c>
      <c r="B3" s="2556">
        <f ca="1">ROUND(B2*10000/E2,0)</f>
        <v>2868</v>
      </c>
      <c r="C3" s="2557" t="s">
        <v>2526</v>
      </c>
      <c r="D3" s="2560"/>
      <c r="E3" s="2561"/>
    </row>
    <row r="4" spans="1:6" ht="15.6">
      <c r="A4" s="2562"/>
      <c r="B4" s="2560"/>
      <c r="C4" s="2560"/>
      <c r="D4" s="2560"/>
      <c r="E4" s="2561"/>
    </row>
    <row r="5" spans="1:6" ht="14.4">
      <c r="A5" s="2563" t="s">
        <v>2520</v>
      </c>
      <c r="B5" s="3312" t="s">
        <v>2521</v>
      </c>
      <c r="C5" s="3312"/>
      <c r="D5" s="2564"/>
      <c r="E5" s="2565" t="s">
        <v>2522</v>
      </c>
      <c r="F5" s="2566" t="s">
        <v>2523</v>
      </c>
    </row>
    <row r="6" spans="1:6" ht="14.4">
      <c r="A6" s="2567" t="str">
        <f>'数据-取费表'!AN6</f>
        <v>收益法办公</v>
      </c>
      <c r="B6" s="2566">
        <f>IF(F6="是",'数据-取费表'!AO6,0)</f>
        <v>0</v>
      </c>
      <c r="C6" s="2557" t="s">
        <v>2518</v>
      </c>
      <c r="D6" s="2560"/>
      <c r="E6" s="2568">
        <f>IF(OR(A6=0,F6="否"),0,'数据-取费表'!K6+'数据-取费表'!S6)</f>
        <v>0</v>
      </c>
      <c r="F6" s="2569" t="s">
        <v>3113</v>
      </c>
    </row>
    <row r="7" spans="1:6" ht="14.4">
      <c r="A7" s="2567" t="str">
        <f>'数据-取费表'!AN7</f>
        <v>收益法商业</v>
      </c>
      <c r="B7" s="2566">
        <f>IF(F7="是",'数据-取费表'!AO7,0)</f>
        <v>0</v>
      </c>
      <c r="C7" s="2557" t="s">
        <v>2518</v>
      </c>
      <c r="D7" s="2560"/>
      <c r="E7" s="2568">
        <f>IF(OR(A7=0,F7="否"),0,'数据-取费表'!K7+'数据-取费表'!S7)</f>
        <v>0</v>
      </c>
      <c r="F7" s="2569" t="s">
        <v>3113</v>
      </c>
    </row>
    <row r="8" spans="1:6" ht="14.4">
      <c r="A8" s="2567" t="str">
        <f>'数据-取费表'!AN8</f>
        <v>收益法仓储</v>
      </c>
      <c r="B8" s="2566">
        <f ca="1">IF(F8="是",'数据-取费表'!AO8,0)</f>
        <v>9158</v>
      </c>
      <c r="C8" s="2557" t="s">
        <v>2518</v>
      </c>
      <c r="D8" s="2560"/>
      <c r="E8" s="2568">
        <f>IF(OR(A8=0,F8="否"),0,'数据-取费表'!K8+'数据-取费表'!S8)</f>
        <v>21411.22</v>
      </c>
      <c r="F8" s="2569" t="s">
        <v>2524</v>
      </c>
    </row>
    <row r="9" spans="1:6" ht="14.4">
      <c r="A9" s="2567" t="str">
        <f>'数据-取费表'!AN9</f>
        <v>收益法车库</v>
      </c>
      <c r="B9" s="2566">
        <f ca="1">IF(F9="是",'数据-取费表'!AO9,0)</f>
        <v>301</v>
      </c>
      <c r="C9" s="2557" t="s">
        <v>2518</v>
      </c>
      <c r="D9" s="2560"/>
      <c r="E9" s="2568">
        <f>IF(OR(A9=0,F9="否"),0,'数据-取费表'!K9+'数据-取费表'!S9)</f>
        <v>3054.1099999999997</v>
      </c>
      <c r="F9" s="2569" t="s">
        <v>2524</v>
      </c>
    </row>
    <row r="10" spans="1:6" ht="14.4">
      <c r="A10" s="2567" t="str">
        <f>'数据-取费表'!AN10</f>
        <v>收益法车库 (2)</v>
      </c>
      <c r="B10" s="2566">
        <f ca="1">IF(F10="是",'数据-取费表'!AO10,0)</f>
        <v>587</v>
      </c>
      <c r="C10" s="2557" t="s">
        <v>2518</v>
      </c>
      <c r="D10" s="2560"/>
      <c r="E10" s="2568">
        <f>IF(OR(A10=0,F10="否"),0,'数据-取费表'!K10+'数据-取费表'!S10)</f>
        <v>10560.280000000002</v>
      </c>
      <c r="F10" s="2569" t="s">
        <v>2524</v>
      </c>
    </row>
    <row r="11" spans="1:6" ht="14.4">
      <c r="A11" s="2567">
        <f>'数据-取费表'!AN11</f>
        <v>0</v>
      </c>
      <c r="B11" s="2566" t="e">
        <f ca="1">IF(F11="是",'数据-取费表'!AO11,0)</f>
        <v>#REF!</v>
      </c>
      <c r="C11" s="2557" t="s">
        <v>2518</v>
      </c>
      <c r="D11" s="2560"/>
      <c r="E11" s="2568">
        <f>IF(OR(A11=0,F11="否"),0,'数据-取费表'!K11+'数据-取费表'!S11)</f>
        <v>0</v>
      </c>
      <c r="F11" s="2569" t="s">
        <v>2524</v>
      </c>
    </row>
    <row r="12" spans="1:6" ht="14.4">
      <c r="A12" s="2567">
        <f>'数据-取费表'!AN12</f>
        <v>0</v>
      </c>
      <c r="B12" s="2566" t="e">
        <f ca="1">IF(F12="是",'数据-取费表'!AO12,0)</f>
        <v>#REF!</v>
      </c>
      <c r="C12" s="2557" t="s">
        <v>2518</v>
      </c>
      <c r="D12" s="2560"/>
      <c r="E12" s="2568">
        <f>IF(OR(A12=0,F12="否"),0,'数据-取费表'!K12+'数据-取费表'!S12)</f>
        <v>0</v>
      </c>
      <c r="F12" s="2569" t="s">
        <v>2524</v>
      </c>
    </row>
    <row r="13" spans="1:6" ht="15" thickBot="1">
      <c r="A13" s="2570">
        <f>'数据-取费表'!AN13</f>
        <v>0</v>
      </c>
      <c r="B13" s="2566" t="e">
        <f ca="1">IF(F13="是",'数据-取费表'!AO13,0)</f>
        <v>#REF!</v>
      </c>
      <c r="C13" s="2571" t="s">
        <v>2518</v>
      </c>
      <c r="D13" s="2572"/>
      <c r="E13" s="2568">
        <f>IF(OR(A13=0,F13="否"),0,'数据-取费表'!K13+'数据-取费表'!S13)</f>
        <v>0</v>
      </c>
      <c r="F13" s="256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29" t="s">
        <v>1072</v>
      </c>
      <c r="B1" s="3330"/>
      <c r="C1" s="3331"/>
      <c r="D1" s="3332">
        <f>SUM(I10,I15,I20,I21,I23)</f>
        <v>0</v>
      </c>
      <c r="E1" s="3332"/>
      <c r="F1" s="3332"/>
      <c r="G1" s="3332"/>
      <c r="H1" s="3332"/>
      <c r="I1" s="3333"/>
    </row>
    <row r="2" spans="1:9">
      <c r="A2" s="3319" t="s">
        <v>1073</v>
      </c>
      <c r="B2" s="3320" t="s">
        <v>1074</v>
      </c>
      <c r="C2" s="3320"/>
      <c r="D2" s="1301" t="s">
        <v>1075</v>
      </c>
      <c r="E2" s="1301" t="s">
        <v>1076</v>
      </c>
      <c r="F2" s="1301" t="s">
        <v>1077</v>
      </c>
      <c r="G2" s="1301" t="s">
        <v>1078</v>
      </c>
      <c r="H2" s="1301" t="s">
        <v>1079</v>
      </c>
      <c r="I2" s="1302" t="s">
        <v>1080</v>
      </c>
    </row>
    <row r="3" spans="1:9">
      <c r="A3" s="3319"/>
      <c r="B3" s="3320" t="s">
        <v>1081</v>
      </c>
      <c r="C3" s="3320"/>
      <c r="D3" s="1303"/>
      <c r="E3" s="1301"/>
      <c r="F3" s="1304"/>
      <c r="G3" s="1304"/>
      <c r="H3" s="1305"/>
      <c r="I3" s="1306">
        <f>ROUND(D3*E3*F3*G3*H3/10000,0)</f>
        <v>0</v>
      </c>
    </row>
    <row r="4" spans="1:9">
      <c r="A4" s="3319"/>
      <c r="B4" s="3320" t="s">
        <v>1082</v>
      </c>
      <c r="C4" s="3320"/>
      <c r="D4" s="1303"/>
      <c r="E4" s="1301"/>
      <c r="F4" s="1304"/>
      <c r="G4" s="1304"/>
      <c r="H4" s="1305"/>
      <c r="I4" s="1306">
        <f t="shared" ref="I4:I9" si="0">ROUND(D4*E4*F4*G4*H4/10000,0)</f>
        <v>0</v>
      </c>
    </row>
    <row r="5" spans="1:9">
      <c r="A5" s="3319"/>
      <c r="B5" s="3320" t="s">
        <v>1083</v>
      </c>
      <c r="C5" s="3320"/>
      <c r="D5" s="1303"/>
      <c r="E5" s="1301"/>
      <c r="F5" s="1304"/>
      <c r="G5" s="1304"/>
      <c r="H5" s="1305"/>
      <c r="I5" s="1306">
        <f t="shared" si="0"/>
        <v>0</v>
      </c>
    </row>
    <row r="6" spans="1:9">
      <c r="A6" s="3319"/>
      <c r="B6" s="3320" t="s">
        <v>1084</v>
      </c>
      <c r="C6" s="3320"/>
      <c r="D6" s="1303"/>
      <c r="E6" s="1301"/>
      <c r="F6" s="1304"/>
      <c r="G6" s="1304"/>
      <c r="H6" s="1305"/>
      <c r="I6" s="1306">
        <f t="shared" si="0"/>
        <v>0</v>
      </c>
    </row>
    <row r="7" spans="1:9">
      <c r="A7" s="3319"/>
      <c r="B7" s="3320" t="s">
        <v>1085</v>
      </c>
      <c r="C7" s="3320"/>
      <c r="D7" s="1303"/>
      <c r="E7" s="1301"/>
      <c r="F7" s="1304"/>
      <c r="G7" s="1304"/>
      <c r="H7" s="1305"/>
      <c r="I7" s="1306">
        <f t="shared" si="0"/>
        <v>0</v>
      </c>
    </row>
    <row r="8" spans="1:9">
      <c r="A8" s="3319"/>
      <c r="B8" s="3320" t="s">
        <v>1086</v>
      </c>
      <c r="C8" s="3320"/>
      <c r="D8" s="1303"/>
      <c r="E8" s="1301"/>
      <c r="F8" s="1304"/>
      <c r="G8" s="1304"/>
      <c r="H8" s="1305"/>
      <c r="I8" s="1306">
        <f t="shared" si="0"/>
        <v>0</v>
      </c>
    </row>
    <row r="9" spans="1:9">
      <c r="A9" s="3319"/>
      <c r="B9" s="3320" t="s">
        <v>1087</v>
      </c>
      <c r="C9" s="3320"/>
      <c r="D9" s="1303"/>
      <c r="E9" s="1301"/>
      <c r="F9" s="1304"/>
      <c r="G9" s="1304"/>
      <c r="H9" s="1305"/>
      <c r="I9" s="1306">
        <f t="shared" si="0"/>
        <v>0</v>
      </c>
    </row>
    <row r="10" spans="1:9">
      <c r="A10" s="3319"/>
      <c r="B10" s="3321" t="s">
        <v>1088</v>
      </c>
      <c r="C10" s="3321"/>
      <c r="D10" s="1307"/>
      <c r="E10" s="1307" t="e">
        <f>ROUND(D1*10000/D10/H9,0)</f>
        <v>#DIV/0!</v>
      </c>
      <c r="F10" s="1308"/>
      <c r="G10" s="1308"/>
      <c r="H10" s="1309"/>
      <c r="I10" s="1310">
        <f>SUM(I3:I9)</f>
        <v>0</v>
      </c>
    </row>
    <row r="11" spans="1:9" ht="15.6">
      <c r="A11" s="3319" t="s">
        <v>1089</v>
      </c>
      <c r="B11" s="3320" t="s">
        <v>1090</v>
      </c>
      <c r="C11" s="3320"/>
      <c r="D11" s="1303" t="s">
        <v>1091</v>
      </c>
      <c r="E11" s="1303" t="s">
        <v>1092</v>
      </c>
      <c r="F11" s="1304" t="s">
        <v>1093</v>
      </c>
      <c r="G11" s="1304" t="s">
        <v>1079</v>
      </c>
      <c r="H11" s="1311" t="s">
        <v>1094</v>
      </c>
      <c r="I11" s="1302" t="s">
        <v>1080</v>
      </c>
    </row>
    <row r="12" spans="1:9">
      <c r="A12" s="3319"/>
      <c r="B12" s="3320" t="s">
        <v>1095</v>
      </c>
      <c r="C12" s="3320"/>
      <c r="D12" s="1303"/>
      <c r="E12" s="1303"/>
      <c r="F12" s="1304"/>
      <c r="G12" s="1305"/>
      <c r="H12" s="1312"/>
      <c r="I12" s="1302">
        <f>ROUND(D12*E12*F12*G12/10000,0)</f>
        <v>0</v>
      </c>
    </row>
    <row r="13" spans="1:9">
      <c r="A13" s="3319"/>
      <c r="B13" s="3320" t="s">
        <v>1096</v>
      </c>
      <c r="C13" s="3320"/>
      <c r="D13" s="1303"/>
      <c r="E13" s="1303"/>
      <c r="F13" s="1304"/>
      <c r="G13" s="1305"/>
      <c r="H13" s="1312"/>
      <c r="I13" s="1302">
        <f>ROUND(D13*E13*F13*G13/10000,0)</f>
        <v>0</v>
      </c>
    </row>
    <row r="14" spans="1:9">
      <c r="A14" s="3319"/>
      <c r="B14" s="3320" t="s">
        <v>1097</v>
      </c>
      <c r="C14" s="3320"/>
      <c r="D14" s="1303"/>
      <c r="E14" s="1303"/>
      <c r="F14" s="1304"/>
      <c r="G14" s="1305"/>
      <c r="H14" s="1312"/>
      <c r="I14" s="1302">
        <f>ROUND(D14*E14*F14*G14/10000,0)</f>
        <v>0</v>
      </c>
    </row>
    <row r="15" spans="1:9">
      <c r="A15" s="3319"/>
      <c r="B15" s="3321" t="s">
        <v>1088</v>
      </c>
      <c r="C15" s="3321"/>
      <c r="D15" s="1307"/>
      <c r="E15" s="1307">
        <f>SUM(E12:E14)</f>
        <v>0</v>
      </c>
      <c r="F15" s="1308"/>
      <c r="G15" s="1305"/>
      <c r="H15" s="1312"/>
      <c r="I15" s="1313">
        <f>SUM(I12:I14)</f>
        <v>0</v>
      </c>
    </row>
    <row r="16" spans="1:9" ht="24">
      <c r="A16" s="3319" t="s">
        <v>1098</v>
      </c>
      <c r="B16" s="3320" t="s">
        <v>1099</v>
      </c>
      <c r="C16" s="3320"/>
      <c r="D16" s="1303" t="s">
        <v>1075</v>
      </c>
      <c r="E16" s="1314" t="s">
        <v>1100</v>
      </c>
      <c r="F16" s="1304" t="s">
        <v>1101</v>
      </c>
      <c r="G16" s="1305" t="s">
        <v>1079</v>
      </c>
      <c r="H16" s="1311" t="s">
        <v>1094</v>
      </c>
      <c r="I16" s="1302" t="s">
        <v>1080</v>
      </c>
    </row>
    <row r="17" spans="1:9" ht="15.6">
      <c r="A17" s="3319"/>
      <c r="B17" s="3320" t="s">
        <v>1102</v>
      </c>
      <c r="C17" s="3320"/>
      <c r="D17" s="1303"/>
      <c r="E17" s="1303"/>
      <c r="F17" s="1304"/>
      <c r="G17" s="1305"/>
      <c r="H17" s="1315"/>
      <c r="I17" s="1316">
        <f>ROUND(D17*E17*F17*G17/10000,0)</f>
        <v>0</v>
      </c>
    </row>
    <row r="18" spans="1:9" ht="15.6">
      <c r="A18" s="3319"/>
      <c r="B18" s="3320" t="s">
        <v>1103</v>
      </c>
      <c r="C18" s="3320"/>
      <c r="D18" s="1303"/>
      <c r="E18" s="1303"/>
      <c r="F18" s="1304"/>
      <c r="G18" s="1305"/>
      <c r="H18" s="1315"/>
      <c r="I18" s="1316">
        <f>ROUND(D18*E18*F18*G18/10000,0)</f>
        <v>0</v>
      </c>
    </row>
    <row r="19" spans="1:9" ht="15.6">
      <c r="A19" s="3319"/>
      <c r="B19" s="3320" t="s">
        <v>1104</v>
      </c>
      <c r="C19" s="3320"/>
      <c r="D19" s="1303"/>
      <c r="E19" s="1303"/>
      <c r="F19" s="1304"/>
      <c r="G19" s="1305"/>
      <c r="H19" s="1315"/>
      <c r="I19" s="1316">
        <f>ROUND(D19*E19*F19*G19/10000,0)</f>
        <v>0</v>
      </c>
    </row>
    <row r="20" spans="1:9">
      <c r="A20" s="3319"/>
      <c r="B20" s="3321" t="s">
        <v>1088</v>
      </c>
      <c r="C20" s="3321"/>
      <c r="D20" s="1307">
        <f>SUM(D17:D19)</f>
        <v>0</v>
      </c>
      <c r="E20" s="1307"/>
      <c r="F20" s="1308"/>
      <c r="G20" s="1305"/>
      <c r="H20" s="1312"/>
      <c r="I20" s="1313">
        <f>SUM(I17:I19)</f>
        <v>0</v>
      </c>
    </row>
    <row r="21" spans="1:9">
      <c r="A21" s="3319" t="s">
        <v>1105</v>
      </c>
      <c r="B21" s="3322"/>
      <c r="C21" s="3322"/>
      <c r="D21" s="3322"/>
      <c r="E21" s="3322"/>
      <c r="F21" s="3322"/>
      <c r="G21" s="3322"/>
      <c r="H21" s="1756">
        <v>0.1</v>
      </c>
      <c r="I21" s="1310">
        <f>ROUND(I10*H21,0)</f>
        <v>0</v>
      </c>
    </row>
    <row r="22" spans="1:9" ht="15.6">
      <c r="A22" s="3323" t="s">
        <v>1106</v>
      </c>
      <c r="B22" s="3324"/>
      <c r="C22" s="3325"/>
      <c r="D22" s="1317" t="s">
        <v>1107</v>
      </c>
      <c r="E22" s="1317" t="s">
        <v>1108</v>
      </c>
      <c r="F22" s="1318" t="s">
        <v>1109</v>
      </c>
      <c r="G22" s="1318" t="s">
        <v>1110</v>
      </c>
      <c r="H22" s="1311" t="s">
        <v>1111</v>
      </c>
      <c r="I22" s="1302" t="s">
        <v>1112</v>
      </c>
    </row>
    <row r="23" spans="1:9" ht="15" thickBot="1">
      <c r="A23" s="3326"/>
      <c r="B23" s="3327"/>
      <c r="C23" s="3328"/>
      <c r="D23" s="1319"/>
      <c r="E23" s="1319"/>
      <c r="F23" s="1319"/>
      <c r="G23" s="1320"/>
      <c r="H23" s="1321"/>
      <c r="I23" s="1322">
        <f>ROUND(E23*D23*F23*(1-G23)/10000,0)</f>
        <v>0</v>
      </c>
    </row>
    <row r="26" spans="1:9">
      <c r="A26" s="1323" t="s">
        <v>1113</v>
      </c>
      <c r="B26" s="1323"/>
      <c r="C26" s="1323"/>
      <c r="D26" s="1323"/>
      <c r="E26" s="3316">
        <f>C27-C30-C31-C32</f>
        <v>0</v>
      </c>
      <c r="F26" s="3316"/>
      <c r="G26" s="3316"/>
      <c r="H26" s="1736" t="s">
        <v>1335</v>
      </c>
    </row>
    <row r="27" spans="1:9">
      <c r="A27" s="1324">
        <v>1</v>
      </c>
      <c r="B27" s="1325" t="s">
        <v>1114</v>
      </c>
      <c r="C27" s="1325">
        <f>C28+C29</f>
        <v>0</v>
      </c>
      <c r="D27" s="1325"/>
      <c r="E27" s="3317"/>
      <c r="F27" s="3317"/>
      <c r="G27" s="3317"/>
    </row>
    <row r="28" spans="1:9">
      <c r="A28" s="1326" t="s">
        <v>1115</v>
      </c>
      <c r="B28" s="1325" t="s">
        <v>1116</v>
      </c>
      <c r="C28" s="1325"/>
      <c r="D28" s="1325"/>
      <c r="E28" s="3317"/>
      <c r="F28" s="3317"/>
      <c r="G28" s="331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18"/>
      <c r="F32" s="3318"/>
      <c r="G32" s="3318"/>
    </row>
    <row r="33" spans="1:7" hidden="1">
      <c r="A33" s="3313" t="s">
        <v>1125</v>
      </c>
      <c r="B33" s="3314"/>
      <c r="C33" s="3314"/>
      <c r="D33" s="3315"/>
      <c r="E33" s="3316"/>
      <c r="F33" s="3316"/>
      <c r="G33" s="3316"/>
    </row>
    <row r="34" spans="1:7" hidden="1">
      <c r="A34" s="1328">
        <v>1</v>
      </c>
      <c r="B34" s="1325" t="s">
        <v>1126</v>
      </c>
      <c r="C34" s="1325"/>
      <c r="D34" s="1325"/>
      <c r="E34" s="3317"/>
      <c r="F34" s="3317"/>
      <c r="G34" s="3317"/>
    </row>
    <row r="35" spans="1:7" hidden="1">
      <c r="A35" s="1328">
        <v>2</v>
      </c>
      <c r="B35" s="1325" t="s">
        <v>1127</v>
      </c>
      <c r="C35" s="1325"/>
      <c r="D35" s="1325"/>
      <c r="E35" s="3317"/>
      <c r="F35" s="3317"/>
      <c r="G35" s="3317"/>
    </row>
    <row r="36" spans="1:7" hidden="1">
      <c r="A36" s="1328">
        <v>3</v>
      </c>
      <c r="B36" s="1325" t="s">
        <v>1128</v>
      </c>
      <c r="C36" s="1325"/>
      <c r="D36" s="1325"/>
      <c r="E36" s="3317"/>
      <c r="F36" s="3317"/>
      <c r="G36" s="3317"/>
    </row>
    <row r="37" spans="1:7" hidden="1">
      <c r="A37" s="1328">
        <v>4</v>
      </c>
      <c r="B37" s="1325" t="s">
        <v>1129</v>
      </c>
      <c r="C37" s="1325"/>
      <c r="D37" s="1325"/>
      <c r="E37" s="3317"/>
      <c r="F37" s="3317"/>
      <c r="G37" s="3317"/>
    </row>
    <row r="38" spans="1:7" hidden="1">
      <c r="A38" s="3313" t="s">
        <v>1130</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573" t="s">
        <v>2528</v>
      </c>
      <c r="C1" s="1633" t="s">
        <v>2529</v>
      </c>
      <c r="D1" s="1620"/>
      <c r="E1" s="2574"/>
      <c r="F1" s="2575" t="s">
        <v>2530</v>
      </c>
      <c r="G1" s="1630" t="s">
        <v>2531</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7"/>
      <c r="D2" s="1365" t="e">
        <f ca="1">SUMIF(INDIRECT("'"&amp;F2&amp;"'"&amp;"!A:A"),"承租人权益价值",INDIRECT("'"&amp;F2&amp;"'"&amp;"!c:c"))</f>
        <v>#REF!</v>
      </c>
      <c r="E2" s="2578" t="s">
        <v>2532</v>
      </c>
      <c r="F2" s="2579"/>
      <c r="G2" s="1124"/>
      <c r="H2" s="1124"/>
      <c r="I2" s="1124"/>
      <c r="J2" s="1124"/>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1389</v>
      </c>
      <c r="B3" s="399" t="e">
        <f ca="1">IF(C2="——",C49,ROUND(B2*10000/D3,0))</f>
        <v>#DIV/0!</v>
      </c>
      <c r="C3" s="400" t="s">
        <v>2533</v>
      </c>
      <c r="D3" s="399">
        <f>IF(D1="",'数据-汇总表'!E3,SUMIF('数据-汇总表'!$C19:$C33,D1,'数据-汇总表'!$E19:$E33))</f>
        <v>85553.64</v>
      </c>
      <c r="E3" s="1124"/>
      <c r="F3" s="2586"/>
      <c r="G3" s="1124"/>
      <c r="H3" s="1124"/>
      <c r="I3" s="1124"/>
      <c r="J3" s="1124"/>
      <c r="K3" s="2580"/>
      <c r="L3" s="2581"/>
      <c r="M3" s="2582"/>
      <c r="N3" s="2582"/>
      <c r="O3" s="2582"/>
      <c r="P3" s="2583"/>
      <c r="Q3" s="2584"/>
      <c r="R3" s="2584"/>
      <c r="S3" s="2584"/>
      <c r="T3" s="2584"/>
      <c r="U3" s="2584"/>
      <c r="V3" s="2584"/>
      <c r="W3" s="2584"/>
      <c r="X3" s="2584"/>
      <c r="Y3" s="2584"/>
      <c r="Z3" s="2584"/>
      <c r="AA3" s="2584"/>
      <c r="AB3" s="2584"/>
      <c r="AC3" s="1282"/>
    </row>
    <row r="4" spans="1:29" ht="14.4">
      <c r="A4" s="401" t="s">
        <v>2534</v>
      </c>
      <c r="B4" s="402"/>
      <c r="C4" s="3240" t="s">
        <v>2535</v>
      </c>
      <c r="D4" s="3241"/>
      <c r="E4" s="3242" t="s">
        <v>2536</v>
      </c>
      <c r="F4" s="3243"/>
      <c r="G4" s="3240" t="s">
        <v>2537</v>
      </c>
      <c r="H4" s="3241"/>
      <c r="I4" s="3240" t="s">
        <v>2538</v>
      </c>
      <c r="J4" s="3241"/>
      <c r="K4" s="2587" t="s">
        <v>2539</v>
      </c>
      <c r="L4" s="1130"/>
      <c r="M4" s="1131"/>
      <c r="N4" s="1131"/>
      <c r="O4" s="1131"/>
      <c r="P4" s="3278" t="s">
        <v>2540</v>
      </c>
      <c r="Q4" s="3279"/>
      <c r="R4" s="3282" t="s">
        <v>2536</v>
      </c>
      <c r="S4" s="3283"/>
      <c r="T4" s="3282" t="s">
        <v>2537</v>
      </c>
      <c r="U4" s="3283"/>
      <c r="V4" s="3257" t="s">
        <v>2538</v>
      </c>
      <c r="W4" s="3257"/>
      <c r="X4" s="1804"/>
      <c r="Y4" s="3282" t="s">
        <v>2540</v>
      </c>
      <c r="Z4" s="3283"/>
      <c r="AA4" s="3277" t="s">
        <v>2536</v>
      </c>
      <c r="AB4" s="3277" t="s">
        <v>2537</v>
      </c>
      <c r="AC4" s="3277" t="s">
        <v>2538</v>
      </c>
    </row>
    <row r="5" spans="1:29">
      <c r="A5" s="404"/>
      <c r="B5" s="405"/>
      <c r="C5" s="3266" t="s">
        <v>2541</v>
      </c>
      <c r="D5" s="3261"/>
      <c r="E5" s="3284" t="s">
        <v>2542</v>
      </c>
      <c r="F5" s="3273"/>
      <c r="G5" s="3266" t="s">
        <v>2543</v>
      </c>
      <c r="H5" s="3261"/>
      <c r="I5" s="3266" t="s">
        <v>2544</v>
      </c>
      <c r="J5" s="3261"/>
      <c r="K5" s="2588"/>
      <c r="L5" s="1130"/>
      <c r="M5" s="1131"/>
      <c r="N5" s="1131"/>
      <c r="O5" s="1131"/>
      <c r="P5" s="3280"/>
      <c r="Q5" s="3247"/>
      <c r="R5" s="3252"/>
      <c r="S5" s="3253"/>
      <c r="T5" s="3252"/>
      <c r="U5" s="3253"/>
      <c r="V5" s="3257"/>
      <c r="W5" s="3257"/>
      <c r="X5" s="1804"/>
      <c r="Y5" s="3252"/>
      <c r="Z5" s="3253"/>
      <c r="AA5" s="3270"/>
      <c r="AB5" s="3270"/>
      <c r="AC5" s="3270"/>
    </row>
    <row r="6" spans="1:29" ht="15" thickBot="1">
      <c r="A6" s="406"/>
      <c r="B6" s="407"/>
      <c r="C6" s="3258" t="s">
        <v>2545</v>
      </c>
      <c r="D6" s="3259"/>
      <c r="E6" s="3267" t="s">
        <v>2545</v>
      </c>
      <c r="F6" s="3268"/>
      <c r="G6" s="3258" t="s">
        <v>2545</v>
      </c>
      <c r="H6" s="3259"/>
      <c r="I6" s="3258" t="s">
        <v>2545</v>
      </c>
      <c r="J6" s="3259"/>
      <c r="K6" s="2588" t="s">
        <v>2546</v>
      </c>
      <c r="L6" s="1130"/>
      <c r="M6" s="1131"/>
      <c r="N6" s="1131"/>
      <c r="O6" s="1131"/>
      <c r="P6" s="3281"/>
      <c r="Q6" s="3249"/>
      <c r="R6" s="3252"/>
      <c r="S6" s="3253"/>
      <c r="T6" s="3254"/>
      <c r="U6" s="3255"/>
      <c r="V6" s="3257"/>
      <c r="W6" s="3257"/>
      <c r="X6" s="1804"/>
      <c r="Y6" s="3254"/>
      <c r="Z6" s="3255"/>
      <c r="AA6" s="3271"/>
      <c r="AB6" s="3271"/>
      <c r="AC6" s="3271"/>
    </row>
    <row r="7" spans="1:29" s="117" customFormat="1" ht="1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2589"/>
      <c r="L7" s="1132"/>
      <c r="M7" s="1133"/>
      <c r="N7" s="1133"/>
      <c r="O7" s="1133"/>
      <c r="P7" s="3264" t="s">
        <v>2548</v>
      </c>
      <c r="Q7" s="3265"/>
      <c r="R7" s="770" t="s">
        <v>23</v>
      </c>
      <c r="S7" s="771">
        <f t="shared" ref="S7:S15" si="0">F7</f>
        <v>0</v>
      </c>
      <c r="T7" s="770" t="s">
        <v>23</v>
      </c>
      <c r="U7" s="771">
        <f t="shared" ref="U7:U15" si="1">H7</f>
        <v>0</v>
      </c>
      <c r="V7" s="770" t="s">
        <v>23</v>
      </c>
      <c r="W7" s="771">
        <f t="shared" ref="W7:W15" si="2">J7</f>
        <v>0</v>
      </c>
      <c r="X7" s="772"/>
      <c r="Y7" s="3264" t="s">
        <v>2548</v>
      </c>
      <c r="Z7" s="3263"/>
      <c r="AA7" s="773" t="e">
        <f>D7/F7</f>
        <v>#DIV/0!</v>
      </c>
      <c r="AB7" s="773" t="e">
        <f>D7/H7</f>
        <v>#DIV/0!</v>
      </c>
      <c r="AC7" s="773" t="e">
        <f>D7/J7</f>
        <v>#DIV/0!</v>
      </c>
    </row>
    <row r="8" spans="1:29" s="117" customFormat="1" ht="15" thickBot="1">
      <c r="A8" s="408" t="s">
        <v>2549</v>
      </c>
      <c r="B8" s="409"/>
      <c r="C8" s="414" t="s">
        <v>2550</v>
      </c>
      <c r="D8" s="411">
        <v>100</v>
      </c>
      <c r="E8" s="2590"/>
      <c r="F8" s="413">
        <f>SUMIF(61:61,E8,62:62)-SUMIF(61:61,C8,62:62)+100</f>
        <v>0</v>
      </c>
      <c r="G8" s="414"/>
      <c r="H8" s="411">
        <f>SUMIF(61:61,G8,62:62)-SUMIF(61:61,C8,62:62)+100</f>
        <v>0</v>
      </c>
      <c r="I8" s="2590"/>
      <c r="J8" s="411">
        <f>SUMIF(61:61,I8,62:62)-SUMIF(61:61,C8,62:62)+100</f>
        <v>0</v>
      </c>
      <c r="K8" s="2589"/>
      <c r="L8" s="1132"/>
      <c r="M8" s="1133"/>
      <c r="N8" s="1133"/>
      <c r="O8" s="1133"/>
      <c r="P8" s="3264" t="s">
        <v>2551</v>
      </c>
      <c r="Q8" s="3263"/>
      <c r="R8" s="770" t="s">
        <v>23</v>
      </c>
      <c r="S8" s="771">
        <f t="shared" si="0"/>
        <v>0</v>
      </c>
      <c r="T8" s="770" t="s">
        <v>23</v>
      </c>
      <c r="U8" s="771">
        <f t="shared" si="1"/>
        <v>0</v>
      </c>
      <c r="V8" s="770" t="s">
        <v>23</v>
      </c>
      <c r="W8" s="771">
        <f t="shared" si="2"/>
        <v>0</v>
      </c>
      <c r="X8" s="772"/>
      <c r="Y8" s="3264" t="s">
        <v>2551</v>
      </c>
      <c r="Z8" s="3263"/>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9"/>
      <c r="L9" s="1132"/>
      <c r="M9" s="1133"/>
      <c r="N9" s="1133"/>
      <c r="O9" s="1133"/>
      <c r="P9" s="3222"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786"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32"/>
      <c r="M12" s="1133"/>
      <c r="N12" s="1133"/>
      <c r="O12" s="1133"/>
      <c r="P12" s="3222"/>
      <c r="Q12" s="1786">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40"/>
      <c r="M13" s="1131"/>
      <c r="N13" s="1131"/>
      <c r="O13" s="1131"/>
      <c r="P13" s="3222"/>
      <c r="Q13" s="1786">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6"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40"/>
      <c r="M14" s="1131"/>
      <c r="N14" s="1131"/>
      <c r="O14" s="1131"/>
      <c r="P14" s="3222"/>
      <c r="Q14" s="1786">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96.6">
      <c r="A15" s="440" t="s">
        <v>2558</v>
      </c>
      <c r="B15" s="69" t="s">
        <v>2083</v>
      </c>
      <c r="C15" s="259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2559</v>
      </c>
      <c r="Q15" s="1801" t="str">
        <f t="shared" si="6"/>
        <v>居住社区成熟度</v>
      </c>
      <c r="R15" s="774" t="s">
        <v>21</v>
      </c>
      <c r="S15" s="775">
        <f t="shared" si="0"/>
        <v>100</v>
      </c>
      <c r="T15" s="774" t="s">
        <v>21</v>
      </c>
      <c r="U15" s="775">
        <f t="shared" si="1"/>
        <v>100</v>
      </c>
      <c r="V15" s="774" t="s">
        <v>21</v>
      </c>
      <c r="W15" s="775">
        <f t="shared" si="2"/>
        <v>100</v>
      </c>
      <c r="X15" s="1804"/>
      <c r="Y15" s="3230" t="s">
        <v>2559</v>
      </c>
      <c r="Z15" s="1805" t="str">
        <f t="shared" si="7"/>
        <v>居住社区成熟度</v>
      </c>
      <c r="AA15" s="1802">
        <f t="shared" si="3"/>
        <v>1</v>
      </c>
      <c r="AB15" s="1802">
        <f t="shared" si="4"/>
        <v>1</v>
      </c>
      <c r="AC15" s="1802">
        <f t="shared" si="5"/>
        <v>1</v>
      </c>
    </row>
    <row r="16" spans="1:29" ht="15">
      <c r="A16" s="428"/>
      <c r="B16" s="446"/>
      <c r="C16" s="447"/>
      <c r="D16" s="448"/>
      <c r="E16" s="2595"/>
      <c r="F16" s="448"/>
      <c r="G16" s="2596"/>
      <c r="H16" s="450"/>
      <c r="I16" s="2596"/>
      <c r="J16" s="448"/>
      <c r="K16" s="2597"/>
      <c r="L16" s="1140"/>
      <c r="M16" s="1131"/>
      <c r="N16" s="1131"/>
      <c r="O16" s="1131"/>
      <c r="P16" s="3229"/>
      <c r="Q16" s="1801"/>
      <c r="R16" s="774"/>
      <c r="S16" s="775"/>
      <c r="T16" s="774"/>
      <c r="U16" s="775"/>
      <c r="V16" s="774"/>
      <c r="W16" s="775"/>
      <c r="X16" s="1804"/>
      <c r="Y16" s="3231"/>
      <c r="Z16" s="1805"/>
      <c r="AA16" s="1802">
        <v>1</v>
      </c>
      <c r="AB16" s="1802">
        <v>1</v>
      </c>
      <c r="AC16" s="1802">
        <v>1</v>
      </c>
    </row>
    <row r="17" spans="1:29" ht="82.8">
      <c r="A17" s="428"/>
      <c r="B17" s="451" t="s">
        <v>2095</v>
      </c>
      <c r="C17" s="259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01" t="str">
        <f>B17</f>
        <v>交通便捷度</v>
      </c>
      <c r="R17" s="774" t="s">
        <v>21</v>
      </c>
      <c r="S17" s="775">
        <f>F17</f>
        <v>100</v>
      </c>
      <c r="T17" s="774" t="s">
        <v>21</v>
      </c>
      <c r="U17" s="775">
        <f>H17</f>
        <v>100</v>
      </c>
      <c r="V17" s="774" t="s">
        <v>21</v>
      </c>
      <c r="W17" s="775">
        <f>J17</f>
        <v>100</v>
      </c>
      <c r="X17" s="1804"/>
      <c r="Y17" s="3231"/>
      <c r="Z17" s="1805" t="str">
        <f>Q17</f>
        <v>交通便捷度</v>
      </c>
      <c r="AA17" s="1802">
        <f t="shared" si="3"/>
        <v>1</v>
      </c>
      <c r="AB17" s="1802">
        <f t="shared" si="4"/>
        <v>1</v>
      </c>
      <c r="AC17" s="1802">
        <f t="shared" si="5"/>
        <v>1</v>
      </c>
    </row>
    <row r="18" spans="1:29" ht="15">
      <c r="A18" s="428"/>
      <c r="B18" s="456"/>
      <c r="C18" s="2599"/>
      <c r="D18" s="450"/>
      <c r="E18" s="2600"/>
      <c r="F18" s="450"/>
      <c r="G18" s="2601"/>
      <c r="H18" s="448"/>
      <c r="I18" s="2601"/>
      <c r="J18" s="448"/>
      <c r="K18" s="2597"/>
      <c r="L18" s="1140"/>
      <c r="M18" s="1131"/>
      <c r="N18" s="1131"/>
      <c r="O18" s="1131"/>
      <c r="P18" s="3229"/>
      <c r="Q18" s="1801"/>
      <c r="R18" s="774"/>
      <c r="S18" s="775"/>
      <c r="T18" s="774"/>
      <c r="U18" s="775"/>
      <c r="V18" s="774"/>
      <c r="W18" s="775"/>
      <c r="X18" s="1804"/>
      <c r="Y18" s="3231"/>
      <c r="Z18" s="1805"/>
      <c r="AA18" s="1802">
        <v>1</v>
      </c>
      <c r="AB18" s="1802">
        <v>1</v>
      </c>
      <c r="AC18" s="1802">
        <v>1</v>
      </c>
    </row>
    <row r="19" spans="1:29" ht="41.4">
      <c r="A19" s="428"/>
      <c r="B19" s="451" t="s">
        <v>2093</v>
      </c>
      <c r="C19" s="259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01" t="str">
        <f>B19</f>
        <v>公共配套设施</v>
      </c>
      <c r="R19" s="774" t="s">
        <v>21</v>
      </c>
      <c r="S19" s="775">
        <f>F19</f>
        <v>100</v>
      </c>
      <c r="T19" s="774" t="s">
        <v>21</v>
      </c>
      <c r="U19" s="775">
        <f>H19</f>
        <v>100</v>
      </c>
      <c r="V19" s="774" t="s">
        <v>21</v>
      </c>
      <c r="W19" s="775">
        <f>J19</f>
        <v>100</v>
      </c>
      <c r="X19" s="1804"/>
      <c r="Y19" s="3231"/>
      <c r="Z19" s="1805" t="str">
        <f>Q19</f>
        <v>公共配套设施</v>
      </c>
      <c r="AA19" s="1802">
        <f t="shared" si="3"/>
        <v>1</v>
      </c>
      <c r="AB19" s="1802">
        <f t="shared" si="4"/>
        <v>1</v>
      </c>
      <c r="AC19" s="1802">
        <f t="shared" si="5"/>
        <v>1</v>
      </c>
    </row>
    <row r="20" spans="1:29" ht="15">
      <c r="A20" s="428"/>
      <c r="B20" s="456"/>
      <c r="C20" s="447"/>
      <c r="D20" s="448"/>
      <c r="E20" s="2595"/>
      <c r="F20" s="448"/>
      <c r="G20" s="2596"/>
      <c r="H20" s="448"/>
      <c r="I20" s="2596"/>
      <c r="J20" s="448"/>
      <c r="K20" s="2597"/>
      <c r="L20" s="1140"/>
      <c r="M20" s="1131"/>
      <c r="N20" s="1131"/>
      <c r="O20" s="1131"/>
      <c r="P20" s="3229"/>
      <c r="Q20" s="1801"/>
      <c r="R20" s="774"/>
      <c r="S20" s="775"/>
      <c r="T20" s="774"/>
      <c r="U20" s="775"/>
      <c r="V20" s="774"/>
      <c r="W20" s="775"/>
      <c r="X20" s="1804"/>
      <c r="Y20" s="3231"/>
      <c r="Z20" s="1805"/>
      <c r="AA20" s="1802">
        <v>1</v>
      </c>
      <c r="AB20" s="1802">
        <v>1</v>
      </c>
      <c r="AC20" s="1802">
        <v>1</v>
      </c>
    </row>
    <row r="21" spans="1:29" ht="27.6">
      <c r="A21" s="428"/>
      <c r="B21" s="1384" t="s">
        <v>2096</v>
      </c>
      <c r="C21" s="259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01" t="str">
        <f>B21</f>
        <v>基础设施水平</v>
      </c>
      <c r="R21" s="774" t="s">
        <v>17</v>
      </c>
      <c r="S21" s="775">
        <f>F21</f>
        <v>100</v>
      </c>
      <c r="T21" s="774" t="s">
        <v>17</v>
      </c>
      <c r="U21" s="775">
        <f>H21</f>
        <v>100</v>
      </c>
      <c r="V21" s="774" t="s">
        <v>17</v>
      </c>
      <c r="W21" s="775">
        <f>J21</f>
        <v>100</v>
      </c>
      <c r="X21" s="1804"/>
      <c r="Y21" s="3231"/>
      <c r="Z21" s="1805" t="str">
        <f>Q21</f>
        <v>基础设施水平</v>
      </c>
      <c r="AA21" s="1802">
        <f t="shared" ref="AA21" si="8">D21/F21</f>
        <v>1</v>
      </c>
      <c r="AB21" s="1802">
        <f t="shared" ref="AB21" si="9">D21/H21</f>
        <v>1</v>
      </c>
      <c r="AC21" s="1802">
        <f t="shared" ref="AC21" si="10">D21/J21</f>
        <v>1</v>
      </c>
    </row>
    <row r="22" spans="1:29" ht="15">
      <c r="A22" s="428"/>
      <c r="B22" s="1384"/>
      <c r="C22" s="2599"/>
      <c r="D22" s="448"/>
      <c r="E22" s="447"/>
      <c r="F22" s="448"/>
      <c r="G22" s="2602"/>
      <c r="H22" s="448"/>
      <c r="I22" s="447"/>
      <c r="J22" s="448"/>
      <c r="K22" s="2603"/>
      <c r="L22" s="1140"/>
      <c r="M22" s="1131"/>
      <c r="N22" s="1131"/>
      <c r="O22" s="1131"/>
      <c r="P22" s="3229"/>
      <c r="Q22" s="1801"/>
      <c r="R22" s="774"/>
      <c r="S22" s="775"/>
      <c r="T22" s="774"/>
      <c r="U22" s="775"/>
      <c r="V22" s="774"/>
      <c r="W22" s="775"/>
      <c r="X22" s="1804"/>
      <c r="Y22" s="3231"/>
      <c r="Z22" s="1805"/>
      <c r="AA22" s="1802">
        <v>1</v>
      </c>
      <c r="AB22" s="1802">
        <v>1</v>
      </c>
      <c r="AC22" s="1802">
        <v>1</v>
      </c>
    </row>
    <row r="23" spans="1:29" ht="55.2">
      <c r="A23" s="428"/>
      <c r="B23" s="451" t="s">
        <v>2100</v>
      </c>
      <c r="C23" s="259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01" t="str">
        <f>B23</f>
        <v>自然及人文环境</v>
      </c>
      <c r="R23" s="774" t="s">
        <v>21</v>
      </c>
      <c r="S23" s="775">
        <f>F23</f>
        <v>100</v>
      </c>
      <c r="T23" s="774" t="s">
        <v>21</v>
      </c>
      <c r="U23" s="775">
        <f>H23</f>
        <v>100</v>
      </c>
      <c r="V23" s="774" t="s">
        <v>21</v>
      </c>
      <c r="W23" s="775">
        <f>J23</f>
        <v>100</v>
      </c>
      <c r="X23" s="1804"/>
      <c r="Y23" s="3231"/>
      <c r="Z23" s="1805" t="str">
        <f>Q23</f>
        <v>自然及人文环境</v>
      </c>
      <c r="AA23" s="1802">
        <f>D23/F23</f>
        <v>1</v>
      </c>
      <c r="AB23" s="1802">
        <f>D23/H23</f>
        <v>1</v>
      </c>
      <c r="AC23" s="1802">
        <f>D23/J23</f>
        <v>1</v>
      </c>
    </row>
    <row r="24" spans="1:29" ht="15">
      <c r="A24" s="428"/>
      <c r="B24" s="456"/>
      <c r="C24" s="447"/>
      <c r="D24" s="448"/>
      <c r="E24" s="2595"/>
      <c r="F24" s="448"/>
      <c r="G24" s="2596"/>
      <c r="H24" s="448"/>
      <c r="I24" s="2596"/>
      <c r="J24" s="448"/>
      <c r="K24" s="2597"/>
      <c r="L24" s="1140"/>
      <c r="M24" s="1131"/>
      <c r="N24" s="1131"/>
      <c r="O24" s="1131"/>
      <c r="P24" s="3229"/>
      <c r="Q24" s="1801"/>
      <c r="R24" s="774"/>
      <c r="S24" s="775"/>
      <c r="T24" s="774"/>
      <c r="U24" s="775"/>
      <c r="V24" s="774"/>
      <c r="W24" s="775"/>
      <c r="X24" s="1804"/>
      <c r="Y24" s="3231"/>
      <c r="Z24" s="1805"/>
      <c r="AA24" s="1802">
        <v>1</v>
      </c>
      <c r="AB24" s="1802">
        <v>1</v>
      </c>
      <c r="AC24" s="1802">
        <v>1</v>
      </c>
    </row>
    <row r="25" spans="1:29" ht="15">
      <c r="A25" s="428"/>
      <c r="B25" s="422" t="s">
        <v>2560</v>
      </c>
      <c r="C25" s="460"/>
      <c r="D25" s="435">
        <v>100</v>
      </c>
      <c r="E25" s="2604"/>
      <c r="F25" s="435">
        <f>SUMIF(86:86,E25,87:87)-SUMIF(86:86,C25,87:87)+100</f>
        <v>100</v>
      </c>
      <c r="G25" s="2605"/>
      <c r="H25" s="435">
        <f>SUMIF(86:86,G25,87:87)-SUMIF(86:86,C25,87:87)+100</f>
        <v>100</v>
      </c>
      <c r="I25" s="2605"/>
      <c r="J25" s="435">
        <f>SUMIF(86:86,I25,87:87)-SUMIF(86:86,C25,87:87)+100</f>
        <v>100</v>
      </c>
      <c r="K25" s="426"/>
      <c r="L25" s="1140"/>
      <c r="M25" s="1131"/>
      <c r="N25" s="1131"/>
      <c r="O25" s="1131"/>
      <c r="P25" s="3229"/>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1"/>
      <c r="Z25" s="1805" t="str">
        <f>Q25</f>
        <v>楼层-1</v>
      </c>
      <c r="AA25" s="1802">
        <f t="shared" ref="AA25:AA46" si="15">D25/F25</f>
        <v>1</v>
      </c>
      <c r="AB25" s="1802">
        <f t="shared" ref="AB25:AB46" si="16">D25/H25</f>
        <v>1</v>
      </c>
      <c r="AC25" s="1802">
        <f t="shared" ref="AC25:AC46" si="17">D25/J25</f>
        <v>1</v>
      </c>
    </row>
    <row r="26" spans="1:29" ht="15">
      <c r="A26" s="428"/>
      <c r="B26" s="422" t="s">
        <v>2561</v>
      </c>
      <c r="C26" s="460"/>
      <c r="D26" s="435">
        <v>100</v>
      </c>
      <c r="E26" s="2604"/>
      <c r="F26" s="435">
        <f>SUMIF(88:88,E26,89:89)-SUMIF(88:88,C26,89:89)+100</f>
        <v>100</v>
      </c>
      <c r="G26" s="2605"/>
      <c r="H26" s="435">
        <f>SUMIF(88:88,G26,89:89)-SUMIF(88:88,C26,89:89)+100</f>
        <v>100</v>
      </c>
      <c r="I26" s="2605"/>
      <c r="J26" s="435">
        <f>SUMIF(88:88,I26,89:89)-SUMIF(88:88,C26,89:89)+100</f>
        <v>100</v>
      </c>
      <c r="K26" s="426"/>
      <c r="L26" s="1140"/>
      <c r="M26" s="1131"/>
      <c r="N26" s="1131"/>
      <c r="O26" s="1131"/>
      <c r="P26" s="3229"/>
      <c r="Q26" s="1801" t="str">
        <f t="shared" si="11"/>
        <v>朝向</v>
      </c>
      <c r="R26" s="774" t="s">
        <v>21</v>
      </c>
      <c r="S26" s="775">
        <f t="shared" si="12"/>
        <v>100</v>
      </c>
      <c r="T26" s="774" t="s">
        <v>21</v>
      </c>
      <c r="U26" s="775">
        <f t="shared" si="13"/>
        <v>100</v>
      </c>
      <c r="V26" s="774" t="s">
        <v>21</v>
      </c>
      <c r="W26" s="775">
        <f t="shared" si="14"/>
        <v>100</v>
      </c>
      <c r="X26" s="1804"/>
      <c r="Y26" s="3231"/>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2"/>
      <c r="L27" s="1132"/>
      <c r="M27" s="1133"/>
      <c r="N27" s="1133"/>
      <c r="O27" s="1133"/>
      <c r="P27" s="3229"/>
      <c r="Q27" s="1786">
        <f t="shared" si="11"/>
        <v>111</v>
      </c>
      <c r="R27" s="770" t="s">
        <v>21</v>
      </c>
      <c r="S27" s="771">
        <f t="shared" si="12"/>
        <v>100</v>
      </c>
      <c r="T27" s="770" t="s">
        <v>21</v>
      </c>
      <c r="U27" s="771">
        <f t="shared" si="13"/>
        <v>100</v>
      </c>
      <c r="V27" s="770" t="s">
        <v>21</v>
      </c>
      <c r="W27" s="771">
        <f t="shared" si="14"/>
        <v>100</v>
      </c>
      <c r="X27" s="772"/>
      <c r="Y27" s="3231"/>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6"/>
      <c r="H28" s="435">
        <f>SUMIF(92:92,G28,93:93)-SUMIF(92:92,C28,93:93)+100</f>
        <v>100</v>
      </c>
      <c r="I28" s="434"/>
      <c r="J28" s="435">
        <f>SUMIF(92:92,I28,93:93)-SUMIF(92:92,C28,93:93)+100</f>
        <v>100</v>
      </c>
      <c r="K28" s="2592"/>
      <c r="L28" s="1140"/>
      <c r="M28" s="1131"/>
      <c r="N28" s="1131"/>
      <c r="O28" s="1131"/>
      <c r="P28" s="3229"/>
      <c r="Q28" s="1801">
        <f t="shared" si="11"/>
        <v>111</v>
      </c>
      <c r="R28" s="774" t="s">
        <v>21</v>
      </c>
      <c r="S28" s="775">
        <f t="shared" si="12"/>
        <v>100</v>
      </c>
      <c r="T28" s="774" t="s">
        <v>21</v>
      </c>
      <c r="U28" s="775">
        <f t="shared" si="13"/>
        <v>100</v>
      </c>
      <c r="V28" s="774" t="s">
        <v>21</v>
      </c>
      <c r="W28" s="775">
        <f t="shared" si="14"/>
        <v>100</v>
      </c>
      <c r="X28" s="1804"/>
      <c r="Y28" s="3231"/>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6"/>
      <c r="H29" s="435">
        <f>SUMIF(94:94,G29,95:95)-SUMIF(94:94,C29,95:95)+100</f>
        <v>100</v>
      </c>
      <c r="I29" s="434"/>
      <c r="J29" s="435">
        <f>SUMIF(94:94,I29,95:95)-SUMIF(94:94,C29,95:95)+100</f>
        <v>100</v>
      </c>
      <c r="K29" s="2592"/>
      <c r="L29" s="1140"/>
      <c r="M29" s="1131"/>
      <c r="N29" s="1131"/>
      <c r="O29" s="1131"/>
      <c r="P29" s="3229"/>
      <c r="Q29" s="1801">
        <f t="shared" si="11"/>
        <v>111</v>
      </c>
      <c r="R29" s="774" t="s">
        <v>21</v>
      </c>
      <c r="S29" s="775">
        <f t="shared" si="12"/>
        <v>100</v>
      </c>
      <c r="T29" s="774" t="s">
        <v>21</v>
      </c>
      <c r="U29" s="775">
        <f t="shared" si="13"/>
        <v>100</v>
      </c>
      <c r="V29" s="774" t="s">
        <v>21</v>
      </c>
      <c r="W29" s="775">
        <f t="shared" si="14"/>
        <v>100</v>
      </c>
      <c r="X29" s="1804"/>
      <c r="Y29" s="3231"/>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6"/>
      <c r="H30" s="435">
        <f>SUMIF(96:96,G30,97:97)-SUMIF(96:96,C30,97:97)+100</f>
        <v>100</v>
      </c>
      <c r="I30" s="434"/>
      <c r="J30" s="435">
        <f>SUMIF(96:96,I30,97:97)-SUMIF(96:96,C30,97:97)+100</f>
        <v>100</v>
      </c>
      <c r="K30" s="2592"/>
      <c r="L30" s="1140"/>
      <c r="M30" s="1131"/>
      <c r="N30" s="1131"/>
      <c r="O30" s="1131"/>
      <c r="P30" s="3229"/>
      <c r="Q30" s="1801">
        <f t="shared" si="11"/>
        <v>111</v>
      </c>
      <c r="R30" s="774" t="s">
        <v>21</v>
      </c>
      <c r="S30" s="775">
        <f t="shared" si="12"/>
        <v>100</v>
      </c>
      <c r="T30" s="774" t="s">
        <v>21</v>
      </c>
      <c r="U30" s="775">
        <f t="shared" si="13"/>
        <v>100</v>
      </c>
      <c r="V30" s="774" t="s">
        <v>21</v>
      </c>
      <c r="W30" s="775">
        <f t="shared" si="14"/>
        <v>100</v>
      </c>
      <c r="X30" s="1804"/>
      <c r="Y30" s="3231"/>
      <c r="Z30" s="1805">
        <f t="shared" si="18"/>
        <v>111</v>
      </c>
      <c r="AA30" s="1802">
        <f t="shared" si="15"/>
        <v>1</v>
      </c>
      <c r="AB30" s="1802">
        <f t="shared" si="16"/>
        <v>1</v>
      </c>
      <c r="AC30" s="1802">
        <f t="shared" si="17"/>
        <v>1</v>
      </c>
    </row>
    <row r="31" spans="1:29" ht="15.6" thickBot="1">
      <c r="A31" s="436"/>
      <c r="B31" s="1386">
        <v>111</v>
      </c>
      <c r="C31" s="437"/>
      <c r="D31" s="438">
        <v>100</v>
      </c>
      <c r="E31" s="437"/>
      <c r="F31" s="438">
        <f>SUMIF(98:98,E31,99:99)-SUMIF(98:98,C31,99:99)+100</f>
        <v>100</v>
      </c>
      <c r="G31" s="2607"/>
      <c r="H31" s="438">
        <f>SUMIF(98:98,G31,99:99)-SUMIF(98:98,C31,99:99)+100</f>
        <v>100</v>
      </c>
      <c r="I31" s="437"/>
      <c r="J31" s="438">
        <f>SUMIF(98:98,I31,99:99)-SUMIF(98:98,C31,99:99)+100</f>
        <v>100</v>
      </c>
      <c r="K31" s="2592"/>
      <c r="L31" s="1140"/>
      <c r="M31" s="1131"/>
      <c r="N31" s="1131"/>
      <c r="O31" s="1131"/>
      <c r="P31" s="3229"/>
      <c r="Q31" s="1801">
        <f t="shared" si="11"/>
        <v>111</v>
      </c>
      <c r="R31" s="774" t="s">
        <v>21</v>
      </c>
      <c r="S31" s="775">
        <f t="shared" si="12"/>
        <v>100</v>
      </c>
      <c r="T31" s="774" t="s">
        <v>21</v>
      </c>
      <c r="U31" s="775">
        <f t="shared" si="13"/>
        <v>100</v>
      </c>
      <c r="V31" s="774" t="s">
        <v>21</v>
      </c>
      <c r="W31" s="775">
        <f t="shared" si="14"/>
        <v>100</v>
      </c>
      <c r="X31" s="1804"/>
      <c r="Y31" s="3231"/>
      <c r="Z31" s="1805">
        <f t="shared" si="18"/>
        <v>111</v>
      </c>
      <c r="AA31" s="1802">
        <f t="shared" si="15"/>
        <v>1</v>
      </c>
      <c r="AB31" s="1802">
        <f t="shared" si="16"/>
        <v>1</v>
      </c>
      <c r="AC31" s="1802">
        <f t="shared" si="17"/>
        <v>1</v>
      </c>
    </row>
    <row r="32" spans="1:29" ht="15">
      <c r="A32" s="440" t="s">
        <v>2562</v>
      </c>
      <c r="B32" s="71" t="s">
        <v>2563</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40"/>
      <c r="M32" s="1131"/>
      <c r="N32" s="1131"/>
      <c r="O32" s="1131"/>
      <c r="P32" s="3232" t="s">
        <v>2564</v>
      </c>
      <c r="Q32" s="1801" t="str">
        <f t="shared" si="11"/>
        <v>建筑类型</v>
      </c>
      <c r="R32" s="774" t="s">
        <v>21</v>
      </c>
      <c r="S32" s="775">
        <f t="shared" si="12"/>
        <v>100</v>
      </c>
      <c r="T32" s="774" t="s">
        <v>21</v>
      </c>
      <c r="U32" s="775">
        <f t="shared" si="13"/>
        <v>100</v>
      </c>
      <c r="V32" s="774" t="s">
        <v>21</v>
      </c>
      <c r="W32" s="775">
        <f t="shared" si="14"/>
        <v>100</v>
      </c>
      <c r="X32" s="1804"/>
      <c r="Y32" s="3235" t="s">
        <v>2564</v>
      </c>
      <c r="Z32" s="1805" t="str">
        <f t="shared" si="18"/>
        <v>建筑类型</v>
      </c>
      <c r="AA32" s="1802">
        <f t="shared" si="15"/>
        <v>1</v>
      </c>
      <c r="AB32" s="1802">
        <f t="shared" si="16"/>
        <v>1</v>
      </c>
      <c r="AC32" s="180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8"/>
      <c r="M33" s="1141"/>
      <c r="N33" s="1141"/>
      <c r="O33" s="1141"/>
      <c r="P33" s="3233"/>
      <c r="Q33" s="776" t="str">
        <f t="shared" si="11"/>
        <v>项目建筑规模</v>
      </c>
      <c r="R33" s="777" t="s">
        <v>21</v>
      </c>
      <c r="S33" s="778" t="e">
        <f t="shared" si="12"/>
        <v>#N/A</v>
      </c>
      <c r="T33" s="777" t="s">
        <v>21</v>
      </c>
      <c r="U33" s="778" t="e">
        <f t="shared" si="13"/>
        <v>#N/A</v>
      </c>
      <c r="V33" s="777" t="s">
        <v>21</v>
      </c>
      <c r="W33" s="778" t="e">
        <f t="shared" si="14"/>
        <v>#N/A</v>
      </c>
      <c r="X33" s="779"/>
      <c r="Y33" s="3235"/>
      <c r="Z33" s="780" t="str">
        <f t="shared" si="18"/>
        <v>项目建筑规模</v>
      </c>
      <c r="AA33" s="1802" t="e">
        <f t="shared" si="15"/>
        <v>#N/A</v>
      </c>
      <c r="AB33" s="1802" t="e">
        <f t="shared" si="16"/>
        <v>#N/A</v>
      </c>
      <c r="AC33" s="1802" t="e">
        <f t="shared" si="17"/>
        <v>#N/A</v>
      </c>
    </row>
    <row r="34" spans="1:29" ht="15">
      <c r="A34" s="472"/>
      <c r="B34" s="422" t="s">
        <v>2566</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40"/>
      <c r="M34" s="1131"/>
      <c r="N34" s="1131"/>
      <c r="O34" s="1131"/>
      <c r="P34" s="3233"/>
      <c r="Q34" s="1801" t="str">
        <f t="shared" si="11"/>
        <v>建筑结构</v>
      </c>
      <c r="R34" s="774" t="s">
        <v>21</v>
      </c>
      <c r="S34" s="775">
        <f t="shared" si="12"/>
        <v>100</v>
      </c>
      <c r="T34" s="774" t="s">
        <v>21</v>
      </c>
      <c r="U34" s="775">
        <f t="shared" si="13"/>
        <v>100</v>
      </c>
      <c r="V34" s="774" t="s">
        <v>21</v>
      </c>
      <c r="W34" s="775">
        <f t="shared" si="14"/>
        <v>100</v>
      </c>
      <c r="X34" s="1804"/>
      <c r="Y34" s="3235"/>
      <c r="Z34" s="1805" t="str">
        <f t="shared" si="18"/>
        <v>建筑结构</v>
      </c>
      <c r="AA34" s="1802">
        <f t="shared" si="15"/>
        <v>1</v>
      </c>
      <c r="AB34" s="1802">
        <f t="shared" si="16"/>
        <v>1</v>
      </c>
      <c r="AC34" s="1802">
        <f t="shared" si="17"/>
        <v>1</v>
      </c>
    </row>
    <row r="35" spans="1:29" ht="15">
      <c r="A35" s="472"/>
      <c r="B35" s="422" t="s">
        <v>2567</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40"/>
      <c r="M35" s="1131"/>
      <c r="N35" s="1131"/>
      <c r="O35" s="1131"/>
      <c r="P35" s="3233"/>
      <c r="Q35" s="1801" t="str">
        <f t="shared" si="11"/>
        <v>建筑品质</v>
      </c>
      <c r="R35" s="774" t="s">
        <v>21</v>
      </c>
      <c r="S35" s="775">
        <f t="shared" si="12"/>
        <v>100</v>
      </c>
      <c r="T35" s="774" t="s">
        <v>21</v>
      </c>
      <c r="U35" s="775">
        <f t="shared" si="13"/>
        <v>100</v>
      </c>
      <c r="V35" s="774" t="s">
        <v>21</v>
      </c>
      <c r="W35" s="775">
        <f t="shared" si="14"/>
        <v>100</v>
      </c>
      <c r="X35" s="1804"/>
      <c r="Y35" s="3235"/>
      <c r="Z35" s="1805" t="str">
        <f t="shared" si="18"/>
        <v>建筑品质</v>
      </c>
      <c r="AA35" s="1802">
        <f t="shared" si="15"/>
        <v>1</v>
      </c>
      <c r="AB35" s="1802">
        <f t="shared" si="16"/>
        <v>1</v>
      </c>
      <c r="AC35" s="1802">
        <f t="shared" si="17"/>
        <v>1</v>
      </c>
    </row>
    <row r="36" spans="1:29" ht="15">
      <c r="A36" s="472"/>
      <c r="B36" s="422" t="s">
        <v>2568</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40"/>
      <c r="M36" s="1131"/>
      <c r="N36" s="1131"/>
      <c r="O36" s="1131"/>
      <c r="P36" s="3233"/>
      <c r="Q36" s="1801" t="str">
        <f t="shared" si="11"/>
        <v>公共部分装修</v>
      </c>
      <c r="R36" s="774" t="s">
        <v>21</v>
      </c>
      <c r="S36" s="775">
        <f t="shared" si="12"/>
        <v>100</v>
      </c>
      <c r="T36" s="774" t="s">
        <v>21</v>
      </c>
      <c r="U36" s="775">
        <f t="shared" si="13"/>
        <v>100</v>
      </c>
      <c r="V36" s="774" t="s">
        <v>21</v>
      </c>
      <c r="W36" s="775">
        <f t="shared" si="14"/>
        <v>100</v>
      </c>
      <c r="X36" s="1804"/>
      <c r="Y36" s="3235"/>
      <c r="Z36" s="1805" t="str">
        <f t="shared" si="18"/>
        <v>公共部分装修</v>
      </c>
      <c r="AA36" s="1802">
        <f t="shared" si="15"/>
        <v>1</v>
      </c>
      <c r="AB36" s="1802">
        <f t="shared" si="16"/>
        <v>1</v>
      </c>
      <c r="AC36" s="180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3"/>
      <c r="Q37" s="1786" t="str">
        <f t="shared" si="11"/>
        <v>成新度</v>
      </c>
      <c r="R37" s="770" t="s">
        <v>21</v>
      </c>
      <c r="S37" s="771" t="e">
        <f t="shared" si="12"/>
        <v>#N/A</v>
      </c>
      <c r="T37" s="770" t="s">
        <v>21</v>
      </c>
      <c r="U37" s="771" t="e">
        <f t="shared" si="13"/>
        <v>#N/A</v>
      </c>
      <c r="V37" s="770" t="s">
        <v>21</v>
      </c>
      <c r="W37" s="771" t="e">
        <f t="shared" si="14"/>
        <v>#N/A</v>
      </c>
      <c r="X37" s="772"/>
      <c r="Y37" s="3235"/>
      <c r="Z37" s="55" t="str">
        <f t="shared" si="18"/>
        <v>成新度</v>
      </c>
      <c r="AA37" s="773" t="e">
        <f t="shared" si="15"/>
        <v>#N/A</v>
      </c>
      <c r="AB37" s="773" t="e">
        <f t="shared" si="16"/>
        <v>#N/A</v>
      </c>
      <c r="AC37" s="773" t="e">
        <f t="shared" si="17"/>
        <v>#N/A</v>
      </c>
    </row>
    <row r="38" spans="1:29" ht="15">
      <c r="A38" s="472"/>
      <c r="B38" s="422" t="s">
        <v>2570</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40"/>
      <c r="M38" s="1131"/>
      <c r="N38" s="1131"/>
      <c r="O38" s="1131"/>
      <c r="P38" s="3233" t="s">
        <v>2564</v>
      </c>
      <c r="Q38" s="1801" t="str">
        <f t="shared" si="11"/>
        <v>物业管理</v>
      </c>
      <c r="R38" s="774" t="s">
        <v>21</v>
      </c>
      <c r="S38" s="775">
        <f t="shared" si="12"/>
        <v>100</v>
      </c>
      <c r="T38" s="774" t="s">
        <v>21</v>
      </c>
      <c r="U38" s="775">
        <f t="shared" si="13"/>
        <v>100</v>
      </c>
      <c r="V38" s="774" t="s">
        <v>21</v>
      </c>
      <c r="W38" s="775">
        <f t="shared" si="14"/>
        <v>100</v>
      </c>
      <c r="X38" s="1804"/>
      <c r="Y38" s="3235" t="s">
        <v>2564</v>
      </c>
      <c r="Z38" s="1805" t="str">
        <f t="shared" si="18"/>
        <v>物业管理</v>
      </c>
      <c r="AA38" s="1802">
        <f t="shared" si="15"/>
        <v>1</v>
      </c>
      <c r="AB38" s="1802">
        <f t="shared" si="16"/>
        <v>1</v>
      </c>
      <c r="AC38" s="1802">
        <f t="shared" si="17"/>
        <v>1</v>
      </c>
    </row>
    <row r="39" spans="1:29" ht="15">
      <c r="A39" s="472"/>
      <c r="B39" s="422" t="s">
        <v>2571</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40"/>
      <c r="M39" s="1131"/>
      <c r="N39" s="1131"/>
      <c r="O39" s="1131"/>
      <c r="P39" s="3233"/>
      <c r="Q39" s="1801" t="str">
        <f t="shared" si="11"/>
        <v>市政基础设施</v>
      </c>
      <c r="R39" s="774" t="s">
        <v>21</v>
      </c>
      <c r="S39" s="775">
        <f t="shared" si="12"/>
        <v>100</v>
      </c>
      <c r="T39" s="774" t="s">
        <v>21</v>
      </c>
      <c r="U39" s="775">
        <f t="shared" si="13"/>
        <v>100</v>
      </c>
      <c r="V39" s="774" t="s">
        <v>21</v>
      </c>
      <c r="W39" s="775">
        <f t="shared" si="14"/>
        <v>100</v>
      </c>
      <c r="X39" s="1804"/>
      <c r="Y39" s="3235"/>
      <c r="Z39" s="1805" t="str">
        <f t="shared" si="18"/>
        <v>市政基础设施</v>
      </c>
      <c r="AA39" s="1802">
        <f t="shared" si="15"/>
        <v>1</v>
      </c>
      <c r="AB39" s="1802">
        <f t="shared" si="16"/>
        <v>1</v>
      </c>
      <c r="AC39" s="1802">
        <f t="shared" si="17"/>
        <v>1</v>
      </c>
    </row>
    <row r="40" spans="1:29" ht="15">
      <c r="A40" s="472"/>
      <c r="B40" s="422" t="s">
        <v>2572</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40"/>
      <c r="M40" s="1131"/>
      <c r="N40" s="1131"/>
      <c r="O40" s="1131"/>
      <c r="P40" s="3233"/>
      <c r="Q40" s="1801" t="str">
        <f t="shared" si="11"/>
        <v>房型</v>
      </c>
      <c r="R40" s="774" t="s">
        <v>21</v>
      </c>
      <c r="S40" s="775">
        <f t="shared" si="12"/>
        <v>100</v>
      </c>
      <c r="T40" s="774" t="s">
        <v>21</v>
      </c>
      <c r="U40" s="775">
        <f t="shared" si="13"/>
        <v>100</v>
      </c>
      <c r="V40" s="774" t="s">
        <v>21</v>
      </c>
      <c r="W40" s="775">
        <f t="shared" si="14"/>
        <v>100</v>
      </c>
      <c r="X40" s="1804"/>
      <c r="Y40" s="3235"/>
      <c r="Z40" s="1805" t="str">
        <f t="shared" si="18"/>
        <v>房型</v>
      </c>
      <c r="AA40" s="1802">
        <f t="shared" si="15"/>
        <v>1</v>
      </c>
      <c r="AB40" s="1802">
        <f t="shared" si="16"/>
        <v>1</v>
      </c>
      <c r="AC40" s="1802">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1802">
        <f t="shared" si="15"/>
        <v>1</v>
      </c>
      <c r="AB41" s="1802">
        <f t="shared" si="16"/>
        <v>1</v>
      </c>
      <c r="AC41" s="1802">
        <f t="shared" si="17"/>
        <v>1</v>
      </c>
    </row>
    <row r="42" spans="1:29" ht="15">
      <c r="A42" s="472"/>
      <c r="B42" s="422" t="s">
        <v>2574</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40"/>
      <c r="M42" s="1131"/>
      <c r="N42" s="1131"/>
      <c r="O42" s="1131"/>
      <c r="P42" s="3233"/>
      <c r="Q42" s="1801" t="str">
        <f t="shared" si="11"/>
        <v>内部装修</v>
      </c>
      <c r="R42" s="774" t="s">
        <v>21</v>
      </c>
      <c r="S42" s="775">
        <f t="shared" si="12"/>
        <v>100</v>
      </c>
      <c r="T42" s="774" t="s">
        <v>21</v>
      </c>
      <c r="U42" s="775">
        <f t="shared" si="13"/>
        <v>100</v>
      </c>
      <c r="V42" s="774" t="s">
        <v>21</v>
      </c>
      <c r="W42" s="775">
        <f t="shared" si="14"/>
        <v>100</v>
      </c>
      <c r="X42" s="1804"/>
      <c r="Y42" s="3235"/>
      <c r="Z42" s="1805" t="str">
        <f t="shared" si="18"/>
        <v>内部装修</v>
      </c>
      <c r="AA42" s="1802">
        <f t="shared" si="15"/>
        <v>1</v>
      </c>
      <c r="AB42" s="1802">
        <f t="shared" si="16"/>
        <v>1</v>
      </c>
      <c r="AC42" s="1802">
        <f t="shared" si="17"/>
        <v>1</v>
      </c>
    </row>
    <row r="43" spans="1:29" ht="28.8">
      <c r="A43" s="472"/>
      <c r="B43" s="422" t="s">
        <v>2575</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40"/>
      <c r="M43" s="1131"/>
      <c r="N43" s="1131"/>
      <c r="O43" s="1131"/>
      <c r="P43" s="3233"/>
      <c r="Q43" s="1801" t="str">
        <f t="shared" si="11"/>
        <v>内部装修维护情况</v>
      </c>
      <c r="R43" s="774" t="s">
        <v>21</v>
      </c>
      <c r="S43" s="775">
        <f t="shared" si="12"/>
        <v>100</v>
      </c>
      <c r="T43" s="774" t="s">
        <v>21</v>
      </c>
      <c r="U43" s="775">
        <f t="shared" si="13"/>
        <v>100</v>
      </c>
      <c r="V43" s="774" t="s">
        <v>21</v>
      </c>
      <c r="W43" s="775">
        <f t="shared" si="14"/>
        <v>100</v>
      </c>
      <c r="X43" s="1804"/>
      <c r="Y43" s="3235"/>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32"/>
      <c r="M44" s="1133"/>
      <c r="N44" s="1133"/>
      <c r="O44" s="1133"/>
      <c r="P44" s="3233"/>
      <c r="Q44" s="1786">
        <f t="shared" si="11"/>
        <v>111</v>
      </c>
      <c r="R44" s="770" t="s">
        <v>21</v>
      </c>
      <c r="S44" s="771">
        <f t="shared" si="12"/>
        <v>100</v>
      </c>
      <c r="T44" s="770" t="s">
        <v>21</v>
      </c>
      <c r="U44" s="771">
        <f t="shared" si="13"/>
        <v>100</v>
      </c>
      <c r="V44" s="770" t="s">
        <v>21</v>
      </c>
      <c r="W44" s="771">
        <f t="shared" si="14"/>
        <v>100</v>
      </c>
      <c r="X44" s="772"/>
      <c r="Y44" s="323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40"/>
      <c r="M45" s="1131"/>
      <c r="N45" s="1131"/>
      <c r="O45" s="1131"/>
      <c r="P45" s="3233"/>
      <c r="Q45" s="1801">
        <f t="shared" si="11"/>
        <v>111</v>
      </c>
      <c r="R45" s="774" t="s">
        <v>21</v>
      </c>
      <c r="S45" s="775">
        <f t="shared" si="12"/>
        <v>100</v>
      </c>
      <c r="T45" s="774" t="s">
        <v>21</v>
      </c>
      <c r="U45" s="775">
        <f t="shared" si="13"/>
        <v>100</v>
      </c>
      <c r="V45" s="774" t="s">
        <v>21</v>
      </c>
      <c r="W45" s="775">
        <f t="shared" si="14"/>
        <v>100</v>
      </c>
      <c r="X45" s="1804"/>
      <c r="Y45" s="3235"/>
      <c r="Z45" s="1805">
        <f t="shared" si="18"/>
        <v>111</v>
      </c>
      <c r="AA45" s="1802">
        <f t="shared" si="15"/>
        <v>1</v>
      </c>
      <c r="AB45" s="1802">
        <f t="shared" si="16"/>
        <v>1</v>
      </c>
      <c r="AC45" s="1802">
        <f t="shared" si="17"/>
        <v>1</v>
      </c>
    </row>
    <row r="46" spans="1:29" ht="15.6"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40"/>
      <c r="M46" s="1131"/>
      <c r="N46" s="1131"/>
      <c r="O46" s="1131"/>
      <c r="P46" s="3234"/>
      <c r="Q46" s="1801">
        <f t="shared" si="11"/>
        <v>111</v>
      </c>
      <c r="R46" s="774" t="s">
        <v>20</v>
      </c>
      <c r="S46" s="775">
        <f t="shared" si="12"/>
        <v>100</v>
      </c>
      <c r="T46" s="774" t="s">
        <v>20</v>
      </c>
      <c r="U46" s="775">
        <f t="shared" si="13"/>
        <v>100</v>
      </c>
      <c r="V46" s="774" t="s">
        <v>20</v>
      </c>
      <c r="W46" s="775">
        <f t="shared" si="14"/>
        <v>100</v>
      </c>
      <c r="X46" s="1804"/>
      <c r="Y46" s="3236"/>
      <c r="Z46" s="1805">
        <f t="shared" si="18"/>
        <v>111</v>
      </c>
      <c r="AA46" s="1802">
        <f t="shared" si="15"/>
        <v>1</v>
      </c>
      <c r="AB46" s="1802">
        <f t="shared" si="16"/>
        <v>1</v>
      </c>
      <c r="AC46" s="1802">
        <f t="shared" si="17"/>
        <v>1</v>
      </c>
    </row>
    <row r="47" spans="1:29" ht="14.4">
      <c r="A47" s="479" t="s">
        <v>2576</v>
      </c>
      <c r="B47" s="480"/>
      <c r="C47" s="1407" t="s">
        <v>19</v>
      </c>
      <c r="D47" s="1408"/>
      <c r="E47" s="1409"/>
      <c r="F47" s="1410"/>
      <c r="G47" s="1411"/>
      <c r="H47" s="1412"/>
      <c r="I47" s="1409"/>
      <c r="J47" s="1412"/>
      <c r="K47" s="2612"/>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 thickBot="1">
      <c r="A48" s="486" t="s">
        <v>2577</v>
      </c>
      <c r="B48" s="487"/>
      <c r="C48" s="1413" t="e">
        <f>R49</f>
        <v>#DIV/0!</v>
      </c>
      <c r="D48" s="1414"/>
      <c r="E48" s="1415" t="e">
        <f>R48</f>
        <v>#DIV/0!</v>
      </c>
      <c r="F48" s="1415"/>
      <c r="G48" s="1413" t="e">
        <f>T48</f>
        <v>#DIV/0!</v>
      </c>
      <c r="H48" s="1414"/>
      <c r="I48" s="1415" t="e">
        <f>V48</f>
        <v>#DIV/0!</v>
      </c>
      <c r="J48" s="1414"/>
      <c r="K48" s="2613"/>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 thickBot="1">
      <c r="A49" s="492" t="s">
        <v>2578</v>
      </c>
      <c r="B49" s="493"/>
      <c r="C49" s="1416" t="e">
        <f>R49</f>
        <v>#DIV/0!</v>
      </c>
      <c r="D49" s="1417"/>
      <c r="E49" s="1417"/>
      <c r="F49" s="1417"/>
      <c r="G49" s="1417"/>
      <c r="H49" s="1417"/>
      <c r="I49" s="1417"/>
      <c r="J49" s="1417"/>
      <c r="K49" s="2614"/>
      <c r="L49" s="1143"/>
      <c r="M49" s="1144"/>
      <c r="N49" s="1144"/>
      <c r="O49" s="1144"/>
      <c r="P49" s="3274" t="str">
        <f>A49</f>
        <v>估价对象XX用房的比较价值（楼面单价，元/平方米）</v>
      </c>
      <c r="Q49" s="3275"/>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6"/>
    </row>
    <row r="55" spans="1:29" s="502" customFormat="1">
      <c r="A55" s="1145"/>
      <c r="B55" s="1146"/>
      <c r="C55" s="1150"/>
      <c r="D55" s="1145"/>
      <c r="E55" s="1145"/>
      <c r="F55" s="1145"/>
      <c r="G55" s="1145"/>
      <c r="H55" s="1145"/>
      <c r="I55" s="1145"/>
      <c r="J55" s="1145"/>
      <c r="K55" s="1148"/>
      <c r="L55" s="1149"/>
      <c r="M55" s="1145"/>
      <c r="N55" s="1145"/>
      <c r="O55" s="1145"/>
      <c r="P55" s="2616"/>
    </row>
    <row r="56" spans="1:29">
      <c r="A56" s="1144"/>
      <c r="B56" s="1146"/>
      <c r="C56" s="1150"/>
      <c r="D56" s="1144"/>
      <c r="E56" s="1144"/>
      <c r="F56" s="1144"/>
      <c r="G56" s="1144"/>
      <c r="H56" s="1144"/>
      <c r="I56" s="1144"/>
      <c r="J56" s="1144"/>
      <c r="K56" s="1105"/>
      <c r="L56" s="1106"/>
      <c r="M56" s="1144"/>
      <c r="N56" s="1144"/>
      <c r="O56" s="1144"/>
    </row>
    <row r="57" spans="1:29" ht="22.2" thickBot="1">
      <c r="A57" s="763" t="s">
        <v>2582</v>
      </c>
      <c r="B57" s="759"/>
      <c r="C57" s="764"/>
      <c r="D57" s="764"/>
      <c r="E57" s="764"/>
      <c r="F57" s="765"/>
      <c r="G57" s="765"/>
      <c r="H57" s="764"/>
      <c r="I57" s="764"/>
      <c r="J57" s="764"/>
      <c r="K57" s="1160"/>
      <c r="L57" s="1161"/>
      <c r="M57" s="1159"/>
      <c r="N57" s="1159"/>
      <c r="O57" s="1159"/>
      <c r="P57" s="2617"/>
      <c r="Q57" s="504"/>
    </row>
    <row r="58" spans="1:29" s="508" customFormat="1" ht="14.4">
      <c r="A58" s="505" t="s">
        <v>2583</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c r="A59" s="509"/>
      <c r="B59" s="2618"/>
      <c r="C59" s="1572">
        <v>100</v>
      </c>
      <c r="D59" s="511"/>
      <c r="E59" s="512"/>
      <c r="F59" s="512"/>
      <c r="G59" s="512"/>
      <c r="H59" s="512"/>
      <c r="I59" s="512"/>
      <c r="J59" s="512"/>
      <c r="K59" s="512"/>
      <c r="L59" s="512"/>
      <c r="M59" s="513"/>
      <c r="N59" s="512"/>
      <c r="O59" s="513"/>
      <c r="P59" s="2619"/>
    </row>
    <row r="60" spans="1:29" s="117" customFormat="1" ht="15" thickBot="1">
      <c r="A60" s="515" t="s">
        <v>2584</v>
      </c>
      <c r="B60" s="516"/>
      <c r="C60" s="517"/>
      <c r="D60" s="518"/>
      <c r="E60" s="518"/>
      <c r="F60" s="518"/>
      <c r="G60" s="518"/>
      <c r="H60" s="518"/>
      <c r="I60" s="518"/>
      <c r="J60" s="518"/>
      <c r="K60" s="518"/>
      <c r="L60" s="518"/>
      <c r="M60" s="519"/>
      <c r="N60" s="518"/>
      <c r="O60" s="519"/>
      <c r="P60" s="2619"/>
      <c r="Q60" s="504"/>
    </row>
    <row r="61" spans="1:29" s="117" customFormat="1" ht="14.4">
      <c r="A61" s="521" t="s">
        <v>2585</v>
      </c>
      <c r="B61" s="510"/>
      <c r="C61" s="522" t="s">
        <v>2586</v>
      </c>
      <c r="D61" s="523"/>
      <c r="E61" s="523"/>
      <c r="F61" s="523"/>
      <c r="G61" s="523"/>
      <c r="H61" s="523"/>
      <c r="I61" s="523"/>
      <c r="J61" s="523"/>
      <c r="K61" s="523"/>
      <c r="L61" s="524"/>
      <c r="M61" s="525"/>
      <c r="N61" s="1151"/>
      <c r="O61" s="1151"/>
      <c r="P61" s="2620"/>
      <c r="Q61" s="504"/>
    </row>
    <row r="62" spans="1:29" s="117" customFormat="1" ht="14.4" thickBot="1">
      <c r="A62" s="521"/>
      <c r="B62" s="510"/>
      <c r="C62" s="511">
        <v>100</v>
      </c>
      <c r="D62" s="512"/>
      <c r="E62" s="512"/>
      <c r="F62" s="512"/>
      <c r="G62" s="512"/>
      <c r="H62" s="512"/>
      <c r="I62" s="512"/>
      <c r="J62" s="512"/>
      <c r="K62" s="512"/>
      <c r="L62" s="512"/>
      <c r="M62" s="514"/>
      <c r="N62" s="1151"/>
      <c r="O62" s="1151"/>
      <c r="P62" s="2619"/>
      <c r="Q62" s="504"/>
    </row>
    <row r="63" spans="1:29" ht="14.4">
      <c r="A63" s="527" t="s">
        <v>2587</v>
      </c>
      <c r="B63" s="528" t="s">
        <v>2553</v>
      </c>
      <c r="C63" s="529">
        <f>C9</f>
        <v>0</v>
      </c>
      <c r="D63" s="530"/>
      <c r="E63" s="530"/>
      <c r="F63" s="530"/>
      <c r="G63" s="530"/>
      <c r="H63" s="530"/>
      <c r="I63" s="530"/>
      <c r="J63" s="530"/>
      <c r="K63" s="531"/>
      <c r="L63" s="532"/>
      <c r="M63" s="533"/>
      <c r="N63" s="1152"/>
      <c r="O63" s="1152"/>
      <c r="P63" s="2621"/>
      <c r="Q63" s="504"/>
    </row>
    <row r="64" spans="1:29" ht="14.4" thickBot="1">
      <c r="A64" s="534"/>
      <c r="B64" s="535"/>
      <c r="C64" s="536">
        <v>100</v>
      </c>
      <c r="D64" s="536"/>
      <c r="E64" s="536"/>
      <c r="F64" s="536"/>
      <c r="G64" s="536"/>
      <c r="H64" s="536"/>
      <c r="I64" s="536"/>
      <c r="J64" s="536"/>
      <c r="K64" s="536"/>
      <c r="L64" s="536"/>
      <c r="M64" s="537"/>
      <c r="N64" s="1153"/>
      <c r="O64" s="1153"/>
      <c r="P64" s="2621"/>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1"/>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1"/>
      <c r="Q67" s="504"/>
    </row>
    <row r="68" spans="1:17">
      <c r="A68" s="534"/>
      <c r="B68" s="548"/>
      <c r="C68" s="549"/>
      <c r="D68" s="549"/>
      <c r="E68" s="549"/>
      <c r="F68" s="549"/>
      <c r="G68" s="549"/>
      <c r="H68" s="549"/>
      <c r="I68" s="549"/>
      <c r="J68" s="549"/>
      <c r="K68" s="550"/>
      <c r="L68" s="551"/>
      <c r="M68" s="552"/>
      <c r="N68" s="1152"/>
      <c r="O68" s="1152"/>
      <c r="P68" s="262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1"/>
      <c r="Q69" s="504"/>
    </row>
    <row r="70" spans="1:17" s="471" customFormat="1" ht="14.4" thickTop="1">
      <c r="A70" s="553"/>
      <c r="B70" s="538">
        <f>B12</f>
        <v>111</v>
      </c>
      <c r="C70" s="554"/>
      <c r="D70" s="554"/>
      <c r="E70" s="554"/>
      <c r="F70" s="554"/>
      <c r="G70" s="554"/>
      <c r="H70" s="555"/>
      <c r="I70" s="555"/>
      <c r="J70" s="555"/>
      <c r="K70" s="555"/>
      <c r="L70" s="556"/>
      <c r="M70" s="557"/>
      <c r="N70" s="1154"/>
      <c r="O70" s="1154"/>
      <c r="P70" s="2622"/>
      <c r="Q70" s="559"/>
    </row>
    <row r="71" spans="1:17" s="471" customFormat="1" ht="14.4" thickBot="1">
      <c r="A71" s="553"/>
      <c r="B71" s="543"/>
      <c r="C71" s="560"/>
      <c r="D71" s="536"/>
      <c r="E71" s="536"/>
      <c r="F71" s="536"/>
      <c r="G71" s="536"/>
      <c r="H71" s="536"/>
      <c r="I71" s="536"/>
      <c r="J71" s="536"/>
      <c r="K71" s="536"/>
      <c r="L71" s="536"/>
      <c r="M71" s="537"/>
      <c r="N71" s="1153"/>
      <c r="O71" s="1153"/>
      <c r="P71" s="2622"/>
      <c r="Q71" s="559"/>
    </row>
    <row r="72" spans="1:17" s="471" customFormat="1" ht="14.4" thickTop="1">
      <c r="A72" s="553"/>
      <c r="B72" s="538">
        <f>B13</f>
        <v>111</v>
      </c>
      <c r="C72" s="554"/>
      <c r="D72" s="554"/>
      <c r="E72" s="554"/>
      <c r="F72" s="554"/>
      <c r="G72" s="554"/>
      <c r="H72" s="555"/>
      <c r="I72" s="555"/>
      <c r="J72" s="555"/>
      <c r="K72" s="555"/>
      <c r="L72" s="556"/>
      <c r="M72" s="557"/>
      <c r="N72" s="1154"/>
      <c r="O72" s="1154"/>
      <c r="P72" s="2623"/>
      <c r="Q72" s="561"/>
    </row>
    <row r="73" spans="1:17" s="471" customFormat="1" ht="14.4" thickBot="1">
      <c r="A73" s="553"/>
      <c r="B73" s="543"/>
      <c r="C73" s="560"/>
      <c r="D73" s="560"/>
      <c r="E73" s="560"/>
      <c r="F73" s="560"/>
      <c r="G73" s="560"/>
      <c r="H73" s="562"/>
      <c r="I73" s="562"/>
      <c r="J73" s="562"/>
      <c r="K73" s="562"/>
      <c r="L73" s="562"/>
      <c r="M73" s="563"/>
      <c r="N73" s="1154"/>
      <c r="O73" s="1154"/>
      <c r="P73" s="2622"/>
      <c r="Q73" s="559"/>
    </row>
    <row r="74" spans="1:17" s="471" customFormat="1" ht="14.4" thickTop="1">
      <c r="A74" s="553"/>
      <c r="B74" s="546">
        <f>B14</f>
        <v>111</v>
      </c>
      <c r="C74" s="554"/>
      <c r="D74" s="554"/>
      <c r="E74" s="554"/>
      <c r="F74" s="554"/>
      <c r="G74" s="523"/>
      <c r="H74" s="564"/>
      <c r="I74" s="564"/>
      <c r="J74" s="564"/>
      <c r="K74" s="564"/>
      <c r="L74" s="565"/>
      <c r="M74" s="566"/>
      <c r="N74" s="1154"/>
      <c r="O74" s="1154"/>
      <c r="P74" s="2624"/>
      <c r="Q74" s="559"/>
    </row>
    <row r="75" spans="1:17" s="471" customFormat="1" ht="14.4" thickBot="1">
      <c r="A75" s="568"/>
      <c r="B75" s="569"/>
      <c r="C75" s="570"/>
      <c r="D75" s="570"/>
      <c r="E75" s="570"/>
      <c r="F75" s="570"/>
      <c r="G75" s="570"/>
      <c r="H75" s="571"/>
      <c r="I75" s="571"/>
      <c r="J75" s="571"/>
      <c r="K75" s="571"/>
      <c r="L75" s="571"/>
      <c r="M75" s="572"/>
      <c r="N75" s="1154"/>
      <c r="O75" s="1154"/>
      <c r="P75" s="2622"/>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2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1"/>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2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1"/>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2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1"/>
      <c r="Q81" s="504"/>
    </row>
    <row r="82" spans="1:17" ht="15" thickTop="1">
      <c r="A82" s="534"/>
      <c r="B82" s="546" t="s">
        <v>2096</v>
      </c>
      <c r="C82" s="539" t="s">
        <v>2603</v>
      </c>
      <c r="D82" s="539" t="s">
        <v>2604</v>
      </c>
      <c r="E82" s="539" t="s">
        <v>2605</v>
      </c>
      <c r="F82" s="539" t="s">
        <v>2606</v>
      </c>
      <c r="G82" s="539" t="s">
        <v>2607</v>
      </c>
      <c r="H82" s="539"/>
      <c r="I82" s="539"/>
      <c r="J82" s="539"/>
      <c r="K82" s="539"/>
      <c r="L82" s="539"/>
      <c r="M82" s="1382"/>
      <c r="N82" s="1153"/>
      <c r="O82" s="1153"/>
      <c r="P82" s="262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1"/>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2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1"/>
      <c r="Q85" s="504"/>
    </row>
    <row r="86" spans="1:17" s="117" customFormat="1" ht="15" thickTop="1">
      <c r="A86" s="579"/>
      <c r="B86" s="538" t="s">
        <v>2609</v>
      </c>
      <c r="C86" s="554"/>
      <c r="D86" s="554"/>
      <c r="E86" s="554"/>
      <c r="F86" s="554"/>
      <c r="G86" s="554"/>
      <c r="H86" s="554"/>
      <c r="I86" s="554"/>
      <c r="J86" s="554"/>
      <c r="K86" s="554"/>
      <c r="L86" s="580"/>
      <c r="M86" s="581"/>
      <c r="N86" s="1151"/>
      <c r="O86" s="1151"/>
      <c r="P86" s="262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1"/>
      <c r="Q87" s="504"/>
    </row>
    <row r="88" spans="1:17" s="117" customFormat="1" ht="15" thickTop="1">
      <c r="A88" s="579"/>
      <c r="B88" s="538" t="s">
        <v>2610</v>
      </c>
      <c r="C88" s="554"/>
      <c r="D88" s="554"/>
      <c r="E88" s="554"/>
      <c r="F88" s="2626"/>
      <c r="G88" s="554"/>
      <c r="H88" s="554"/>
      <c r="I88" s="554"/>
      <c r="J88" s="554"/>
      <c r="K88" s="554"/>
      <c r="L88" s="554"/>
      <c r="M88" s="581"/>
      <c r="N88" s="1151"/>
      <c r="O88" s="1151"/>
      <c r="P88" s="262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1"/>
      <c r="Q89" s="504"/>
    </row>
    <row r="90" spans="1:17" s="471" customFormat="1" ht="14.4" thickTop="1">
      <c r="A90" s="553"/>
      <c r="B90" s="538">
        <f>B27</f>
        <v>111</v>
      </c>
      <c r="C90" s="554"/>
      <c r="D90" s="554"/>
      <c r="E90" s="554"/>
      <c r="F90" s="554"/>
      <c r="G90" s="554"/>
      <c r="H90" s="555"/>
      <c r="I90" s="555"/>
      <c r="J90" s="555"/>
      <c r="K90" s="555"/>
      <c r="L90" s="556"/>
      <c r="M90" s="557"/>
      <c r="N90" s="1154"/>
      <c r="O90" s="1154"/>
      <c r="P90" s="2622"/>
      <c r="Q90" s="559"/>
    </row>
    <row r="91" spans="1:17" s="471" customFormat="1" ht="14.4" thickBot="1">
      <c r="A91" s="553"/>
      <c r="B91" s="543"/>
      <c r="C91" s="560"/>
      <c r="D91" s="560"/>
      <c r="E91" s="560"/>
      <c r="F91" s="560"/>
      <c r="G91" s="560"/>
      <c r="H91" s="562"/>
      <c r="I91" s="562"/>
      <c r="J91" s="562"/>
      <c r="K91" s="562"/>
      <c r="L91" s="562"/>
      <c r="M91" s="563"/>
      <c r="N91" s="1154"/>
      <c r="O91" s="1154"/>
      <c r="P91" s="2622"/>
      <c r="Q91" s="559"/>
    </row>
    <row r="92" spans="1:17" ht="14.4" thickTop="1">
      <c r="A92" s="534"/>
      <c r="B92" s="538">
        <f>B28</f>
        <v>111</v>
      </c>
      <c r="C92" s="554"/>
      <c r="D92" s="554"/>
      <c r="E92" s="554"/>
      <c r="F92" s="554"/>
      <c r="G92" s="583"/>
      <c r="H92" s="583"/>
      <c r="I92" s="583"/>
      <c r="J92" s="583"/>
      <c r="K92" s="584"/>
      <c r="L92" s="585"/>
      <c r="M92" s="586"/>
      <c r="N92" s="1152"/>
      <c r="O92" s="1152"/>
      <c r="P92" s="2621"/>
      <c r="Q92" s="504"/>
    </row>
    <row r="93" spans="1:17" ht="14.4" thickBot="1">
      <c r="A93" s="534"/>
      <c r="B93" s="543"/>
      <c r="C93" s="560"/>
      <c r="D93" s="536"/>
      <c r="E93" s="536"/>
      <c r="F93" s="536"/>
      <c r="G93" s="536"/>
      <c r="H93" s="536"/>
      <c r="I93" s="536"/>
      <c r="J93" s="536"/>
      <c r="K93" s="536"/>
      <c r="L93" s="536"/>
      <c r="M93" s="537"/>
      <c r="N93" s="1153"/>
      <c r="O93" s="1153"/>
      <c r="P93" s="2621"/>
      <c r="Q93" s="504"/>
    </row>
    <row r="94" spans="1:17" ht="14.4" thickTop="1">
      <c r="A94" s="534"/>
      <c r="B94" s="538">
        <f>B29</f>
        <v>111</v>
      </c>
      <c r="C94" s="554"/>
      <c r="D94" s="554"/>
      <c r="E94" s="554"/>
      <c r="F94" s="554"/>
      <c r="G94" s="583"/>
      <c r="H94" s="583"/>
      <c r="I94" s="583"/>
      <c r="J94" s="583"/>
      <c r="K94" s="584"/>
      <c r="L94" s="585"/>
      <c r="M94" s="586"/>
      <c r="N94" s="1152"/>
      <c r="O94" s="1152"/>
      <c r="P94" s="2621"/>
      <c r="Q94" s="504"/>
    </row>
    <row r="95" spans="1:17" ht="14.4" thickBot="1">
      <c r="A95" s="534"/>
      <c r="B95" s="543"/>
      <c r="C95" s="560"/>
      <c r="D95" s="560"/>
      <c r="E95" s="560"/>
      <c r="F95" s="560"/>
      <c r="G95" s="536"/>
      <c r="H95" s="536"/>
      <c r="I95" s="536"/>
      <c r="J95" s="536"/>
      <c r="K95" s="536"/>
      <c r="L95" s="536"/>
      <c r="M95" s="537"/>
      <c r="N95" s="1153"/>
      <c r="O95" s="1153"/>
      <c r="P95" s="2621"/>
      <c r="Q95" s="504"/>
    </row>
    <row r="96" spans="1:17" ht="14.4" thickTop="1">
      <c r="A96" s="534"/>
      <c r="B96" s="538">
        <f>B30</f>
        <v>111</v>
      </c>
      <c r="C96" s="554"/>
      <c r="D96" s="554"/>
      <c r="E96" s="554"/>
      <c r="F96" s="554"/>
      <c r="G96" s="583"/>
      <c r="H96" s="583"/>
      <c r="I96" s="583"/>
      <c r="J96" s="583"/>
      <c r="K96" s="584"/>
      <c r="L96" s="585"/>
      <c r="M96" s="586"/>
      <c r="N96" s="1152"/>
      <c r="O96" s="1152"/>
      <c r="P96" s="2621"/>
      <c r="Q96" s="504"/>
    </row>
    <row r="97" spans="1:17" ht="14.4" thickBot="1">
      <c r="A97" s="534"/>
      <c r="B97" s="543"/>
      <c r="C97" s="570"/>
      <c r="D97" s="570"/>
      <c r="E97" s="570"/>
      <c r="F97" s="570"/>
      <c r="G97" s="536"/>
      <c r="H97" s="536"/>
      <c r="I97" s="536"/>
      <c r="J97" s="536"/>
      <c r="K97" s="536"/>
      <c r="L97" s="536"/>
      <c r="M97" s="537"/>
      <c r="N97" s="1153"/>
      <c r="O97" s="1153"/>
      <c r="P97" s="2621"/>
      <c r="Q97" s="504"/>
    </row>
    <row r="98" spans="1:17" ht="14.4" thickTop="1">
      <c r="A98" s="534"/>
      <c r="B98" s="546">
        <f>B31</f>
        <v>111</v>
      </c>
      <c r="C98" s="587"/>
      <c r="D98" s="587"/>
      <c r="E98" s="587"/>
      <c r="F98" s="587"/>
      <c r="G98" s="587"/>
      <c r="H98" s="587"/>
      <c r="I98" s="587"/>
      <c r="J98" s="587"/>
      <c r="K98" s="588"/>
      <c r="L98" s="589"/>
      <c r="M98" s="590"/>
      <c r="N98" s="1152"/>
      <c r="O98" s="1152"/>
      <c r="P98" s="2621"/>
      <c r="Q98" s="504"/>
    </row>
    <row r="99" spans="1:17" ht="14.4" thickBot="1">
      <c r="A99" s="2627"/>
      <c r="B99" s="569"/>
      <c r="C99" s="591"/>
      <c r="D99" s="591"/>
      <c r="E99" s="591"/>
      <c r="F99" s="591"/>
      <c r="G99" s="591"/>
      <c r="H99" s="591"/>
      <c r="I99" s="591"/>
      <c r="J99" s="591"/>
      <c r="K99" s="591"/>
      <c r="L99" s="591"/>
      <c r="M99" s="592"/>
      <c r="N99" s="1153"/>
      <c r="O99" s="1153"/>
      <c r="P99" s="2621"/>
      <c r="Q99" s="504"/>
    </row>
    <row r="100" spans="1:17" ht="14.4">
      <c r="A100" s="527" t="s">
        <v>2562</v>
      </c>
      <c r="B100" s="528" t="s">
        <v>2611</v>
      </c>
      <c r="C100" s="530"/>
      <c r="D100" s="530"/>
      <c r="E100" s="530"/>
      <c r="F100" s="530"/>
      <c r="G100" s="530"/>
      <c r="H100" s="530"/>
      <c r="I100" s="530"/>
      <c r="J100" s="530"/>
      <c r="K100" s="531"/>
      <c r="L100" s="532"/>
      <c r="M100" s="533"/>
      <c r="N100" s="1152"/>
      <c r="O100" s="1152"/>
      <c r="P100" s="262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1"/>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1"/>
      <c r="Q102" s="504"/>
    </row>
    <row r="103" spans="1:17" s="471" customFormat="1">
      <c r="A103" s="593"/>
      <c r="B103" s="594"/>
      <c r="C103" s="595"/>
      <c r="D103" s="595"/>
      <c r="E103" s="595"/>
      <c r="F103" s="595"/>
      <c r="G103" s="595"/>
      <c r="H103" s="595"/>
      <c r="I103" s="595"/>
      <c r="J103" s="596"/>
      <c r="K103" s="596"/>
      <c r="L103" s="597"/>
      <c r="M103" s="598"/>
      <c r="N103" s="1154"/>
      <c r="O103" s="1154"/>
      <c r="P103" s="262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2"/>
      <c r="Q104" s="559"/>
    </row>
    <row r="105" spans="1:17" ht="15" thickTop="1">
      <c r="A105" s="599"/>
      <c r="B105" s="538" t="s">
        <v>2613</v>
      </c>
      <c r="C105" s="554"/>
      <c r="D105" s="554"/>
      <c r="E105" s="583"/>
      <c r="F105" s="583"/>
      <c r="G105" s="583"/>
      <c r="H105" s="583"/>
      <c r="I105" s="583"/>
      <c r="J105" s="583"/>
      <c r="K105" s="584"/>
      <c r="L105" s="585"/>
      <c r="M105" s="586"/>
      <c r="N105" s="1152"/>
      <c r="O105" s="1152"/>
      <c r="P105" s="262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1"/>
      <c r="Q106" s="504"/>
    </row>
    <row r="107" spans="1:17" ht="15" thickTop="1">
      <c r="A107" s="599"/>
      <c r="B107" s="538" t="s">
        <v>2614</v>
      </c>
      <c r="C107" s="583"/>
      <c r="D107" s="583"/>
      <c r="E107" s="583"/>
      <c r="F107" s="583"/>
      <c r="G107" s="583"/>
      <c r="H107" s="583"/>
      <c r="I107" s="583"/>
      <c r="J107" s="583"/>
      <c r="K107" s="584"/>
      <c r="L107" s="585"/>
      <c r="M107" s="586"/>
      <c r="N107" s="1152"/>
      <c r="O107" s="1152"/>
      <c r="P107" s="262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1"/>
      <c r="Q108" s="504"/>
    </row>
    <row r="109" spans="1:17" ht="15" thickTop="1">
      <c r="A109" s="599"/>
      <c r="B109" s="538" t="s">
        <v>2615</v>
      </c>
      <c r="C109" s="554"/>
      <c r="D109" s="554"/>
      <c r="E109" s="554"/>
      <c r="F109" s="583"/>
      <c r="G109" s="583"/>
      <c r="H109" s="583"/>
      <c r="I109" s="583"/>
      <c r="J109" s="583"/>
      <c r="K109" s="584"/>
      <c r="L109" s="585"/>
      <c r="M109" s="586"/>
      <c r="N109" s="1152"/>
      <c r="O109" s="1152"/>
      <c r="P109" s="262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2"/>
      <c r="Q113" s="559"/>
    </row>
    <row r="114" spans="1:17" ht="15" thickTop="1">
      <c r="A114" s="599"/>
      <c r="B114" s="538" t="s">
        <v>2616</v>
      </c>
      <c r="C114" s="554"/>
      <c r="D114" s="554"/>
      <c r="E114" s="583"/>
      <c r="F114" s="583"/>
      <c r="G114" s="583"/>
      <c r="H114" s="583"/>
      <c r="I114" s="583"/>
      <c r="J114" s="583"/>
      <c r="K114" s="584"/>
      <c r="L114" s="585"/>
      <c r="M114" s="586"/>
      <c r="N114" s="1152"/>
      <c r="O114" s="1152"/>
      <c r="P114" s="262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1"/>
      <c r="Q115" s="504"/>
    </row>
    <row r="116" spans="1:17" ht="15" thickTop="1">
      <c r="A116" s="599"/>
      <c r="B116" s="538" t="s">
        <v>2617</v>
      </c>
      <c r="C116" s="554"/>
      <c r="D116" s="554"/>
      <c r="E116" s="554"/>
      <c r="F116" s="554"/>
      <c r="G116" s="554"/>
      <c r="H116" s="583"/>
      <c r="I116" s="583"/>
      <c r="J116" s="583"/>
      <c r="K116" s="584"/>
      <c r="L116" s="585"/>
      <c r="M116" s="586"/>
      <c r="N116" s="1152"/>
      <c r="O116" s="1152"/>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2618</v>
      </c>
      <c r="C118" s="583"/>
      <c r="D118" s="583"/>
      <c r="E118" s="583"/>
      <c r="F118" s="583"/>
      <c r="G118" s="583"/>
      <c r="H118" s="583"/>
      <c r="I118" s="583"/>
      <c r="J118" s="583"/>
      <c r="K118" s="584"/>
      <c r="L118" s="585"/>
      <c r="M118" s="586"/>
      <c r="N118" s="1152"/>
      <c r="O118" s="1152"/>
      <c r="P118" s="262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1"/>
      <c r="Q119" s="504"/>
    </row>
    <row r="120" spans="1:17" s="471" customFormat="1" ht="29.4" thickTop="1">
      <c r="A120" s="593"/>
      <c r="B120" s="538" t="s">
        <v>2573</v>
      </c>
      <c r="C120" s="554"/>
      <c r="D120" s="554"/>
      <c r="E120" s="554"/>
      <c r="F120" s="554"/>
      <c r="G120" s="554"/>
      <c r="H120" s="554"/>
      <c r="I120" s="554"/>
      <c r="J120" s="554"/>
      <c r="K120" s="554"/>
      <c r="L120" s="580"/>
      <c r="M120" s="581"/>
      <c r="N120" s="1154"/>
      <c r="O120" s="1154"/>
      <c r="P120" s="262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2"/>
      <c r="Q121" s="559"/>
    </row>
    <row r="122" spans="1:17" ht="15" thickTop="1">
      <c r="A122" s="599"/>
      <c r="B122" s="538" t="s">
        <v>2619</v>
      </c>
      <c r="C122" s="554"/>
      <c r="D122" s="554"/>
      <c r="E122" s="554"/>
      <c r="F122" s="583"/>
      <c r="G122" s="583"/>
      <c r="H122" s="583"/>
      <c r="I122" s="583"/>
      <c r="J122" s="583"/>
      <c r="K122" s="584"/>
      <c r="L122" s="585"/>
      <c r="M122" s="586"/>
      <c r="N122" s="1152"/>
      <c r="O122" s="1152"/>
      <c r="P122" s="262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1"/>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2"/>
      <c r="Q127" s="559"/>
    </row>
    <row r="128" spans="1:17" ht="14.4" thickTop="1">
      <c r="A128" s="599"/>
      <c r="B128" s="538">
        <f>B45</f>
        <v>111</v>
      </c>
      <c r="C128" s="554"/>
      <c r="D128" s="554"/>
      <c r="E128" s="554"/>
      <c r="F128" s="554"/>
      <c r="G128" s="583"/>
      <c r="H128" s="583"/>
      <c r="I128" s="583"/>
      <c r="J128" s="583"/>
      <c r="K128" s="584"/>
      <c r="L128" s="585"/>
      <c r="M128" s="586"/>
      <c r="N128" s="1152"/>
      <c r="O128" s="1152"/>
      <c r="P128" s="2621"/>
      <c r="Q128" s="504"/>
    </row>
    <row r="129" spans="1:17" ht="14.4" thickBot="1">
      <c r="A129" s="534"/>
      <c r="B129" s="543"/>
      <c r="C129" s="560"/>
      <c r="D129" s="560"/>
      <c r="E129" s="560"/>
      <c r="F129" s="560"/>
      <c r="G129" s="536"/>
      <c r="H129" s="536"/>
      <c r="I129" s="536"/>
      <c r="J129" s="536"/>
      <c r="K129" s="536"/>
      <c r="L129" s="536"/>
      <c r="M129" s="537"/>
      <c r="N129" s="1153"/>
      <c r="O129" s="1153"/>
      <c r="P129" s="2621"/>
      <c r="Q129" s="504"/>
    </row>
    <row r="130" spans="1:17" ht="14.4" thickTop="1">
      <c r="A130" s="599"/>
      <c r="B130" s="546">
        <f>B46</f>
        <v>111</v>
      </c>
      <c r="C130" s="554"/>
      <c r="D130" s="554"/>
      <c r="E130" s="554"/>
      <c r="F130" s="554"/>
      <c r="G130" s="587"/>
      <c r="H130" s="587"/>
      <c r="I130" s="587"/>
      <c r="J130" s="587"/>
      <c r="K130" s="523"/>
      <c r="L130" s="524"/>
      <c r="M130" s="590"/>
      <c r="N130" s="1152"/>
      <c r="O130" s="1152"/>
      <c r="P130" s="2621"/>
      <c r="Q130" s="504"/>
    </row>
    <row r="131" spans="1:17" ht="14.4" thickBot="1">
      <c r="A131" s="2627"/>
      <c r="B131" s="569"/>
      <c r="C131" s="570"/>
      <c r="D131" s="570"/>
      <c r="E131" s="570"/>
      <c r="F131" s="570"/>
      <c r="G131" s="591"/>
      <c r="H131" s="591"/>
      <c r="I131" s="591"/>
      <c r="J131" s="591"/>
      <c r="K131" s="591"/>
      <c r="L131" s="591"/>
      <c r="M131" s="592"/>
      <c r="N131" s="1153"/>
      <c r="O131" s="1153"/>
      <c r="P131" s="2621"/>
      <c r="Q131" s="504"/>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6" t="s">
        <v>2624</v>
      </c>
      <c r="D138" s="146" t="s">
        <v>2625</v>
      </c>
      <c r="E138" s="2636" t="s">
        <v>2626</v>
      </c>
      <c r="F138" s="2637" t="s">
        <v>2627</v>
      </c>
      <c r="G138" s="146" t="s">
        <v>2625</v>
      </c>
      <c r="H138" s="147" t="s">
        <v>2626</v>
      </c>
      <c r="I138" s="2638"/>
      <c r="J138" s="146" t="s">
        <v>2628</v>
      </c>
      <c r="K138" s="147" t="s">
        <v>2629</v>
      </c>
    </row>
    <row r="139" spans="1:17" ht="15">
      <c r="B139" s="1084">
        <v>6</v>
      </c>
      <c r="C139" s="1085">
        <v>96</v>
      </c>
      <c r="D139" s="2639" t="s">
        <v>2630</v>
      </c>
      <c r="E139" s="1086">
        <v>100</v>
      </c>
      <c r="F139" s="1087">
        <v>102.5</v>
      </c>
      <c r="G139" s="2639" t="s">
        <v>2630</v>
      </c>
      <c r="H139" s="1088">
        <v>105</v>
      </c>
      <c r="I139" s="2640" t="s">
        <v>2631</v>
      </c>
      <c r="J139" s="1085">
        <v>20</v>
      </c>
      <c r="K139" s="1089">
        <f>C145/(J139-2)</f>
        <v>4.0555555555555553E-3</v>
      </c>
    </row>
    <row r="140" spans="1:17" ht="15">
      <c r="B140" s="1090">
        <v>5</v>
      </c>
      <c r="C140" s="1091">
        <v>100</v>
      </c>
      <c r="D140" s="1091"/>
      <c r="E140" s="1092"/>
      <c r="F140" s="1093">
        <v>102</v>
      </c>
      <c r="G140" s="1091"/>
      <c r="H140" s="1094"/>
      <c r="I140" s="2641" t="s">
        <v>2632</v>
      </c>
      <c r="J140" s="315">
        <f>ROUNDUP((J139-1)/2,0)</f>
        <v>10</v>
      </c>
      <c r="K140" s="1095">
        <v>100</v>
      </c>
    </row>
    <row r="141" spans="1:17" ht="15">
      <c r="B141" s="1090">
        <v>4</v>
      </c>
      <c r="C141" s="1091">
        <v>102</v>
      </c>
      <c r="D141" s="1091"/>
      <c r="E141" s="1092"/>
      <c r="F141" s="1093">
        <v>101.5</v>
      </c>
      <c r="G141" s="1091"/>
      <c r="H141" s="1094"/>
      <c r="I141" s="2641" t="s">
        <v>2633</v>
      </c>
      <c r="J141" s="315">
        <v>1</v>
      </c>
      <c r="K141" s="1096">
        <f>ROUND(100+(J141-J140)*K139*100,1)</f>
        <v>96.4</v>
      </c>
    </row>
    <row r="142" spans="1:17" ht="15">
      <c r="B142" s="1090">
        <v>3</v>
      </c>
      <c r="C142" s="1091">
        <v>103</v>
      </c>
      <c r="D142" s="1091"/>
      <c r="E142" s="1092"/>
      <c r="F142" s="1093">
        <v>101</v>
      </c>
      <c r="G142" s="1091"/>
      <c r="H142" s="1094"/>
      <c r="I142" s="2641" t="s">
        <v>2634</v>
      </c>
      <c r="J142" s="315">
        <f>J139</f>
        <v>20</v>
      </c>
      <c r="K142" s="1097">
        <v>95</v>
      </c>
    </row>
    <row r="143" spans="1:17" ht="15">
      <c r="B143" s="1090">
        <v>2</v>
      </c>
      <c r="C143" s="1091">
        <v>100</v>
      </c>
      <c r="D143" s="1091"/>
      <c r="E143" s="1092"/>
      <c r="F143" s="1093">
        <v>100.5</v>
      </c>
      <c r="G143" s="1091"/>
      <c r="H143" s="1094"/>
      <c r="I143" s="2641" t="s">
        <v>2635</v>
      </c>
      <c r="J143" s="1091">
        <v>15</v>
      </c>
      <c r="K143" s="1096">
        <f>ROUND(100+(J143-J140)*K139*100,1)</f>
        <v>102</v>
      </c>
    </row>
    <row r="144" spans="1:17" ht="15">
      <c r="B144" s="1090">
        <v>1</v>
      </c>
      <c r="C144" s="1091">
        <v>98</v>
      </c>
      <c r="D144" s="2642" t="s">
        <v>2636</v>
      </c>
      <c r="E144" s="1092">
        <v>102</v>
      </c>
      <c r="F144" s="1098">
        <v>100</v>
      </c>
      <c r="G144" s="2642" t="s">
        <v>2636</v>
      </c>
      <c r="H144" s="1094">
        <v>105</v>
      </c>
      <c r="I144" s="2641" t="s">
        <v>2635</v>
      </c>
      <c r="J144" s="1091">
        <v>18</v>
      </c>
      <c r="K144" s="1096">
        <f>ROUND(100+(J144-J140)*K139*100,1)</f>
        <v>103.2</v>
      </c>
    </row>
    <row r="145" spans="2:11" ht="16.2" thickBot="1">
      <c r="B145" s="2643" t="s">
        <v>2637</v>
      </c>
      <c r="C145" s="1099">
        <f>ROUND(MAX(C139:C144)/MIN(C139:C144)-1,3)</f>
        <v>7.2999999999999995E-2</v>
      </c>
      <c r="D145" s="1100"/>
      <c r="E145" s="1100"/>
      <c r="F145" s="2644" t="s">
        <v>2638</v>
      </c>
      <c r="G145" s="2645"/>
      <c r="H145" s="2646"/>
      <c r="I145" s="2647" t="s">
        <v>2635</v>
      </c>
      <c r="J145" s="1101">
        <v>8</v>
      </c>
      <c r="K145" s="1102">
        <f>ROUND(100+(J145-J140)*K139*100,1)</f>
        <v>99.2</v>
      </c>
    </row>
    <row r="147" spans="2:11" ht="14.4">
      <c r="B147" s="2628" t="s">
        <v>2639</v>
      </c>
    </row>
    <row r="148" spans="2:11" ht="14.4">
      <c r="B148" s="262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660" t="s">
        <v>2701</v>
      </c>
      <c r="C1" s="1619" t="s">
        <v>2529</v>
      </c>
      <c r="D1" s="1620"/>
      <c r="E1" s="1629"/>
      <c r="F1" s="257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77"/>
      <c r="D2" s="1124" t="e">
        <f ca="1">SUMIF(INDIRECT("'"&amp;F2&amp;"'"&amp;"!A:A"),"承租人权益价值",INDIRECT("'"&amp;F2&amp;"'"&amp;"!c:c"))</f>
        <v>#REF!</v>
      </c>
      <c r="E2" s="2578" t="s">
        <v>2327</v>
      </c>
      <c r="F2" s="257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85553.64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70" t="s">
        <v>2647</v>
      </c>
      <c r="AC4" s="3277" t="s">
        <v>2648</v>
      </c>
    </row>
    <row r="5" spans="1:29">
      <c r="A5" s="404"/>
      <c r="B5" s="405"/>
      <c r="C5" s="3266" t="s">
        <v>2541</v>
      </c>
      <c r="D5" s="3261"/>
      <c r="E5" s="3284" t="s">
        <v>2542</v>
      </c>
      <c r="F5" s="3273"/>
      <c r="G5" s="3266" t="s">
        <v>2543</v>
      </c>
      <c r="H5" s="3261"/>
      <c r="I5" s="3266" t="s">
        <v>2544</v>
      </c>
      <c r="J5" s="3261"/>
      <c r="K5" s="610"/>
      <c r="L5" s="1130"/>
      <c r="M5" s="1131"/>
      <c r="N5" s="1131"/>
      <c r="O5" s="1131"/>
      <c r="P5" s="3280"/>
      <c r="Q5" s="3247"/>
      <c r="R5" s="3252"/>
      <c r="S5" s="3253"/>
      <c r="T5" s="3252"/>
      <c r="U5" s="3253"/>
      <c r="V5" s="3257"/>
      <c r="W5" s="3257"/>
      <c r="X5" s="1804"/>
      <c r="Y5" s="3252"/>
      <c r="Z5" s="3253"/>
      <c r="AA5" s="3270"/>
      <c r="AB5" s="3270"/>
      <c r="AC5" s="3270"/>
    </row>
    <row r="6" spans="1:29" ht="15" thickBot="1">
      <c r="A6" s="406"/>
      <c r="B6" s="407"/>
      <c r="C6" s="3258" t="s">
        <v>2545</v>
      </c>
      <c r="D6" s="3259"/>
      <c r="E6" s="3267" t="s">
        <v>2545</v>
      </c>
      <c r="F6" s="3268"/>
      <c r="G6" s="3258" t="s">
        <v>2545</v>
      </c>
      <c r="H6" s="3259"/>
      <c r="I6" s="3258" t="s">
        <v>2545</v>
      </c>
      <c r="J6" s="3259"/>
      <c r="K6" s="610" t="s">
        <v>2546</v>
      </c>
      <c r="L6" s="1130"/>
      <c r="M6" s="1131"/>
      <c r="N6" s="1131"/>
      <c r="O6" s="1131"/>
      <c r="P6" s="3281"/>
      <c r="Q6" s="3249"/>
      <c r="R6" s="3252"/>
      <c r="S6" s="3253"/>
      <c r="T6" s="3254"/>
      <c r="U6" s="3255"/>
      <c r="V6" s="3257"/>
      <c r="W6" s="3257"/>
      <c r="X6" s="1804"/>
      <c r="Y6" s="3254"/>
      <c r="Z6" s="3255"/>
      <c r="AA6" s="3271"/>
      <c r="AB6" s="3271"/>
      <c r="AC6" s="3271"/>
    </row>
    <row r="7" spans="1:29" s="117" customFormat="1" ht="15" thickBot="1">
      <c r="A7" s="408" t="s">
        <v>2547</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4" t="s">
        <v>2548</v>
      </c>
      <c r="Q7" s="3265"/>
      <c r="R7" s="770" t="s">
        <v>17</v>
      </c>
      <c r="S7" s="771">
        <f t="shared" ref="S7:S15" si="0">F7</f>
        <v>0</v>
      </c>
      <c r="T7" s="770" t="s">
        <v>17</v>
      </c>
      <c r="U7" s="771">
        <f t="shared" ref="U7:U15" si="1">H7</f>
        <v>0</v>
      </c>
      <c r="V7" s="770" t="s">
        <v>17</v>
      </c>
      <c r="W7" s="771">
        <f t="shared" ref="W7:W15" si="2">J7</f>
        <v>0</v>
      </c>
      <c r="X7" s="772"/>
      <c r="Y7" s="3264" t="s">
        <v>2548</v>
      </c>
      <c r="Z7" s="3263"/>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4" t="s">
        <v>2551</v>
      </c>
      <c r="Q8" s="3263"/>
      <c r="R8" s="770" t="s">
        <v>17</v>
      </c>
      <c r="S8" s="771">
        <f t="shared" si="0"/>
        <v>0</v>
      </c>
      <c r="T8" s="770" t="s">
        <v>17</v>
      </c>
      <c r="U8" s="771">
        <f t="shared" si="1"/>
        <v>0</v>
      </c>
      <c r="V8" s="770" t="s">
        <v>17</v>
      </c>
      <c r="W8" s="771">
        <f t="shared" si="2"/>
        <v>0</v>
      </c>
      <c r="X8" s="772"/>
      <c r="Y8" s="3264" t="s">
        <v>2551</v>
      </c>
      <c r="Z8" s="3263"/>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2558</v>
      </c>
      <c r="B15" s="69" t="s">
        <v>2702</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2559</v>
      </c>
      <c r="Q15" s="1801" t="str">
        <f t="shared" si="6"/>
        <v>产业集聚程度</v>
      </c>
      <c r="R15" s="774" t="s">
        <v>17</v>
      </c>
      <c r="S15" s="775">
        <f t="shared" si="0"/>
        <v>100</v>
      </c>
      <c r="T15" s="774" t="s">
        <v>17</v>
      </c>
      <c r="U15" s="775">
        <f t="shared" si="1"/>
        <v>100</v>
      </c>
      <c r="V15" s="774" t="s">
        <v>17</v>
      </c>
      <c r="W15" s="775">
        <f t="shared" si="2"/>
        <v>100</v>
      </c>
      <c r="X15" s="1804"/>
      <c r="Y15" s="3230" t="s">
        <v>2559</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1"/>
      <c r="Q16" s="1801"/>
      <c r="R16" s="774"/>
      <c r="S16" s="775"/>
      <c r="T16" s="774"/>
      <c r="U16" s="775"/>
      <c r="V16" s="774"/>
      <c r="W16" s="775"/>
      <c r="X16" s="1804"/>
      <c r="Y16" s="3231"/>
      <c r="Z16" s="1805"/>
      <c r="AA16" s="1802">
        <v>1</v>
      </c>
      <c r="AB16" s="1802">
        <v>1</v>
      </c>
      <c r="AC16" s="1802">
        <v>1</v>
      </c>
    </row>
    <row r="17" spans="1:29" ht="96.6">
      <c r="A17" s="428"/>
      <c r="B17" s="451" t="s">
        <v>2095</v>
      </c>
      <c r="C17" s="259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01" t="str">
        <f>B17</f>
        <v>交通便捷度</v>
      </c>
      <c r="R17" s="774" t="s">
        <v>17</v>
      </c>
      <c r="S17" s="775">
        <f>F17</f>
        <v>100</v>
      </c>
      <c r="T17" s="774" t="s">
        <v>17</v>
      </c>
      <c r="U17" s="775">
        <f>H17</f>
        <v>100</v>
      </c>
      <c r="V17" s="774" t="s">
        <v>17</v>
      </c>
      <c r="W17" s="775">
        <f>J17</f>
        <v>100</v>
      </c>
      <c r="X17" s="1804"/>
      <c r="Y17" s="3231"/>
      <c r="Z17" s="1805" t="str">
        <f>Q17</f>
        <v>交通便捷度</v>
      </c>
      <c r="AA17" s="1802">
        <f t="shared" si="3"/>
        <v>1</v>
      </c>
      <c r="AB17" s="1802">
        <f t="shared" si="4"/>
        <v>1</v>
      </c>
      <c r="AC17" s="1802">
        <f t="shared" si="5"/>
        <v>1</v>
      </c>
    </row>
    <row r="18" spans="1:29" ht="15">
      <c r="A18" s="428"/>
      <c r="B18" s="456"/>
      <c r="C18" s="2599"/>
      <c r="D18" s="450"/>
      <c r="E18" s="2601"/>
      <c r="F18" s="453"/>
      <c r="G18" s="2600"/>
      <c r="H18" s="448"/>
      <c r="I18" s="2601"/>
      <c r="J18" s="448"/>
      <c r="K18" s="615"/>
      <c r="L18" s="1140"/>
      <c r="M18" s="1131"/>
      <c r="N18" s="1131"/>
      <c r="O18" s="1139"/>
      <c r="P18" s="3231"/>
      <c r="Q18" s="1801"/>
      <c r="R18" s="774"/>
      <c r="S18" s="775"/>
      <c r="T18" s="774"/>
      <c r="U18" s="775"/>
      <c r="V18" s="774"/>
      <c r="W18" s="775"/>
      <c r="X18" s="1804"/>
      <c r="Y18" s="3231"/>
      <c r="Z18" s="1805"/>
      <c r="AA18" s="1802">
        <v>1</v>
      </c>
      <c r="AB18" s="1802">
        <v>1</v>
      </c>
      <c r="AC18" s="1802">
        <v>1</v>
      </c>
    </row>
    <row r="19" spans="1:29" ht="41.4">
      <c r="A19" s="428"/>
      <c r="B19" s="451" t="s">
        <v>2687</v>
      </c>
      <c r="C19" s="259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01" t="str">
        <f>B19</f>
        <v>公共配套设施</v>
      </c>
      <c r="R19" s="774" t="s">
        <v>17</v>
      </c>
      <c r="S19" s="775">
        <f>F19</f>
        <v>100</v>
      </c>
      <c r="T19" s="774" t="s">
        <v>17</v>
      </c>
      <c r="U19" s="775">
        <f>H19</f>
        <v>100</v>
      </c>
      <c r="V19" s="774" t="s">
        <v>17</v>
      </c>
      <c r="W19" s="775">
        <f>J19</f>
        <v>100</v>
      </c>
      <c r="X19" s="1804"/>
      <c r="Y19" s="3231"/>
      <c r="Z19" s="1805" t="str">
        <f>Q19</f>
        <v>公共配套设施</v>
      </c>
      <c r="AA19" s="1802">
        <f t="shared" si="3"/>
        <v>1</v>
      </c>
      <c r="AB19" s="1802">
        <f t="shared" si="4"/>
        <v>1</v>
      </c>
      <c r="AC19" s="1802">
        <f t="shared" si="5"/>
        <v>1</v>
      </c>
    </row>
    <row r="20" spans="1:29" ht="15">
      <c r="A20" s="428"/>
      <c r="B20" s="456"/>
      <c r="C20" s="447"/>
      <c r="D20" s="448"/>
      <c r="E20" s="2596"/>
      <c r="F20" s="449"/>
      <c r="G20" s="2595"/>
      <c r="H20" s="448"/>
      <c r="I20" s="2596"/>
      <c r="J20" s="448"/>
      <c r="K20" s="615"/>
      <c r="L20" s="1140"/>
      <c r="M20" s="1131"/>
      <c r="N20" s="1131"/>
      <c r="O20" s="1139"/>
      <c r="P20" s="3231"/>
      <c r="Q20" s="1801"/>
      <c r="R20" s="774"/>
      <c r="S20" s="775"/>
      <c r="T20" s="774"/>
      <c r="U20" s="775"/>
      <c r="V20" s="774"/>
      <c r="W20" s="775"/>
      <c r="X20" s="1804"/>
      <c r="Y20" s="3231"/>
      <c r="Z20" s="1805"/>
      <c r="AA20" s="1802">
        <v>1</v>
      </c>
      <c r="AB20" s="1802">
        <v>1</v>
      </c>
      <c r="AC20" s="1802">
        <v>1</v>
      </c>
    </row>
    <row r="21" spans="1:29" ht="41.4">
      <c r="A21" s="428"/>
      <c r="B21" s="1384" t="s">
        <v>2688</v>
      </c>
      <c r="C21" s="259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01" t="str">
        <f>B21</f>
        <v>基础设施水平</v>
      </c>
      <c r="R21" s="774" t="s">
        <v>17</v>
      </c>
      <c r="S21" s="775">
        <f>F21</f>
        <v>100</v>
      </c>
      <c r="T21" s="774" t="s">
        <v>17</v>
      </c>
      <c r="U21" s="775">
        <f>H21</f>
        <v>100</v>
      </c>
      <c r="V21" s="774" t="s">
        <v>17</v>
      </c>
      <c r="W21" s="775">
        <f>J21</f>
        <v>100</v>
      </c>
      <c r="X21" s="1804"/>
      <c r="Y21" s="3231"/>
      <c r="Z21" s="1805" t="str">
        <f>Q21</f>
        <v>基础设施水平</v>
      </c>
      <c r="AA21" s="1802">
        <f t="shared" ref="AA21" si="8">D21/F21</f>
        <v>1</v>
      </c>
      <c r="AB21" s="1802">
        <f t="shared" ref="AB21" si="9">D21/H21</f>
        <v>1</v>
      </c>
      <c r="AC21" s="1802">
        <f t="shared" ref="AC21" si="10">D21/J21</f>
        <v>1</v>
      </c>
    </row>
    <row r="22" spans="1:29" ht="15">
      <c r="A22" s="428"/>
      <c r="B22" s="1384"/>
      <c r="C22" s="2599"/>
      <c r="D22" s="448"/>
      <c r="E22" s="447"/>
      <c r="F22" s="449"/>
      <c r="G22" s="447"/>
      <c r="H22" s="448"/>
      <c r="I22" s="447"/>
      <c r="J22" s="448"/>
      <c r="K22" s="1383"/>
      <c r="L22" s="1140"/>
      <c r="M22" s="1131"/>
      <c r="N22" s="1131"/>
      <c r="O22" s="1139"/>
      <c r="P22" s="3231"/>
      <c r="Q22" s="1801"/>
      <c r="R22" s="774"/>
      <c r="S22" s="775"/>
      <c r="T22" s="774"/>
      <c r="U22" s="775"/>
      <c r="V22" s="774"/>
      <c r="W22" s="775"/>
      <c r="X22" s="1804"/>
      <c r="Y22" s="3231"/>
      <c r="Z22" s="1805"/>
      <c r="AA22" s="1802">
        <v>1</v>
      </c>
      <c r="AB22" s="1802">
        <v>1</v>
      </c>
      <c r="AC22" s="1802">
        <v>1</v>
      </c>
    </row>
    <row r="23" spans="1:29" ht="82.8">
      <c r="A23" s="428"/>
      <c r="B23" s="451" t="s">
        <v>2689</v>
      </c>
      <c r="C23" s="259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01" t="str">
        <f>B23</f>
        <v>环境质量</v>
      </c>
      <c r="R23" s="774" t="s">
        <v>17</v>
      </c>
      <c r="S23" s="775">
        <f>F23</f>
        <v>100</v>
      </c>
      <c r="T23" s="774" t="s">
        <v>17</v>
      </c>
      <c r="U23" s="775">
        <f>H23</f>
        <v>100</v>
      </c>
      <c r="V23" s="774" t="s">
        <v>17</v>
      </c>
      <c r="W23" s="775">
        <f>J23</f>
        <v>100</v>
      </c>
      <c r="X23" s="1804"/>
      <c r="Y23" s="3231"/>
      <c r="Z23" s="1805" t="str">
        <f>Q23</f>
        <v>环境质量</v>
      </c>
      <c r="AA23" s="1802">
        <f t="shared" si="3"/>
        <v>1</v>
      </c>
      <c r="AB23" s="1802">
        <f t="shared" si="4"/>
        <v>1</v>
      </c>
      <c r="AC23" s="1802">
        <f t="shared" si="5"/>
        <v>1</v>
      </c>
    </row>
    <row r="24" spans="1:29" ht="15">
      <c r="A24" s="428"/>
      <c r="B24" s="1384"/>
      <c r="C24" s="447"/>
      <c r="D24" s="448"/>
      <c r="E24" s="2596"/>
      <c r="F24" s="449"/>
      <c r="G24" s="2595"/>
      <c r="H24" s="448"/>
      <c r="I24" s="2596"/>
      <c r="J24" s="448"/>
      <c r="K24" s="615"/>
      <c r="L24" s="1140"/>
      <c r="M24" s="1131"/>
      <c r="N24" s="1131"/>
      <c r="O24" s="1139"/>
      <c r="P24" s="3231"/>
      <c r="Q24" s="1801"/>
      <c r="R24" s="774"/>
      <c r="S24" s="775"/>
      <c r="T24" s="774"/>
      <c r="U24" s="775"/>
      <c r="V24" s="774"/>
      <c r="W24" s="775"/>
      <c r="X24" s="1804"/>
      <c r="Y24" s="3231"/>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01">
        <f>B25</f>
        <v>111</v>
      </c>
      <c r="R25" s="774" t="s">
        <v>17</v>
      </c>
      <c r="S25" s="775">
        <f>F25</f>
        <v>100</v>
      </c>
      <c r="T25" s="774" t="s">
        <v>17</v>
      </c>
      <c r="U25" s="775">
        <f>H25</f>
        <v>100</v>
      </c>
      <c r="V25" s="774" t="s">
        <v>17</v>
      </c>
      <c r="W25" s="775">
        <f>J25</f>
        <v>100</v>
      </c>
      <c r="X25" s="1804"/>
      <c r="Y25" s="3231"/>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01">
        <f t="shared" ref="Q26:Q40" si="11">B26</f>
        <v>111</v>
      </c>
      <c r="R26" s="774" t="s">
        <v>17</v>
      </c>
      <c r="S26" s="775">
        <f>F26</f>
        <v>100</v>
      </c>
      <c r="T26" s="774" t="s">
        <v>17</v>
      </c>
      <c r="U26" s="775">
        <f>H26</f>
        <v>100</v>
      </c>
      <c r="V26" s="774" t="s">
        <v>17</v>
      </c>
      <c r="W26" s="775">
        <f>J26</f>
        <v>100</v>
      </c>
      <c r="X26" s="1804"/>
      <c r="Y26" s="3231"/>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86">
        <f t="shared" si="11"/>
        <v>111</v>
      </c>
      <c r="R27" s="770" t="s">
        <v>17</v>
      </c>
      <c r="S27" s="771">
        <f>F27</f>
        <v>100</v>
      </c>
      <c r="T27" s="770" t="s">
        <v>17</v>
      </c>
      <c r="U27" s="771">
        <f>H27</f>
        <v>100</v>
      </c>
      <c r="V27" s="770" t="s">
        <v>17</v>
      </c>
      <c r="W27" s="771">
        <f>J27</f>
        <v>100</v>
      </c>
      <c r="X27" s="772"/>
      <c r="Y27" s="3231"/>
      <c r="Z27" s="55">
        <f>Q27</f>
        <v>111</v>
      </c>
      <c r="AA27" s="1802">
        <f>D27/F27</f>
        <v>1</v>
      </c>
      <c r="AB27" s="1802">
        <f>D27/H27</f>
        <v>1</v>
      </c>
      <c r="AC27" s="1802">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01">
        <f t="shared" si="11"/>
        <v>111</v>
      </c>
      <c r="R28" s="774" t="s">
        <v>17</v>
      </c>
      <c r="S28" s="775">
        <f t="shared" ref="S28:S40" si="12">F28</f>
        <v>100</v>
      </c>
      <c r="T28" s="774" t="s">
        <v>17</v>
      </c>
      <c r="U28" s="775">
        <f t="shared" ref="U28:U40" si="13">H28</f>
        <v>100</v>
      </c>
      <c r="V28" s="774" t="s">
        <v>17</v>
      </c>
      <c r="W28" s="775">
        <f t="shared" ref="W28:W40" si="14">J28</f>
        <v>100</v>
      </c>
      <c r="X28" s="1804"/>
      <c r="Y28" s="3231"/>
      <c r="Z28" s="1805">
        <f t="shared" ref="Z28:Z40" si="15">Q28</f>
        <v>111</v>
      </c>
      <c r="AA28" s="1802">
        <f t="shared" si="3"/>
        <v>1</v>
      </c>
      <c r="AB28" s="1802">
        <f t="shared" si="4"/>
        <v>1</v>
      </c>
      <c r="AC28" s="1802">
        <f t="shared" si="5"/>
        <v>1</v>
      </c>
    </row>
    <row r="29" spans="1:29" ht="30">
      <c r="A29" s="466" t="s">
        <v>2562</v>
      </c>
      <c r="B29" s="71" t="s">
        <v>2692</v>
      </c>
      <c r="C29" s="2670"/>
      <c r="D29" s="467">
        <v>100</v>
      </c>
      <c r="E29" s="2670"/>
      <c r="F29" s="461">
        <f>SUMIF(88:88,E29,89:89)-SUMIF(88:88,C29,89:89)+100</f>
        <v>100</v>
      </c>
      <c r="G29" s="2670"/>
      <c r="H29" s="435">
        <f>SUMIF(88:88,G29,89:89)-SUMIF(88:88,C29,89:89)+100</f>
        <v>100</v>
      </c>
      <c r="I29" s="2670"/>
      <c r="J29" s="467">
        <f>SUMIF(88:88,I29,89:89)-SUMIF(88:88,C29,89:89)+100</f>
        <v>100</v>
      </c>
      <c r="K29" s="612"/>
      <c r="L29" s="1140"/>
      <c r="M29" s="1131"/>
      <c r="N29" s="1131"/>
      <c r="O29" s="1139"/>
      <c r="P29" s="3334" t="s">
        <v>2564</v>
      </c>
      <c r="Q29" s="1801" t="str">
        <f t="shared" si="11"/>
        <v>建筑类型</v>
      </c>
      <c r="R29" s="774" t="s">
        <v>17</v>
      </c>
      <c r="S29" s="775">
        <f t="shared" si="12"/>
        <v>100</v>
      </c>
      <c r="T29" s="774" t="s">
        <v>17</v>
      </c>
      <c r="U29" s="775">
        <f t="shared" si="13"/>
        <v>100</v>
      </c>
      <c r="V29" s="774" t="s">
        <v>17</v>
      </c>
      <c r="W29" s="775">
        <f t="shared" si="14"/>
        <v>100</v>
      </c>
      <c r="X29" s="1804"/>
      <c r="Y29" s="3235" t="s">
        <v>2564</v>
      </c>
      <c r="Z29" s="1805" t="str">
        <f t="shared" si="15"/>
        <v>建筑类型</v>
      </c>
      <c r="AA29" s="1802">
        <f t="shared" si="3"/>
        <v>1</v>
      </c>
      <c r="AB29" s="1802">
        <f t="shared" si="4"/>
        <v>1</v>
      </c>
      <c r="AC29" s="180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5"/>
      <c r="Q30" s="776" t="str">
        <f t="shared" si="11"/>
        <v>项目建筑规模</v>
      </c>
      <c r="R30" s="777" t="s">
        <v>17</v>
      </c>
      <c r="S30" s="778" t="e">
        <f t="shared" si="12"/>
        <v>#N/A</v>
      </c>
      <c r="T30" s="777" t="s">
        <v>17</v>
      </c>
      <c r="U30" s="778" t="e">
        <f t="shared" si="13"/>
        <v>#N/A</v>
      </c>
      <c r="V30" s="777" t="s">
        <v>17</v>
      </c>
      <c r="W30" s="778" t="e">
        <f t="shared" si="14"/>
        <v>#N/A</v>
      </c>
      <c r="X30" s="779"/>
      <c r="Y30" s="3235"/>
      <c r="Z30" s="780" t="str">
        <f t="shared" si="15"/>
        <v>项目建筑规模</v>
      </c>
      <c r="AA30" s="1802" t="e">
        <f t="shared" si="3"/>
        <v>#N/A</v>
      </c>
      <c r="AB30" s="1802" t="e">
        <f t="shared" si="4"/>
        <v>#N/A</v>
      </c>
      <c r="AC30" s="180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5"/>
      <c r="Q31" s="1801" t="str">
        <f t="shared" si="11"/>
        <v>建筑结构</v>
      </c>
      <c r="R31" s="774" t="s">
        <v>17</v>
      </c>
      <c r="S31" s="775">
        <f t="shared" si="12"/>
        <v>100</v>
      </c>
      <c r="T31" s="774" t="s">
        <v>17</v>
      </c>
      <c r="U31" s="775">
        <f t="shared" si="13"/>
        <v>100</v>
      </c>
      <c r="V31" s="774" t="s">
        <v>17</v>
      </c>
      <c r="W31" s="775">
        <f t="shared" si="14"/>
        <v>100</v>
      </c>
      <c r="X31" s="1804"/>
      <c r="Y31" s="3235"/>
      <c r="Z31" s="1805" t="str">
        <f t="shared" si="15"/>
        <v>建筑结构</v>
      </c>
      <c r="AA31" s="1802">
        <f t="shared" si="3"/>
        <v>1</v>
      </c>
      <c r="AB31" s="1802">
        <f t="shared" si="4"/>
        <v>1</v>
      </c>
      <c r="AC31" s="180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5"/>
      <c r="Q32" s="1801" t="str">
        <f t="shared" si="11"/>
        <v>公共部分装修</v>
      </c>
      <c r="R32" s="774" t="s">
        <v>17</v>
      </c>
      <c r="S32" s="775">
        <f t="shared" si="12"/>
        <v>100</v>
      </c>
      <c r="T32" s="774" t="s">
        <v>17</v>
      </c>
      <c r="U32" s="775">
        <f t="shared" si="13"/>
        <v>100</v>
      </c>
      <c r="V32" s="774" t="s">
        <v>17</v>
      </c>
      <c r="W32" s="775">
        <f t="shared" si="14"/>
        <v>100</v>
      </c>
      <c r="X32" s="1804"/>
      <c r="Y32" s="3235"/>
      <c r="Z32" s="1805" t="str">
        <f t="shared" si="15"/>
        <v>公共部分装修</v>
      </c>
      <c r="AA32" s="1802">
        <f t="shared" si="3"/>
        <v>1</v>
      </c>
      <c r="AB32" s="1802">
        <f t="shared" si="4"/>
        <v>1</v>
      </c>
      <c r="AC32" s="180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5"/>
      <c r="Q33" s="1801" t="str">
        <f t="shared" si="11"/>
        <v>成新度</v>
      </c>
      <c r="R33" s="774" t="s">
        <v>17</v>
      </c>
      <c r="S33" s="775" t="e">
        <f t="shared" si="12"/>
        <v>#N/A</v>
      </c>
      <c r="T33" s="774" t="s">
        <v>17</v>
      </c>
      <c r="U33" s="775" t="e">
        <f t="shared" si="13"/>
        <v>#N/A</v>
      </c>
      <c r="V33" s="774" t="s">
        <v>17</v>
      </c>
      <c r="W33" s="775" t="e">
        <f t="shared" si="14"/>
        <v>#N/A</v>
      </c>
      <c r="X33" s="1804"/>
      <c r="Y33" s="3235"/>
      <c r="Z33" s="1805" t="str">
        <f t="shared" si="15"/>
        <v>成新度</v>
      </c>
      <c r="AA33" s="1802" t="e">
        <f t="shared" si="3"/>
        <v>#N/A</v>
      </c>
      <c r="AB33" s="1802" t="e">
        <f t="shared" si="4"/>
        <v>#N/A</v>
      </c>
      <c r="AC33" s="180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5"/>
      <c r="Q34" s="1786" t="str">
        <f t="shared" si="11"/>
        <v>物业管理</v>
      </c>
      <c r="R34" s="770" t="s">
        <v>17</v>
      </c>
      <c r="S34" s="771">
        <f t="shared" si="12"/>
        <v>100</v>
      </c>
      <c r="T34" s="770" t="s">
        <v>17</v>
      </c>
      <c r="U34" s="771">
        <f t="shared" si="13"/>
        <v>100</v>
      </c>
      <c r="V34" s="770" t="s">
        <v>17</v>
      </c>
      <c r="W34" s="771">
        <f t="shared" si="14"/>
        <v>100</v>
      </c>
      <c r="X34" s="772"/>
      <c r="Y34" s="323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5" t="s">
        <v>2564</v>
      </c>
      <c r="Q35" s="1801" t="str">
        <f t="shared" si="11"/>
        <v>市政基础设施</v>
      </c>
      <c r="R35" s="774" t="s">
        <v>17</v>
      </c>
      <c r="S35" s="775">
        <f t="shared" si="12"/>
        <v>100</v>
      </c>
      <c r="T35" s="774" t="s">
        <v>17</v>
      </c>
      <c r="U35" s="775">
        <f t="shared" si="13"/>
        <v>100</v>
      </c>
      <c r="V35" s="774" t="s">
        <v>17</v>
      </c>
      <c r="W35" s="775">
        <f t="shared" si="14"/>
        <v>100</v>
      </c>
      <c r="X35" s="1804"/>
      <c r="Y35" s="3235" t="s">
        <v>2564</v>
      </c>
      <c r="Z35" s="1805" t="str">
        <f t="shared" si="15"/>
        <v>市政基础设施</v>
      </c>
      <c r="AA35" s="1802">
        <f t="shared" si="3"/>
        <v>1</v>
      </c>
      <c r="AB35" s="1802">
        <f t="shared" si="4"/>
        <v>1</v>
      </c>
      <c r="AC35" s="180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5"/>
      <c r="Q36" s="1801" t="str">
        <f t="shared" si="11"/>
        <v>内部装修</v>
      </c>
      <c r="R36" s="774" t="s">
        <v>17</v>
      </c>
      <c r="S36" s="775">
        <f t="shared" si="12"/>
        <v>100</v>
      </c>
      <c r="T36" s="774" t="s">
        <v>17</v>
      </c>
      <c r="U36" s="775">
        <f t="shared" si="13"/>
        <v>100</v>
      </c>
      <c r="V36" s="774" t="s">
        <v>17</v>
      </c>
      <c r="W36" s="775">
        <f t="shared" si="14"/>
        <v>100</v>
      </c>
      <c r="X36" s="1804"/>
      <c r="Y36" s="3235"/>
      <c r="Z36" s="1805" t="str">
        <f t="shared" si="15"/>
        <v>内部装修</v>
      </c>
      <c r="AA36" s="1802">
        <f t="shared" si="3"/>
        <v>1</v>
      </c>
      <c r="AB36" s="1802">
        <f t="shared" si="4"/>
        <v>1</v>
      </c>
      <c r="AC36" s="180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5"/>
      <c r="Q37" s="1801" t="str">
        <f t="shared" si="11"/>
        <v>内部装修状况</v>
      </c>
      <c r="R37" s="774" t="s">
        <v>17</v>
      </c>
      <c r="S37" s="775">
        <f t="shared" si="12"/>
        <v>100</v>
      </c>
      <c r="T37" s="774" t="s">
        <v>17</v>
      </c>
      <c r="U37" s="775">
        <f t="shared" si="13"/>
        <v>100</v>
      </c>
      <c r="V37" s="774" t="s">
        <v>17</v>
      </c>
      <c r="W37" s="775">
        <f t="shared" si="14"/>
        <v>100</v>
      </c>
      <c r="X37" s="1804"/>
      <c r="Y37" s="3235"/>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5"/>
      <c r="Q38" s="776">
        <f t="shared" si="11"/>
        <v>111</v>
      </c>
      <c r="R38" s="777" t="s">
        <v>17</v>
      </c>
      <c r="S38" s="778">
        <f t="shared" si="12"/>
        <v>100</v>
      </c>
      <c r="T38" s="777" t="s">
        <v>17</v>
      </c>
      <c r="U38" s="778">
        <f t="shared" si="13"/>
        <v>100</v>
      </c>
      <c r="V38" s="777" t="s">
        <v>17</v>
      </c>
      <c r="W38" s="778">
        <f t="shared" si="14"/>
        <v>100</v>
      </c>
      <c r="X38" s="779"/>
      <c r="Y38" s="3235"/>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5"/>
      <c r="Q39" s="1801">
        <f t="shared" si="11"/>
        <v>111</v>
      </c>
      <c r="R39" s="774" t="s">
        <v>17</v>
      </c>
      <c r="S39" s="775">
        <f t="shared" si="12"/>
        <v>100</v>
      </c>
      <c r="T39" s="774" t="s">
        <v>17</v>
      </c>
      <c r="U39" s="775">
        <f t="shared" si="13"/>
        <v>100</v>
      </c>
      <c r="V39" s="774" t="s">
        <v>17</v>
      </c>
      <c r="W39" s="775">
        <f t="shared" si="14"/>
        <v>100</v>
      </c>
      <c r="X39" s="1804"/>
      <c r="Y39" s="3235"/>
      <c r="Z39" s="1805">
        <f t="shared" si="15"/>
        <v>111</v>
      </c>
      <c r="AA39" s="1802">
        <f t="shared" si="3"/>
        <v>1</v>
      </c>
      <c r="AB39" s="1802">
        <f t="shared" si="4"/>
        <v>1</v>
      </c>
      <c r="AC39" s="1802">
        <f t="shared" si="5"/>
        <v>1</v>
      </c>
    </row>
    <row r="40" spans="1:29" ht="15.6"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01">
        <f t="shared" si="11"/>
        <v>111</v>
      </c>
      <c r="R40" s="774" t="s">
        <v>17</v>
      </c>
      <c r="S40" s="775">
        <f t="shared" si="12"/>
        <v>100</v>
      </c>
      <c r="T40" s="774" t="s">
        <v>17</v>
      </c>
      <c r="U40" s="775">
        <f t="shared" si="13"/>
        <v>100</v>
      </c>
      <c r="V40" s="774" t="s">
        <v>17</v>
      </c>
      <c r="W40" s="775">
        <f t="shared" si="14"/>
        <v>100</v>
      </c>
      <c r="X40" s="1804"/>
      <c r="Y40" s="3236"/>
      <c r="Z40" s="1805">
        <f t="shared" si="15"/>
        <v>111</v>
      </c>
      <c r="AA40" s="1802">
        <f t="shared" si="3"/>
        <v>1</v>
      </c>
      <c r="AB40" s="1802">
        <f t="shared" si="4"/>
        <v>1</v>
      </c>
      <c r="AC40" s="1802">
        <f t="shared" si="5"/>
        <v>1</v>
      </c>
    </row>
    <row r="41" spans="1:29" ht="14.4">
      <c r="A41" s="479" t="s">
        <v>2576</v>
      </c>
      <c r="B41" s="480"/>
      <c r="C41" s="1407" t="s">
        <v>1</v>
      </c>
      <c r="D41" s="1408"/>
      <c r="E41" s="1409"/>
      <c r="F41" s="1410"/>
      <c r="G41" s="1411"/>
      <c r="H41" s="1412"/>
      <c r="I41" s="1409"/>
      <c r="J41" s="1412"/>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 thickBot="1">
      <c r="A43" s="492" t="s">
        <v>2669</v>
      </c>
      <c r="B43" s="493"/>
      <c r="C43" s="1417" t="e">
        <f>R43</f>
        <v>#DIV/0!</v>
      </c>
      <c r="D43" s="1417"/>
      <c r="E43" s="1417"/>
      <c r="F43" s="1417"/>
      <c r="G43" s="1417"/>
      <c r="H43" s="1417"/>
      <c r="I43" s="1417"/>
      <c r="J43" s="1417"/>
      <c r="K43" s="785"/>
      <c r="L43" s="1143"/>
      <c r="M43" s="1144"/>
      <c r="N43" s="1144"/>
      <c r="O43" s="1144"/>
      <c r="P43" s="3274" t="str">
        <f>A43</f>
        <v>估价对象XX用房的比较价值（楼面单价，元/平方米）</v>
      </c>
      <c r="Q43" s="3275"/>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2673</v>
      </c>
      <c r="B51" s="759"/>
      <c r="C51" s="764"/>
      <c r="D51" s="764"/>
      <c r="E51" s="764"/>
      <c r="F51" s="765"/>
      <c r="G51" s="765"/>
      <c r="H51" s="764"/>
      <c r="I51" s="764"/>
      <c r="J51" s="764"/>
      <c r="K51" s="1160"/>
      <c r="L51" s="1161"/>
      <c r="M51" s="1159"/>
      <c r="N51" s="1159"/>
      <c r="O51" s="1159"/>
      <c r="P51" s="503"/>
      <c r="Q51" s="504"/>
    </row>
    <row r="52" spans="1:17" s="508" customFormat="1" ht="14.4">
      <c r="A52" s="505" t="s">
        <v>2547</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2587</v>
      </c>
      <c r="B57" s="528" t="s">
        <v>2553</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27"/>
      <c r="B87" s="569"/>
      <c r="C87" s="570"/>
      <c r="D87" s="570"/>
      <c r="E87" s="570"/>
      <c r="F87" s="570"/>
      <c r="G87" s="591"/>
      <c r="H87" s="591"/>
      <c r="I87" s="591"/>
      <c r="J87" s="591"/>
      <c r="K87" s="591"/>
      <c r="L87" s="591"/>
      <c r="M87" s="592"/>
      <c r="N87" s="1153"/>
      <c r="O87" s="1153"/>
      <c r="P87" s="45"/>
      <c r="Q87" s="504"/>
    </row>
    <row r="88" spans="1:17" ht="14.4">
      <c r="A88" s="527" t="s">
        <v>2562</v>
      </c>
      <c r="B88" s="528" t="s">
        <v>2611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2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7.399999999999999">
      <c r="A3" s="3032" t="str">
        <f>IF(项目基本情况!B9="房地产市场价值","估价结果一览表（市场价值不需“结果表-1”）","估价结果一览表")</f>
        <v>估价结果一览表</v>
      </c>
      <c r="B3" s="3032"/>
      <c r="C3" s="3032"/>
      <c r="D3" s="3032"/>
      <c r="E3" s="3032"/>
    </row>
    <row r="4" spans="1:5" ht="18" thickBot="1">
      <c r="A4" s="1951"/>
      <c r="B4" s="3030" t="s">
        <v>1624</v>
      </c>
      <c r="C4" s="3030"/>
      <c r="D4" s="3030"/>
      <c r="E4" s="1951"/>
    </row>
    <row r="5" spans="1:5" ht="16.2" thickTop="1">
      <c r="A5" s="1949"/>
      <c r="B5" s="3028" t="s">
        <v>1616</v>
      </c>
      <c r="C5" s="1952" t="s">
        <v>1617</v>
      </c>
      <c r="D5" s="1040">
        <f ca="1">结果表!H101</f>
        <v>84597</v>
      </c>
      <c r="E5" s="1949"/>
    </row>
    <row r="6" spans="1:5" ht="15.6">
      <c r="A6" s="1949"/>
      <c r="B6" s="3028"/>
      <c r="C6" s="1952" t="s">
        <v>1618</v>
      </c>
      <c r="D6" s="1040" t="str">
        <f ca="1">NUMBERSTRING(INT(D5*10000),2)&amp;"元整"</f>
        <v>捌亿肆仟伍佰玖拾柒万元整</v>
      </c>
      <c r="E6" s="1949"/>
    </row>
    <row r="7" spans="1:5" ht="15.6">
      <c r="A7" s="1949"/>
      <c r="B7" s="3033"/>
      <c r="C7" s="1953" t="s">
        <v>1619</v>
      </c>
      <c r="D7" s="1041">
        <f ca="1">结果表!H102</f>
        <v>17153</v>
      </c>
      <c r="E7" s="1949"/>
    </row>
    <row r="8" spans="1:5" ht="15.6">
      <c r="A8" s="1949"/>
      <c r="B8" s="3034" t="str">
        <f>结果表!E103</f>
        <v>2.估价师知悉的法定优先受偿款</v>
      </c>
      <c r="C8" s="1954" t="s">
        <v>1620</v>
      </c>
      <c r="D8" s="1041">
        <f>结果表!H103</f>
        <v>0</v>
      </c>
      <c r="E8" s="1949"/>
    </row>
    <row r="9" spans="1:5" ht="15.6">
      <c r="A9" s="1949"/>
      <c r="B9" s="3036"/>
      <c r="C9" s="1952" t="s">
        <v>1618</v>
      </c>
      <c r="D9" s="1040" t="str">
        <f>NUMBERSTRING(INT(D8*10000),2)&amp;"元整"</f>
        <v>零元整</v>
      </c>
      <c r="E9" s="1949"/>
    </row>
    <row r="10" spans="1:5" ht="15.6">
      <c r="A10" s="1949"/>
      <c r="B10" s="1955" t="s">
        <v>1623</v>
      </c>
      <c r="C10" s="1956" t="s">
        <v>1621</v>
      </c>
      <c r="D10" s="1042">
        <f>结果表!H104</f>
        <v>0</v>
      </c>
      <c r="E10" s="1949"/>
    </row>
    <row r="11" spans="1:5" ht="15.6">
      <c r="A11" s="1949"/>
      <c r="B11" s="1955" t="s">
        <v>1625</v>
      </c>
      <c r="C11" s="1956" t="s">
        <v>1626</v>
      </c>
      <c r="D11" s="1042">
        <f>结果表!H105</f>
        <v>0</v>
      </c>
      <c r="E11" s="1949"/>
    </row>
    <row r="12" spans="1:5" ht="15.6">
      <c r="A12" s="1949"/>
      <c r="B12" s="1955" t="s">
        <v>1627</v>
      </c>
      <c r="C12" s="1956" t="s">
        <v>1626</v>
      </c>
      <c r="D12" s="1042">
        <f>结果表!H106</f>
        <v>0</v>
      </c>
      <c r="E12" s="1949"/>
    </row>
    <row r="13" spans="1:5" ht="15.6">
      <c r="A13" s="1949"/>
      <c r="B13" s="3027" t="str">
        <f>结果表!E107</f>
        <v>3.房地产抵押价值</v>
      </c>
      <c r="C13" s="1957" t="s">
        <v>1617</v>
      </c>
      <c r="D13" s="1043">
        <f ca="1">结果表!H107</f>
        <v>84597</v>
      </c>
      <c r="E13" s="1949"/>
    </row>
    <row r="14" spans="1:5" ht="15.6">
      <c r="A14" s="1949"/>
      <c r="B14" s="3028"/>
      <c r="C14" s="1952" t="s">
        <v>1618</v>
      </c>
      <c r="D14" s="1040" t="str">
        <f ca="1">NUMBERSTRING(INT(D13*10000),2)&amp;"元整"</f>
        <v>捌亿肆仟伍佰玖拾柒万元整</v>
      </c>
      <c r="E14" s="1949"/>
    </row>
    <row r="15" spans="1:5" ht="15.6">
      <c r="A15" s="1949"/>
      <c r="B15" s="3033"/>
      <c r="C15" s="1953" t="s">
        <v>1628</v>
      </c>
      <c r="D15" s="1052">
        <f ca="1">结果表!H108</f>
        <v>9888</v>
      </c>
      <c r="E15" s="1949"/>
    </row>
    <row r="16" spans="1:5" ht="15.6">
      <c r="A16" s="1949"/>
      <c r="B16" s="3034" t="str">
        <f>结果表!E109</f>
        <v>——</v>
      </c>
      <c r="C16" s="1957" t="s">
        <v>1629</v>
      </c>
      <c r="D16" s="1958" t="str">
        <f>结果表!H109</f>
        <v>——</v>
      </c>
      <c r="E16" s="1949"/>
    </row>
    <row r="17" spans="1:5" ht="15.6">
      <c r="A17" s="1949"/>
      <c r="B17" s="3035"/>
      <c r="C17" s="1952" t="s">
        <v>1630</v>
      </c>
      <c r="D17" s="1040" t="e">
        <f>NUMBERSTRING(INT(D16*10000),2)&amp;"元整"</f>
        <v>#VALUE!</v>
      </c>
      <c r="E17" s="1949"/>
    </row>
    <row r="18" spans="1:5" ht="15.6">
      <c r="A18" s="1949"/>
      <c r="B18" s="3036"/>
      <c r="C18" s="1953" t="s">
        <v>1619</v>
      </c>
      <c r="D18" s="1052" t="str">
        <f>结果表!H110</f>
        <v>——</v>
      </c>
      <c r="E18" s="1949"/>
    </row>
    <row r="19" spans="1:5" ht="15.6">
      <c r="A19" s="1949"/>
      <c r="B19" s="3027" t="str">
        <f>结果表!E111</f>
        <v>——</v>
      </c>
      <c r="C19" s="1957" t="s">
        <v>1617</v>
      </c>
      <c r="D19" s="1041" t="str">
        <f>结果表!H111</f>
        <v>——</v>
      </c>
      <c r="E19" s="1949"/>
    </row>
    <row r="20" spans="1:5" ht="15.6">
      <c r="A20" s="1949"/>
      <c r="B20" s="3028"/>
      <c r="C20" s="1952" t="s">
        <v>1630</v>
      </c>
      <c r="D20" s="1040" t="e">
        <f>NUMBERSTRING(INT(D19*10000),2)&amp;"元整"</f>
        <v>#VALUE!</v>
      </c>
      <c r="E20" s="1949"/>
    </row>
    <row r="21" spans="1:5" ht="16.2" thickBot="1">
      <c r="A21" s="1949"/>
      <c r="B21" s="3029"/>
      <c r="C21" s="1959" t="s">
        <v>1628</v>
      </c>
      <c r="D21" s="1053"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2706</v>
      </c>
      <c r="B1" s="1618"/>
      <c r="C1" s="1619" t="s">
        <v>2529</v>
      </c>
      <c r="D1" s="1620"/>
      <c r="E1" s="1621"/>
      <c r="F1" s="257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77"/>
      <c r="D2" s="1124" t="e">
        <f ca="1">SUMIF(INDIRECT("'"&amp;F2&amp;"'"&amp;"!A:A"),"承租人权益价值",INDIRECT("'"&amp;F2&amp;"'"&amp;"!c:c"))</f>
        <v>#REF!</v>
      </c>
      <c r="E2" s="2578" t="s">
        <v>2327</v>
      </c>
      <c r="F2" s="257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70" t="s">
        <v>2647</v>
      </c>
      <c r="AC4" s="3277" t="s">
        <v>2648</v>
      </c>
    </row>
    <row r="5" spans="1:29">
      <c r="A5" s="404"/>
      <c r="B5" s="405"/>
      <c r="C5" s="3266" t="s">
        <v>2541</v>
      </c>
      <c r="D5" s="3261"/>
      <c r="E5" s="3284" t="s">
        <v>2542</v>
      </c>
      <c r="F5" s="3273"/>
      <c r="G5" s="3266" t="s">
        <v>2543</v>
      </c>
      <c r="H5" s="3261"/>
      <c r="I5" s="3266" t="s">
        <v>2544</v>
      </c>
      <c r="J5" s="3261"/>
      <c r="K5" s="610"/>
      <c r="L5" s="1130"/>
      <c r="M5" s="1131"/>
      <c r="N5" s="1131"/>
      <c r="O5" s="1131"/>
      <c r="P5" s="3280"/>
      <c r="Q5" s="3247"/>
      <c r="R5" s="3252"/>
      <c r="S5" s="3253"/>
      <c r="T5" s="3252"/>
      <c r="U5" s="3253"/>
      <c r="V5" s="3257"/>
      <c r="W5" s="3257"/>
      <c r="X5" s="1804"/>
      <c r="Y5" s="3252"/>
      <c r="Z5" s="3253"/>
      <c r="AA5" s="3270"/>
      <c r="AB5" s="3270"/>
      <c r="AC5" s="3270"/>
    </row>
    <row r="6" spans="1:29" ht="15" thickBot="1">
      <c r="A6" s="406"/>
      <c r="B6" s="407"/>
      <c r="C6" s="3258" t="s">
        <v>2545</v>
      </c>
      <c r="D6" s="3259"/>
      <c r="E6" s="3267" t="s">
        <v>2545</v>
      </c>
      <c r="F6" s="3268"/>
      <c r="G6" s="3258" t="s">
        <v>2545</v>
      </c>
      <c r="H6" s="3259"/>
      <c r="I6" s="3258" t="s">
        <v>2545</v>
      </c>
      <c r="J6" s="3259"/>
      <c r="K6" s="610" t="s">
        <v>2546</v>
      </c>
      <c r="L6" s="1130"/>
      <c r="M6" s="1131"/>
      <c r="N6" s="1131"/>
      <c r="O6" s="1131"/>
      <c r="P6" s="3281"/>
      <c r="Q6" s="3249"/>
      <c r="R6" s="3252"/>
      <c r="S6" s="3253"/>
      <c r="T6" s="3254"/>
      <c r="U6" s="3255"/>
      <c r="V6" s="3257"/>
      <c r="W6" s="3257"/>
      <c r="X6" s="1804"/>
      <c r="Y6" s="3254"/>
      <c r="Z6" s="3255"/>
      <c r="AA6" s="3271"/>
      <c r="AB6" s="3271"/>
      <c r="AC6" s="3271"/>
    </row>
    <row r="7" spans="1:29" s="117" customFormat="1" ht="15" thickBot="1">
      <c r="A7" s="408" t="s">
        <v>2547</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4" t="s">
        <v>2548</v>
      </c>
      <c r="Q7" s="3265"/>
      <c r="R7" s="770" t="s">
        <v>17</v>
      </c>
      <c r="S7" s="771">
        <f t="shared" ref="S7:S14" si="0">F7</f>
        <v>0</v>
      </c>
      <c r="T7" s="770" t="s">
        <v>17</v>
      </c>
      <c r="U7" s="771">
        <f t="shared" ref="U7:U14" si="1">H7</f>
        <v>0</v>
      </c>
      <c r="V7" s="770" t="s">
        <v>17</v>
      </c>
      <c r="W7" s="771">
        <f t="shared" ref="W7:W14" si="2">J7</f>
        <v>0</v>
      </c>
      <c r="X7" s="772"/>
      <c r="Y7" s="3264" t="s">
        <v>2548</v>
      </c>
      <c r="Z7" s="3263"/>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4" t="s">
        <v>2551</v>
      </c>
      <c r="Q8" s="3263"/>
      <c r="R8" s="770" t="s">
        <v>17</v>
      </c>
      <c r="S8" s="771">
        <f t="shared" si="0"/>
        <v>0</v>
      </c>
      <c r="T8" s="770" t="s">
        <v>17</v>
      </c>
      <c r="U8" s="771">
        <f t="shared" si="1"/>
        <v>0</v>
      </c>
      <c r="V8" s="770" t="s">
        <v>17</v>
      </c>
      <c r="W8" s="771">
        <f t="shared" si="2"/>
        <v>0</v>
      </c>
      <c r="X8" s="772"/>
      <c r="Y8" s="3264" t="s">
        <v>2551</v>
      </c>
      <c r="Z8" s="3263"/>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2554</v>
      </c>
      <c r="Q9" s="1786" t="str">
        <f t="shared" ref="Q9:Q14" si="6">B9</f>
        <v>用途</v>
      </c>
      <c r="R9" s="770" t="s">
        <v>17</v>
      </c>
      <c r="S9" s="771">
        <f t="shared" si="0"/>
        <v>100</v>
      </c>
      <c r="T9" s="770" t="s">
        <v>17</v>
      </c>
      <c r="U9" s="771">
        <f t="shared" si="1"/>
        <v>100</v>
      </c>
      <c r="V9" s="770" t="s">
        <v>17</v>
      </c>
      <c r="W9" s="771">
        <f t="shared" si="2"/>
        <v>100</v>
      </c>
      <c r="X9" s="772"/>
      <c r="Y9" s="3070"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86">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96.6">
      <c r="A14" s="401" t="s">
        <v>2558</v>
      </c>
      <c r="B14" s="629" t="s">
        <v>2708</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0" t="s">
        <v>2559</v>
      </c>
      <c r="Q14" s="1801" t="str">
        <f t="shared" si="6"/>
        <v>交通便捷度</v>
      </c>
      <c r="R14" s="774" t="s">
        <v>17</v>
      </c>
      <c r="S14" s="775">
        <f t="shared" si="0"/>
        <v>100</v>
      </c>
      <c r="T14" s="774" t="s">
        <v>17</v>
      </c>
      <c r="U14" s="775">
        <f t="shared" si="1"/>
        <v>100</v>
      </c>
      <c r="V14" s="774" t="s">
        <v>17</v>
      </c>
      <c r="W14" s="775">
        <f t="shared" si="2"/>
        <v>100</v>
      </c>
      <c r="X14" s="1804"/>
      <c r="Y14" s="3230" t="s">
        <v>2559</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1"/>
      <c r="Q15" s="1801"/>
      <c r="R15" s="774"/>
      <c r="S15" s="775"/>
      <c r="T15" s="774"/>
      <c r="U15" s="775"/>
      <c r="V15" s="774"/>
      <c r="W15" s="775"/>
      <c r="X15" s="1804"/>
      <c r="Y15" s="3231"/>
      <c r="Z15" s="1805"/>
      <c r="AA15" s="1802">
        <v>1</v>
      </c>
      <c r="AB15" s="1802">
        <v>1</v>
      </c>
      <c r="AC15" s="1802">
        <v>1</v>
      </c>
    </row>
    <row r="16" spans="1:29" ht="41.4">
      <c r="A16" s="404"/>
      <c r="B16" s="631" t="s">
        <v>2687</v>
      </c>
      <c r="C16" s="259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1"/>
      <c r="Q16" s="1801" t="str">
        <f>B16</f>
        <v>公共配套设施</v>
      </c>
      <c r="R16" s="774" t="s">
        <v>17</v>
      </c>
      <c r="S16" s="775">
        <f>F16</f>
        <v>100</v>
      </c>
      <c r="T16" s="774" t="s">
        <v>17</v>
      </c>
      <c r="U16" s="775">
        <f>H16</f>
        <v>100</v>
      </c>
      <c r="V16" s="774" t="s">
        <v>17</v>
      </c>
      <c r="W16" s="775">
        <f>J16</f>
        <v>100</v>
      </c>
      <c r="X16" s="1804"/>
      <c r="Y16" s="3231"/>
      <c r="Z16" s="1805" t="str">
        <f>Q16</f>
        <v>公共配套设施</v>
      </c>
      <c r="AA16" s="1802">
        <f t="shared" si="3"/>
        <v>1</v>
      </c>
      <c r="AB16" s="1802">
        <f t="shared" si="4"/>
        <v>1</v>
      </c>
      <c r="AC16" s="1802">
        <f t="shared" si="5"/>
        <v>1</v>
      </c>
    </row>
    <row r="17" spans="1:29" ht="15">
      <c r="A17" s="404"/>
      <c r="B17" s="632"/>
      <c r="C17" s="2599"/>
      <c r="D17" s="448"/>
      <c r="E17" s="447"/>
      <c r="F17" s="449"/>
      <c r="G17" s="447"/>
      <c r="H17" s="448"/>
      <c r="I17" s="447"/>
      <c r="J17" s="448"/>
      <c r="K17" s="615"/>
      <c r="L17" s="1140"/>
      <c r="M17" s="1131"/>
      <c r="N17" s="1131"/>
      <c r="O17" s="1131"/>
      <c r="P17" s="3231"/>
      <c r="Q17" s="1801"/>
      <c r="R17" s="774"/>
      <c r="S17" s="775"/>
      <c r="T17" s="774"/>
      <c r="U17" s="775"/>
      <c r="V17" s="774"/>
      <c r="W17" s="775"/>
      <c r="X17" s="1804"/>
      <c r="Y17" s="3231"/>
      <c r="Z17" s="1805"/>
      <c r="AA17" s="1802">
        <v>1</v>
      </c>
      <c r="AB17" s="1802">
        <v>1</v>
      </c>
      <c r="AC17" s="1802">
        <v>1</v>
      </c>
    </row>
    <row r="18" spans="1:29" ht="41.4">
      <c r="A18" s="404"/>
      <c r="B18" s="633" t="s">
        <v>2688</v>
      </c>
      <c r="C18" s="259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1"/>
      <c r="Q18" s="1801" t="str">
        <f>B18</f>
        <v>基础设施水平</v>
      </c>
      <c r="R18" s="774" t="s">
        <v>17</v>
      </c>
      <c r="S18" s="775">
        <f>F18</f>
        <v>100</v>
      </c>
      <c r="T18" s="774" t="s">
        <v>17</v>
      </c>
      <c r="U18" s="775">
        <f>H18</f>
        <v>100</v>
      </c>
      <c r="V18" s="774" t="s">
        <v>17</v>
      </c>
      <c r="W18" s="775">
        <f>J18</f>
        <v>100</v>
      </c>
      <c r="X18" s="1804"/>
      <c r="Y18" s="3231"/>
      <c r="Z18" s="1805" t="str">
        <f>Q18</f>
        <v>基础设施水平</v>
      </c>
      <c r="AA18" s="1802">
        <f t="shared" ref="AA18" si="8">D18/F18</f>
        <v>1</v>
      </c>
      <c r="AB18" s="1802">
        <f t="shared" ref="AB18" si="9">D18/H18</f>
        <v>1</v>
      </c>
      <c r="AC18" s="1802">
        <f t="shared" ref="AC18" si="10">D18/J18</f>
        <v>1</v>
      </c>
    </row>
    <row r="19" spans="1:29" ht="15">
      <c r="A19" s="404"/>
      <c r="B19" s="633"/>
      <c r="C19" s="2599"/>
      <c r="D19" s="450"/>
      <c r="E19" s="2599"/>
      <c r="F19" s="453"/>
      <c r="G19" s="2599"/>
      <c r="H19" s="448"/>
      <c r="I19" s="447"/>
      <c r="J19" s="448"/>
      <c r="K19" s="1383"/>
      <c r="L19" s="1140"/>
      <c r="M19" s="1131"/>
      <c r="N19" s="1131"/>
      <c r="O19" s="1131"/>
      <c r="P19" s="3231"/>
      <c r="Q19" s="1801"/>
      <c r="R19" s="774"/>
      <c r="S19" s="775"/>
      <c r="T19" s="774"/>
      <c r="U19" s="775"/>
      <c r="V19" s="774"/>
      <c r="W19" s="775"/>
      <c r="X19" s="1804"/>
      <c r="Y19" s="3231"/>
      <c r="Z19" s="1805"/>
      <c r="AA19" s="1802">
        <v>1</v>
      </c>
      <c r="AB19" s="1802">
        <v>1</v>
      </c>
      <c r="AC19" s="1802">
        <v>1</v>
      </c>
    </row>
    <row r="20" spans="1:29" ht="55.2">
      <c r="A20" s="404"/>
      <c r="B20" s="631" t="s">
        <v>2709</v>
      </c>
      <c r="C20" s="259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1"/>
      <c r="Q20" s="1801" t="str">
        <f>B20</f>
        <v>自然及人文环境</v>
      </c>
      <c r="R20" s="774" t="s">
        <v>17</v>
      </c>
      <c r="S20" s="775">
        <f>F20</f>
        <v>100</v>
      </c>
      <c r="T20" s="774" t="s">
        <v>17</v>
      </c>
      <c r="U20" s="775">
        <f>H20</f>
        <v>100</v>
      </c>
      <c r="V20" s="774" t="s">
        <v>17</v>
      </c>
      <c r="W20" s="775">
        <f>J20</f>
        <v>100</v>
      </c>
      <c r="X20" s="1804"/>
      <c r="Y20" s="3231"/>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1"/>
      <c r="Q21" s="1801"/>
      <c r="R21" s="774"/>
      <c r="S21" s="775"/>
      <c r="T21" s="774"/>
      <c r="U21" s="775"/>
      <c r="V21" s="774"/>
      <c r="W21" s="775"/>
      <c r="X21" s="1804"/>
      <c r="Y21" s="3231"/>
      <c r="Z21" s="1805"/>
      <c r="AA21" s="1802">
        <v>1</v>
      </c>
      <c r="AB21" s="1802">
        <v>1</v>
      </c>
      <c r="AC21" s="180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01" t="str">
        <f>B22</f>
        <v>楼层</v>
      </c>
      <c r="R22" s="774" t="s">
        <v>17</v>
      </c>
      <c r="S22" s="775">
        <f>F22</f>
        <v>100</v>
      </c>
      <c r="T22" s="774" t="s">
        <v>17</v>
      </c>
      <c r="U22" s="775">
        <f>H22</f>
        <v>100</v>
      </c>
      <c r="V22" s="774" t="s">
        <v>17</v>
      </c>
      <c r="W22" s="775">
        <f>J22</f>
        <v>100</v>
      </c>
      <c r="X22" s="1804"/>
      <c r="Y22" s="3231"/>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01">
        <f>B23</f>
        <v>111</v>
      </c>
      <c r="R23" s="774" t="s">
        <v>17</v>
      </c>
      <c r="S23" s="775">
        <f>F23</f>
        <v>100</v>
      </c>
      <c r="T23" s="774" t="s">
        <v>17</v>
      </c>
      <c r="U23" s="775">
        <f>H23</f>
        <v>100</v>
      </c>
      <c r="V23" s="774" t="s">
        <v>17</v>
      </c>
      <c r="W23" s="775">
        <f>J23</f>
        <v>100</v>
      </c>
      <c r="X23" s="1804"/>
      <c r="Y23" s="3231"/>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01">
        <f t="shared" ref="Q24:Q36" si="11">B24</f>
        <v>111</v>
      </c>
      <c r="R24" s="774" t="s">
        <v>17</v>
      </c>
      <c r="S24" s="775">
        <f>F24</f>
        <v>100</v>
      </c>
      <c r="T24" s="774" t="s">
        <v>17</v>
      </c>
      <c r="U24" s="775">
        <f>H24</f>
        <v>100</v>
      </c>
      <c r="V24" s="774" t="s">
        <v>17</v>
      </c>
      <c r="W24" s="775">
        <f>J24</f>
        <v>100</v>
      </c>
      <c r="X24" s="1804"/>
      <c r="Y24" s="3231"/>
      <c r="Z24" s="1805">
        <f>Q24</f>
        <v>111</v>
      </c>
      <c r="AA24" s="1802">
        <f t="shared" si="3"/>
        <v>1</v>
      </c>
      <c r="AB24" s="1802">
        <f t="shared" si="4"/>
        <v>1</v>
      </c>
      <c r="AC24" s="180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1"/>
      <c r="Q25" s="1786">
        <f t="shared" si="11"/>
        <v>111</v>
      </c>
      <c r="R25" s="770" t="s">
        <v>17</v>
      </c>
      <c r="S25" s="771">
        <f>F25</f>
        <v>100</v>
      </c>
      <c r="T25" s="770" t="s">
        <v>17</v>
      </c>
      <c r="U25" s="771">
        <f>H25</f>
        <v>100</v>
      </c>
      <c r="V25" s="770" t="s">
        <v>17</v>
      </c>
      <c r="W25" s="771">
        <f>J25</f>
        <v>100</v>
      </c>
      <c r="X25" s="772"/>
      <c r="Y25" s="3231"/>
      <c r="Z25" s="55">
        <f>Q25</f>
        <v>111</v>
      </c>
      <c r="AA25" s="1802">
        <f>D25/F25</f>
        <v>1</v>
      </c>
      <c r="AB25" s="1802">
        <f>D25/H25</f>
        <v>1</v>
      </c>
      <c r="AC25" s="1802">
        <f>D25/J25</f>
        <v>1</v>
      </c>
    </row>
    <row r="26" spans="1:29" ht="30">
      <c r="A26" s="652" t="s">
        <v>2562</v>
      </c>
      <c r="B26" s="70" t="s">
        <v>2711</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34" t="s">
        <v>2564</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35" t="s">
        <v>2564</v>
      </c>
      <c r="Z26" s="1805" t="str">
        <f t="shared" ref="Z26:Z36" si="15">Q26</f>
        <v>配套类型</v>
      </c>
      <c r="AA26" s="1802">
        <f t="shared" si="3"/>
        <v>1</v>
      </c>
      <c r="AB26" s="1802">
        <f t="shared" si="4"/>
        <v>1</v>
      </c>
      <c r="AC26" s="180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5"/>
      <c r="Q27" s="776" t="str">
        <f t="shared" si="11"/>
        <v>项目停车位配比</v>
      </c>
      <c r="R27" s="777" t="s">
        <v>17</v>
      </c>
      <c r="S27" s="778">
        <f t="shared" si="12"/>
        <v>100</v>
      </c>
      <c r="T27" s="777" t="s">
        <v>17</v>
      </c>
      <c r="U27" s="778">
        <f t="shared" si="13"/>
        <v>100</v>
      </c>
      <c r="V27" s="777" t="s">
        <v>17</v>
      </c>
      <c r="W27" s="778">
        <f t="shared" si="14"/>
        <v>100</v>
      </c>
      <c r="X27" s="779"/>
      <c r="Y27" s="3235"/>
      <c r="Z27" s="780" t="str">
        <f t="shared" si="15"/>
        <v>项目停车位配比</v>
      </c>
      <c r="AA27" s="1802">
        <f t="shared" si="3"/>
        <v>1</v>
      </c>
      <c r="AB27" s="1802">
        <f t="shared" si="4"/>
        <v>1</v>
      </c>
      <c r="AC27" s="180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5"/>
      <c r="Q28" s="1801" t="str">
        <f t="shared" si="11"/>
        <v>公共部分装修</v>
      </c>
      <c r="R28" s="774" t="s">
        <v>17</v>
      </c>
      <c r="S28" s="775">
        <f t="shared" si="12"/>
        <v>100</v>
      </c>
      <c r="T28" s="774" t="s">
        <v>17</v>
      </c>
      <c r="U28" s="775">
        <f t="shared" si="13"/>
        <v>100</v>
      </c>
      <c r="V28" s="774" t="s">
        <v>17</v>
      </c>
      <c r="W28" s="775">
        <f t="shared" si="14"/>
        <v>100</v>
      </c>
      <c r="X28" s="1804"/>
      <c r="Y28" s="3235"/>
      <c r="Z28" s="1805" t="str">
        <f t="shared" si="15"/>
        <v>公共部分装修</v>
      </c>
      <c r="AA28" s="1802">
        <f t="shared" si="3"/>
        <v>1</v>
      </c>
      <c r="AB28" s="1802">
        <f t="shared" si="4"/>
        <v>1</v>
      </c>
      <c r="AC28" s="180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5"/>
      <c r="Q29" s="1801" t="str">
        <f t="shared" si="11"/>
        <v>成新率</v>
      </c>
      <c r="R29" s="774" t="s">
        <v>17</v>
      </c>
      <c r="S29" s="775" t="e">
        <f t="shared" si="12"/>
        <v>#N/A</v>
      </c>
      <c r="T29" s="774" t="s">
        <v>17</v>
      </c>
      <c r="U29" s="775" t="e">
        <f t="shared" si="13"/>
        <v>#N/A</v>
      </c>
      <c r="V29" s="774" t="s">
        <v>17</v>
      </c>
      <c r="W29" s="775" t="e">
        <f t="shared" si="14"/>
        <v>#N/A</v>
      </c>
      <c r="X29" s="1804"/>
      <c r="Y29" s="3235"/>
      <c r="Z29" s="1805" t="str">
        <f t="shared" si="15"/>
        <v>成新率</v>
      </c>
      <c r="AA29" s="1802" t="e">
        <f t="shared" si="3"/>
        <v>#N/A</v>
      </c>
      <c r="AB29" s="1802" t="e">
        <f t="shared" si="4"/>
        <v>#N/A</v>
      </c>
      <c r="AC29" s="180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5"/>
      <c r="Q30" s="1801" t="str">
        <f t="shared" si="11"/>
        <v>物业等级</v>
      </c>
      <c r="R30" s="774" t="s">
        <v>17</v>
      </c>
      <c r="S30" s="775">
        <f t="shared" si="12"/>
        <v>100</v>
      </c>
      <c r="T30" s="774" t="s">
        <v>17</v>
      </c>
      <c r="U30" s="775">
        <f t="shared" si="13"/>
        <v>100</v>
      </c>
      <c r="V30" s="774" t="s">
        <v>17</v>
      </c>
      <c r="W30" s="775">
        <f t="shared" si="14"/>
        <v>100</v>
      </c>
      <c r="X30" s="1804"/>
      <c r="Y30" s="3235"/>
      <c r="Z30" s="1805" t="str">
        <f t="shared" si="15"/>
        <v>物业等级</v>
      </c>
      <c r="AA30" s="1802">
        <f t="shared" si="3"/>
        <v>1</v>
      </c>
      <c r="AB30" s="1802">
        <f t="shared" si="4"/>
        <v>1</v>
      </c>
      <c r="AC30" s="180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5"/>
      <c r="Q31" s="1786" t="str">
        <f t="shared" si="11"/>
        <v>停车位面积</v>
      </c>
      <c r="R31" s="770" t="s">
        <v>17</v>
      </c>
      <c r="S31" s="771" t="e">
        <f t="shared" si="12"/>
        <v>#N/A</v>
      </c>
      <c r="T31" s="770" t="s">
        <v>17</v>
      </c>
      <c r="U31" s="771" t="e">
        <f t="shared" si="13"/>
        <v>#N/A</v>
      </c>
      <c r="V31" s="770" t="s">
        <v>17</v>
      </c>
      <c r="W31" s="771" t="e">
        <f t="shared" si="14"/>
        <v>#N/A</v>
      </c>
      <c r="X31" s="772"/>
      <c r="Y31" s="323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5" t="s">
        <v>2564</v>
      </c>
      <c r="Q32" s="1801" t="str">
        <f t="shared" si="11"/>
        <v>车位类型</v>
      </c>
      <c r="R32" s="774" t="s">
        <v>17</v>
      </c>
      <c r="S32" s="775">
        <f t="shared" si="12"/>
        <v>100</v>
      </c>
      <c r="T32" s="774" t="s">
        <v>17</v>
      </c>
      <c r="U32" s="775">
        <f t="shared" si="13"/>
        <v>100</v>
      </c>
      <c r="V32" s="774" t="s">
        <v>17</v>
      </c>
      <c r="W32" s="775">
        <f t="shared" si="14"/>
        <v>100</v>
      </c>
      <c r="X32" s="1804"/>
      <c r="Y32" s="3235" t="s">
        <v>2564</v>
      </c>
      <c r="Z32" s="1805" t="str">
        <f t="shared" si="15"/>
        <v>车位类型</v>
      </c>
      <c r="AA32" s="1802">
        <f t="shared" si="3"/>
        <v>1</v>
      </c>
      <c r="AB32" s="1802">
        <f t="shared" si="4"/>
        <v>1</v>
      </c>
      <c r="AC32" s="180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5"/>
      <c r="Q33" s="1801" t="str">
        <f t="shared" si="11"/>
        <v>是否直接入户</v>
      </c>
      <c r="R33" s="774" t="s">
        <v>17</v>
      </c>
      <c r="S33" s="775">
        <f t="shared" si="12"/>
        <v>100</v>
      </c>
      <c r="T33" s="774" t="s">
        <v>17</v>
      </c>
      <c r="U33" s="775">
        <f t="shared" si="13"/>
        <v>100</v>
      </c>
      <c r="V33" s="774" t="s">
        <v>17</v>
      </c>
      <c r="W33" s="775">
        <f t="shared" si="14"/>
        <v>100</v>
      </c>
      <c r="X33" s="1804"/>
      <c r="Y33" s="3235"/>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5"/>
      <c r="Q34" s="1801">
        <f t="shared" si="11"/>
        <v>111</v>
      </c>
      <c r="R34" s="774" t="s">
        <v>17</v>
      </c>
      <c r="S34" s="775">
        <f t="shared" si="12"/>
        <v>100</v>
      </c>
      <c r="T34" s="774" t="s">
        <v>17</v>
      </c>
      <c r="U34" s="775">
        <f t="shared" si="13"/>
        <v>100</v>
      </c>
      <c r="V34" s="774" t="s">
        <v>17</v>
      </c>
      <c r="W34" s="775">
        <f t="shared" si="14"/>
        <v>100</v>
      </c>
      <c r="X34" s="1804"/>
      <c r="Y34" s="3235"/>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5"/>
      <c r="Q35" s="776">
        <f t="shared" si="11"/>
        <v>111</v>
      </c>
      <c r="R35" s="777" t="s">
        <v>17</v>
      </c>
      <c r="S35" s="778">
        <f t="shared" si="12"/>
        <v>100</v>
      </c>
      <c r="T35" s="777" t="s">
        <v>17</v>
      </c>
      <c r="U35" s="778">
        <f t="shared" si="13"/>
        <v>100</v>
      </c>
      <c r="V35" s="777" t="s">
        <v>17</v>
      </c>
      <c r="W35" s="778">
        <f t="shared" si="14"/>
        <v>100</v>
      </c>
      <c r="X35" s="779"/>
      <c r="Y35" s="3235"/>
      <c r="Z35" s="780">
        <f t="shared" si="15"/>
        <v>111</v>
      </c>
      <c r="AA35" s="1802">
        <f t="shared" si="3"/>
        <v>1</v>
      </c>
      <c r="AB35" s="1802">
        <f t="shared" si="4"/>
        <v>1</v>
      </c>
      <c r="AC35" s="180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5"/>
      <c r="Q36" s="1801">
        <f t="shared" si="11"/>
        <v>111</v>
      </c>
      <c r="R36" s="774" t="s">
        <v>17</v>
      </c>
      <c r="S36" s="775">
        <f t="shared" si="12"/>
        <v>100</v>
      </c>
      <c r="T36" s="774" t="s">
        <v>17</v>
      </c>
      <c r="U36" s="775">
        <f t="shared" si="13"/>
        <v>100</v>
      </c>
      <c r="V36" s="774" t="s">
        <v>17</v>
      </c>
      <c r="W36" s="775">
        <f t="shared" si="14"/>
        <v>100</v>
      </c>
      <c r="X36" s="1804"/>
      <c r="Y36" s="3235"/>
      <c r="Z36" s="1805">
        <f t="shared" si="15"/>
        <v>111</v>
      </c>
      <c r="AA36" s="1802">
        <f t="shared" si="3"/>
        <v>1</v>
      </c>
      <c r="AB36" s="1802">
        <f t="shared" si="4"/>
        <v>1</v>
      </c>
      <c r="AC36" s="1802">
        <f t="shared" si="5"/>
        <v>1</v>
      </c>
    </row>
    <row r="37" spans="1:29" ht="14.4">
      <c r="A37" s="479" t="s">
        <v>2719</v>
      </c>
      <c r="B37" s="2686" t="s">
        <v>2720</v>
      </c>
      <c r="C37" s="1407" t="s">
        <v>1</v>
      </c>
      <c r="D37" s="1408"/>
      <c r="E37" s="1409"/>
      <c r="F37" s="1410"/>
      <c r="G37" s="1411"/>
      <c r="H37" s="1412"/>
      <c r="I37" s="1409"/>
      <c r="J37" s="1412"/>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 thickBot="1">
      <c r="A39" s="492" t="s">
        <v>2722</v>
      </c>
      <c r="B39" s="493"/>
      <c r="C39" s="1417" t="e">
        <f>R39</f>
        <v>#DIV/0!</v>
      </c>
      <c r="D39" s="1417"/>
      <c r="E39" s="1417"/>
      <c r="F39" s="1417"/>
      <c r="G39" s="1417"/>
      <c r="H39" s="1417"/>
      <c r="I39" s="1417"/>
      <c r="J39" s="1417"/>
      <c r="K39" s="621"/>
      <c r="L39" s="1143"/>
      <c r="M39" s="1144"/>
      <c r="N39" s="1144"/>
      <c r="O39" s="1144"/>
      <c r="P39" s="3274" t="str">
        <f>A39</f>
        <v>估价对象XX用房的比较价值（楼面单价，元/平方米）</v>
      </c>
      <c r="Q39" s="3275"/>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2727</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8" sqref="L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2706</v>
      </c>
      <c r="B1" s="1618"/>
      <c r="C1" s="1619" t="s">
        <v>2529</v>
      </c>
      <c r="D1" s="1620"/>
      <c r="E1" s="1629"/>
      <c r="F1" s="257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77"/>
      <c r="D2" s="1124" t="e">
        <f ca="1">SUMIF(INDIRECT("'"&amp;F2&amp;"'"&amp;"!A:A"),"承租人权益价值",INDIRECT("'"&amp;F2&amp;"'"&amp;"!c:c"))</f>
        <v>#REF!</v>
      </c>
      <c r="E2" s="2578" t="s">
        <v>2327</v>
      </c>
      <c r="F2" s="257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70" t="s">
        <v>2647</v>
      </c>
      <c r="AC4" s="3277" t="s">
        <v>2648</v>
      </c>
    </row>
    <row r="5" spans="1:29">
      <c r="A5" s="404"/>
      <c r="B5" s="405"/>
      <c r="C5" s="3266" t="s">
        <v>2541</v>
      </c>
      <c r="D5" s="3261"/>
      <c r="E5" s="3284" t="s">
        <v>2542</v>
      </c>
      <c r="F5" s="3273"/>
      <c r="G5" s="3266" t="s">
        <v>2543</v>
      </c>
      <c r="H5" s="3261"/>
      <c r="I5" s="3266" t="s">
        <v>2544</v>
      </c>
      <c r="J5" s="3261"/>
      <c r="K5" s="610"/>
      <c r="L5" s="1130"/>
      <c r="M5" s="1131"/>
      <c r="N5" s="1131"/>
      <c r="O5" s="1131"/>
      <c r="P5" s="3280"/>
      <c r="Q5" s="3247"/>
      <c r="R5" s="3252"/>
      <c r="S5" s="3253"/>
      <c r="T5" s="3252"/>
      <c r="U5" s="3253"/>
      <c r="V5" s="3257"/>
      <c r="W5" s="3257"/>
      <c r="X5" s="1804"/>
      <c r="Y5" s="3252"/>
      <c r="Z5" s="3253"/>
      <c r="AA5" s="3270"/>
      <c r="AB5" s="3270"/>
      <c r="AC5" s="3270"/>
    </row>
    <row r="6" spans="1:29" ht="15" thickBot="1">
      <c r="A6" s="406"/>
      <c r="B6" s="407"/>
      <c r="C6" s="3258" t="s">
        <v>2545</v>
      </c>
      <c r="D6" s="3259"/>
      <c r="E6" s="3267" t="s">
        <v>2545</v>
      </c>
      <c r="F6" s="3268"/>
      <c r="G6" s="3258" t="s">
        <v>2545</v>
      </c>
      <c r="H6" s="3259"/>
      <c r="I6" s="3258" t="s">
        <v>2545</v>
      </c>
      <c r="J6" s="3259"/>
      <c r="K6" s="610" t="s">
        <v>2546</v>
      </c>
      <c r="L6" s="1130"/>
      <c r="M6" s="1131"/>
      <c r="N6" s="1131"/>
      <c r="O6" s="1131"/>
      <c r="P6" s="3281"/>
      <c r="Q6" s="3249"/>
      <c r="R6" s="3252"/>
      <c r="S6" s="3253"/>
      <c r="T6" s="3254"/>
      <c r="U6" s="3255"/>
      <c r="V6" s="3257"/>
      <c r="W6" s="3257"/>
      <c r="X6" s="1804"/>
      <c r="Y6" s="3254"/>
      <c r="Z6" s="3255"/>
      <c r="AA6" s="3271"/>
      <c r="AB6" s="3271"/>
      <c r="AC6" s="3271"/>
    </row>
    <row r="7" spans="1:29" s="117" customFormat="1" ht="15" thickBot="1">
      <c r="A7" s="408" t="s">
        <v>2547</v>
      </c>
      <c r="B7" s="409"/>
      <c r="C7" s="410">
        <f>'数据-取费表'!B2</f>
        <v>44012</v>
      </c>
      <c r="D7" s="411">
        <v>100</v>
      </c>
      <c r="E7" s="412"/>
      <c r="F7" s="413">
        <f>SUMIF(46:46,YEAR(E7)&amp;"-"&amp;MONTH(E7),47:47)</f>
        <v>0</v>
      </c>
      <c r="G7" s="2687"/>
      <c r="H7" s="411">
        <f>SUMIF(46:46,YEAR(G7)&amp;"-"&amp;MONTH(G7),47:47)</f>
        <v>0</v>
      </c>
      <c r="I7" s="412"/>
      <c r="J7" s="411">
        <f>SUMIF(46:46,YEAR(I7)&amp;"-"&amp;MONTH(I7),47:47)</f>
        <v>0</v>
      </c>
      <c r="K7" s="611"/>
      <c r="L7" s="1132"/>
      <c r="M7" s="1133"/>
      <c r="N7" s="1133"/>
      <c r="O7" s="1133"/>
      <c r="P7" s="3264" t="s">
        <v>2548</v>
      </c>
      <c r="Q7" s="3265"/>
      <c r="R7" s="770" t="s">
        <v>17</v>
      </c>
      <c r="S7" s="771">
        <f t="shared" ref="S7:S14" si="0">F7</f>
        <v>0</v>
      </c>
      <c r="T7" s="770" t="s">
        <v>17</v>
      </c>
      <c r="U7" s="771">
        <f t="shared" ref="U7:U14" si="1">H7</f>
        <v>0</v>
      </c>
      <c r="V7" s="770" t="s">
        <v>17</v>
      </c>
      <c r="W7" s="771">
        <f t="shared" ref="W7:W14" si="2">J7</f>
        <v>0</v>
      </c>
      <c r="X7" s="772"/>
      <c r="Y7" s="3264" t="s">
        <v>2548</v>
      </c>
      <c r="Z7" s="3263"/>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4" t="s">
        <v>2551</v>
      </c>
      <c r="Q8" s="3263"/>
      <c r="R8" s="770" t="s">
        <v>17</v>
      </c>
      <c r="S8" s="771">
        <f t="shared" si="0"/>
        <v>0</v>
      </c>
      <c r="T8" s="770" t="s">
        <v>17</v>
      </c>
      <c r="U8" s="771">
        <f t="shared" si="1"/>
        <v>0</v>
      </c>
      <c r="V8" s="770" t="s">
        <v>17</v>
      </c>
      <c r="W8" s="771">
        <f t="shared" si="2"/>
        <v>0</v>
      </c>
      <c r="X8" s="772"/>
      <c r="Y8" s="3264" t="s">
        <v>2551</v>
      </c>
      <c r="Z8" s="3263"/>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2554</v>
      </c>
      <c r="Q9" s="1786" t="str">
        <f t="shared" ref="Q9:Q14" si="6">B9</f>
        <v>用途</v>
      </c>
      <c r="R9" s="770" t="s">
        <v>17</v>
      </c>
      <c r="S9" s="771">
        <f t="shared" si="0"/>
        <v>100</v>
      </c>
      <c r="T9" s="770" t="s">
        <v>17</v>
      </c>
      <c r="U9" s="771">
        <f t="shared" si="1"/>
        <v>100</v>
      </c>
      <c r="V9" s="770" t="s">
        <v>17</v>
      </c>
      <c r="W9" s="771">
        <f t="shared" si="2"/>
        <v>100</v>
      </c>
      <c r="X9" s="772"/>
      <c r="Y9" s="3070"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86"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86">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6"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96.6">
      <c r="A14" s="440" t="s">
        <v>2558</v>
      </c>
      <c r="B14" s="69" t="s">
        <v>2708</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2559</v>
      </c>
      <c r="Q14" s="1801" t="str">
        <f t="shared" si="6"/>
        <v>交通便捷度</v>
      </c>
      <c r="R14" s="774" t="s">
        <v>17</v>
      </c>
      <c r="S14" s="775">
        <f t="shared" si="0"/>
        <v>100</v>
      </c>
      <c r="T14" s="774" t="s">
        <v>17</v>
      </c>
      <c r="U14" s="775">
        <f t="shared" si="1"/>
        <v>100</v>
      </c>
      <c r="V14" s="774" t="s">
        <v>17</v>
      </c>
      <c r="W14" s="775">
        <f t="shared" si="2"/>
        <v>100</v>
      </c>
      <c r="X14" s="1804"/>
      <c r="Y14" s="3230" t="s">
        <v>2559</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1"/>
      <c r="Q15" s="1801"/>
      <c r="R15" s="774"/>
      <c r="S15" s="775"/>
      <c r="T15" s="774"/>
      <c r="U15" s="775"/>
      <c r="V15" s="774"/>
      <c r="W15" s="775"/>
      <c r="X15" s="1804"/>
      <c r="Y15" s="3231"/>
      <c r="Z15" s="1805"/>
      <c r="AA15" s="1802">
        <v>1</v>
      </c>
      <c r="AB15" s="1802">
        <v>1</v>
      </c>
      <c r="AC15" s="1802">
        <v>1</v>
      </c>
    </row>
    <row r="16" spans="1:29" ht="41.4">
      <c r="A16" s="428"/>
      <c r="B16" s="451" t="s">
        <v>2687</v>
      </c>
      <c r="C16" s="259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01" t="str">
        <f>B16</f>
        <v>公共配套设施</v>
      </c>
      <c r="R16" s="774" t="s">
        <v>17</v>
      </c>
      <c r="S16" s="775">
        <f>F16</f>
        <v>100</v>
      </c>
      <c r="T16" s="774" t="s">
        <v>17</v>
      </c>
      <c r="U16" s="775">
        <f>H16</f>
        <v>100</v>
      </c>
      <c r="V16" s="774" t="s">
        <v>17</v>
      </c>
      <c r="W16" s="775">
        <f>J16</f>
        <v>100</v>
      </c>
      <c r="X16" s="1804"/>
      <c r="Y16" s="3231"/>
      <c r="Z16" s="1805" t="str">
        <f>Q16</f>
        <v>公共配套设施</v>
      </c>
      <c r="AA16" s="1802">
        <f t="shared" si="3"/>
        <v>1</v>
      </c>
      <c r="AB16" s="1802">
        <f t="shared" si="4"/>
        <v>1</v>
      </c>
      <c r="AC16" s="1802">
        <f t="shared" si="5"/>
        <v>1</v>
      </c>
    </row>
    <row r="17" spans="1:29" ht="15">
      <c r="A17" s="428"/>
      <c r="B17" s="456"/>
      <c r="C17" s="2599"/>
      <c r="D17" s="448"/>
      <c r="E17" s="447"/>
      <c r="F17" s="449"/>
      <c r="G17" s="447"/>
      <c r="H17" s="448"/>
      <c r="I17" s="447"/>
      <c r="J17" s="448"/>
      <c r="K17" s="615"/>
      <c r="L17" s="1140"/>
      <c r="M17" s="1131"/>
      <c r="N17" s="1131"/>
      <c r="O17" s="1139"/>
      <c r="P17" s="3231"/>
      <c r="Q17" s="1801"/>
      <c r="R17" s="774"/>
      <c r="S17" s="775"/>
      <c r="T17" s="774"/>
      <c r="U17" s="775"/>
      <c r="V17" s="774"/>
      <c r="W17" s="775"/>
      <c r="X17" s="1804"/>
      <c r="Y17" s="3231"/>
      <c r="Z17" s="1805"/>
      <c r="AA17" s="1802">
        <v>1</v>
      </c>
      <c r="AB17" s="1802">
        <v>1</v>
      </c>
      <c r="AC17" s="1802">
        <v>1</v>
      </c>
    </row>
    <row r="18" spans="1:29" ht="41.4">
      <c r="A18" s="428"/>
      <c r="B18" s="1384" t="s">
        <v>2688</v>
      </c>
      <c r="C18" s="259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01" t="str">
        <f>B18</f>
        <v>基础设施水平</v>
      </c>
      <c r="R18" s="774" t="s">
        <v>17</v>
      </c>
      <c r="S18" s="775">
        <f>F18</f>
        <v>100</v>
      </c>
      <c r="T18" s="774" t="s">
        <v>17</v>
      </c>
      <c r="U18" s="775">
        <f>H18</f>
        <v>100</v>
      </c>
      <c r="V18" s="774" t="s">
        <v>17</v>
      </c>
      <c r="W18" s="775">
        <f>J18</f>
        <v>100</v>
      </c>
      <c r="X18" s="1804"/>
      <c r="Y18" s="3231"/>
      <c r="Z18" s="1805" t="str">
        <f>Q18</f>
        <v>基础设施水平</v>
      </c>
      <c r="AA18" s="1802">
        <f t="shared" ref="AA18" si="8">D18/F18</f>
        <v>1</v>
      </c>
      <c r="AB18" s="1802">
        <f t="shared" ref="AB18" si="9">D18/H18</f>
        <v>1</v>
      </c>
      <c r="AC18" s="1802">
        <f t="shared" ref="AC18" si="10">D18/J18</f>
        <v>1</v>
      </c>
    </row>
    <row r="19" spans="1:29" ht="15">
      <c r="A19" s="428"/>
      <c r="B19" s="1384"/>
      <c r="C19" s="2599"/>
      <c r="D19" s="450"/>
      <c r="E19" s="2599"/>
      <c r="F19" s="453"/>
      <c r="G19" s="2599"/>
      <c r="H19" s="448"/>
      <c r="I19" s="447"/>
      <c r="J19" s="448"/>
      <c r="K19" s="1383"/>
      <c r="L19" s="1140"/>
      <c r="M19" s="1131"/>
      <c r="N19" s="1131"/>
      <c r="O19" s="1139"/>
      <c r="P19" s="3231"/>
      <c r="Q19" s="1801"/>
      <c r="R19" s="774"/>
      <c r="S19" s="775"/>
      <c r="T19" s="774"/>
      <c r="U19" s="775"/>
      <c r="V19" s="774"/>
      <c r="W19" s="775"/>
      <c r="X19" s="1804"/>
      <c r="Y19" s="3231"/>
      <c r="Z19" s="1805"/>
      <c r="AA19" s="1802">
        <v>1</v>
      </c>
      <c r="AB19" s="1802">
        <v>1</v>
      </c>
      <c r="AC19" s="1802">
        <v>1</v>
      </c>
    </row>
    <row r="20" spans="1:29" ht="55.2">
      <c r="A20" s="428"/>
      <c r="B20" s="451" t="s">
        <v>2709</v>
      </c>
      <c r="C20" s="259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01" t="str">
        <f>B20</f>
        <v>自然及人文环境</v>
      </c>
      <c r="R20" s="774" t="s">
        <v>17</v>
      </c>
      <c r="S20" s="775">
        <f>F20</f>
        <v>100</v>
      </c>
      <c r="T20" s="774" t="s">
        <v>17</v>
      </c>
      <c r="U20" s="775">
        <f>H20</f>
        <v>100</v>
      </c>
      <c r="V20" s="774" t="s">
        <v>17</v>
      </c>
      <c r="W20" s="775">
        <f>J20</f>
        <v>100</v>
      </c>
      <c r="X20" s="1804"/>
      <c r="Y20" s="3231"/>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1"/>
      <c r="Q21" s="1801"/>
      <c r="R21" s="774"/>
      <c r="S21" s="775"/>
      <c r="T21" s="774"/>
      <c r="U21" s="775"/>
      <c r="V21" s="774"/>
      <c r="W21" s="775"/>
      <c r="X21" s="1804"/>
      <c r="Y21" s="3231"/>
      <c r="Z21" s="1805"/>
      <c r="AA21" s="1802">
        <v>1</v>
      </c>
      <c r="AB21" s="1802">
        <v>1</v>
      </c>
      <c r="AC21" s="180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01" t="str">
        <f>B22</f>
        <v>楼层</v>
      </c>
      <c r="R22" s="774" t="s">
        <v>17</v>
      </c>
      <c r="S22" s="775">
        <f>F22</f>
        <v>100</v>
      </c>
      <c r="T22" s="774" t="s">
        <v>17</v>
      </c>
      <c r="U22" s="775">
        <f>H22</f>
        <v>100</v>
      </c>
      <c r="V22" s="774" t="s">
        <v>17</v>
      </c>
      <c r="W22" s="775">
        <f>J22</f>
        <v>100</v>
      </c>
      <c r="X22" s="1804"/>
      <c r="Y22" s="3231"/>
      <c r="Z22" s="1805" t="str">
        <f>Q22</f>
        <v>楼层</v>
      </c>
      <c r="AA22" s="1802">
        <f t="shared" si="3"/>
        <v>1</v>
      </c>
      <c r="AB22" s="1802">
        <f t="shared" si="4"/>
        <v>1</v>
      </c>
      <c r="AC22" s="1802">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01">
        <f>B23</f>
        <v>111</v>
      </c>
      <c r="R23" s="774" t="s">
        <v>17</v>
      </c>
      <c r="S23" s="775">
        <f>F23</f>
        <v>100</v>
      </c>
      <c r="T23" s="774" t="s">
        <v>17</v>
      </c>
      <c r="U23" s="775">
        <f>H23</f>
        <v>100</v>
      </c>
      <c r="V23" s="774" t="s">
        <v>17</v>
      </c>
      <c r="W23" s="775">
        <f>J23</f>
        <v>100</v>
      </c>
      <c r="X23" s="1804"/>
      <c r="Y23" s="3231"/>
      <c r="Z23" s="1805">
        <f>Q23</f>
        <v>111</v>
      </c>
      <c r="AA23" s="1802">
        <f t="shared" si="3"/>
        <v>1</v>
      </c>
      <c r="AB23" s="1802">
        <f t="shared" si="4"/>
        <v>1</v>
      </c>
      <c r="AC23" s="1802">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01">
        <f t="shared" ref="Q24:Q34" si="11">B24</f>
        <v>111</v>
      </c>
      <c r="R24" s="774" t="s">
        <v>17</v>
      </c>
      <c r="S24" s="775">
        <f>F24</f>
        <v>100</v>
      </c>
      <c r="T24" s="774" t="s">
        <v>17</v>
      </c>
      <c r="U24" s="775">
        <f>H24</f>
        <v>100</v>
      </c>
      <c r="V24" s="774" t="s">
        <v>17</v>
      </c>
      <c r="W24" s="775">
        <f>J24</f>
        <v>100</v>
      </c>
      <c r="X24" s="1804"/>
      <c r="Y24" s="3231"/>
      <c r="Z24" s="1805">
        <f>Q24</f>
        <v>111</v>
      </c>
      <c r="AA24" s="1802">
        <f t="shared" si="3"/>
        <v>1</v>
      </c>
      <c r="AB24" s="1802">
        <f t="shared" si="4"/>
        <v>1</v>
      </c>
      <c r="AC24" s="1802">
        <f t="shared" si="5"/>
        <v>1</v>
      </c>
    </row>
    <row r="25" spans="1:29" s="117" customFormat="1" ht="15.6"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32"/>
      <c r="M25" s="1133"/>
      <c r="N25" s="1133"/>
      <c r="O25" s="1134"/>
      <c r="P25" s="3231"/>
      <c r="Q25" s="1786">
        <f t="shared" si="11"/>
        <v>111</v>
      </c>
      <c r="R25" s="770" t="s">
        <v>17</v>
      </c>
      <c r="S25" s="771">
        <f>F25</f>
        <v>100</v>
      </c>
      <c r="T25" s="770" t="s">
        <v>17</v>
      </c>
      <c r="U25" s="771">
        <f>H25</f>
        <v>100</v>
      </c>
      <c r="V25" s="770" t="s">
        <v>17</v>
      </c>
      <c r="W25" s="771">
        <f>J25</f>
        <v>100</v>
      </c>
      <c r="X25" s="772"/>
      <c r="Y25" s="3231"/>
      <c r="Z25" s="55">
        <f>Q25</f>
        <v>111</v>
      </c>
      <c r="AA25" s="1802">
        <f>D25/F25</f>
        <v>1</v>
      </c>
      <c r="AB25" s="1802">
        <f>D25/H25</f>
        <v>1</v>
      </c>
      <c r="AC25" s="1802">
        <f>D25/J25</f>
        <v>1</v>
      </c>
    </row>
    <row r="26" spans="1:29" ht="30">
      <c r="A26" s="466" t="s">
        <v>2562</v>
      </c>
      <c r="B26" s="71" t="s">
        <v>2713</v>
      </c>
      <c r="C26" s="2670"/>
      <c r="D26" s="467">
        <v>100</v>
      </c>
      <c r="E26" s="2670"/>
      <c r="F26" s="667">
        <f>SUMIF(77:77,E26,78:78)-SUMIF(77:77,C26,78:78)+100</f>
        <v>100</v>
      </c>
      <c r="G26" s="2670"/>
      <c r="H26" s="467">
        <f>SUMIF(77:77,G26,78:78)-SUMIF(77:77,C26,78:78)+100</f>
        <v>100</v>
      </c>
      <c r="I26" s="2670"/>
      <c r="J26" s="467">
        <f>SUMIF(77:77,I26,78:78)-SUMIF(77:77,C26,78:78)+100</f>
        <v>100</v>
      </c>
      <c r="K26" s="612"/>
      <c r="L26" s="1140"/>
      <c r="M26" s="1131"/>
      <c r="N26" s="1131"/>
      <c r="O26" s="1139"/>
      <c r="P26" s="3334" t="s">
        <v>2564</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5" t="s">
        <v>2564</v>
      </c>
      <c r="Z26" s="1805" t="str">
        <f t="shared" ref="Z26:Z34" si="15">Q26</f>
        <v>公共部分装修</v>
      </c>
      <c r="AA26" s="1802">
        <f t="shared" si="3"/>
        <v>1</v>
      </c>
      <c r="AB26" s="1802">
        <f t="shared" si="4"/>
        <v>1</v>
      </c>
      <c r="AC26" s="180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5"/>
      <c r="Q27" s="776" t="str">
        <f t="shared" si="11"/>
        <v>成新率</v>
      </c>
      <c r="R27" s="777" t="s">
        <v>17</v>
      </c>
      <c r="S27" s="778" t="e">
        <f t="shared" si="12"/>
        <v>#N/A</v>
      </c>
      <c r="T27" s="777" t="s">
        <v>17</v>
      </c>
      <c r="U27" s="778" t="e">
        <f t="shared" si="13"/>
        <v>#N/A</v>
      </c>
      <c r="V27" s="777" t="s">
        <v>17</v>
      </c>
      <c r="W27" s="778" t="e">
        <f t="shared" si="14"/>
        <v>#N/A</v>
      </c>
      <c r="X27" s="779"/>
      <c r="Y27" s="3235"/>
      <c r="Z27" s="780" t="str">
        <f t="shared" si="15"/>
        <v>成新率</v>
      </c>
      <c r="AA27" s="1802" t="e">
        <f t="shared" si="3"/>
        <v>#N/A</v>
      </c>
      <c r="AB27" s="1802" t="e">
        <f t="shared" si="4"/>
        <v>#N/A</v>
      </c>
      <c r="AC27" s="180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5"/>
      <c r="Q28" s="1801" t="str">
        <f t="shared" si="11"/>
        <v>物业等级</v>
      </c>
      <c r="R28" s="774" t="s">
        <v>17</v>
      </c>
      <c r="S28" s="775">
        <f t="shared" si="12"/>
        <v>100</v>
      </c>
      <c r="T28" s="774" t="s">
        <v>17</v>
      </c>
      <c r="U28" s="775">
        <f t="shared" si="13"/>
        <v>100</v>
      </c>
      <c r="V28" s="774" t="s">
        <v>17</v>
      </c>
      <c r="W28" s="775">
        <f t="shared" si="14"/>
        <v>100</v>
      </c>
      <c r="X28" s="1804"/>
      <c r="Y28" s="3235"/>
      <c r="Z28" s="1805" t="str">
        <f t="shared" si="15"/>
        <v>物业等级</v>
      </c>
      <c r="AA28" s="1802">
        <f t="shared" si="3"/>
        <v>1</v>
      </c>
      <c r="AB28" s="1802">
        <f t="shared" si="4"/>
        <v>1</v>
      </c>
      <c r="AC28" s="180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5"/>
      <c r="Q29" s="1801" t="str">
        <f t="shared" si="11"/>
        <v>有无电梯</v>
      </c>
      <c r="R29" s="774" t="s">
        <v>17</v>
      </c>
      <c r="S29" s="775">
        <f t="shared" si="12"/>
        <v>100</v>
      </c>
      <c r="T29" s="774" t="s">
        <v>17</v>
      </c>
      <c r="U29" s="775">
        <f t="shared" si="13"/>
        <v>100</v>
      </c>
      <c r="V29" s="774" t="s">
        <v>17</v>
      </c>
      <c r="W29" s="775">
        <f t="shared" si="14"/>
        <v>100</v>
      </c>
      <c r="X29" s="1804"/>
      <c r="Y29" s="3235"/>
      <c r="Z29" s="1805" t="str">
        <f t="shared" si="15"/>
        <v>有无电梯</v>
      </c>
      <c r="AA29" s="1802">
        <f t="shared" si="3"/>
        <v>1</v>
      </c>
      <c r="AB29" s="1802">
        <f t="shared" si="4"/>
        <v>1</v>
      </c>
      <c r="AC29" s="180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5"/>
      <c r="Q30" s="1801" t="str">
        <f t="shared" si="11"/>
        <v>建筑面积</v>
      </c>
      <c r="R30" s="774" t="s">
        <v>17</v>
      </c>
      <c r="S30" s="775" t="e">
        <f t="shared" si="12"/>
        <v>#N/A</v>
      </c>
      <c r="T30" s="774" t="s">
        <v>17</v>
      </c>
      <c r="U30" s="775" t="e">
        <f t="shared" si="13"/>
        <v>#N/A</v>
      </c>
      <c r="V30" s="774" t="s">
        <v>17</v>
      </c>
      <c r="W30" s="775" t="e">
        <f t="shared" si="14"/>
        <v>#N/A</v>
      </c>
      <c r="X30" s="1804"/>
      <c r="Y30" s="3235"/>
      <c r="Z30" s="1805" t="str">
        <f t="shared" si="15"/>
        <v>建筑面积</v>
      </c>
      <c r="AA30" s="1802" t="e">
        <f t="shared" si="3"/>
        <v>#N/A</v>
      </c>
      <c r="AB30" s="1802" t="e">
        <f t="shared" si="4"/>
        <v>#N/A</v>
      </c>
      <c r="AC30" s="180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5"/>
      <c r="Q31" s="1786" t="str">
        <f t="shared" si="11"/>
        <v>是否封闭</v>
      </c>
      <c r="R31" s="770" t="s">
        <v>17</v>
      </c>
      <c r="S31" s="771">
        <f t="shared" si="12"/>
        <v>100</v>
      </c>
      <c r="T31" s="770" t="s">
        <v>17</v>
      </c>
      <c r="U31" s="771">
        <f t="shared" si="13"/>
        <v>100</v>
      </c>
      <c r="V31" s="770" t="s">
        <v>17</v>
      </c>
      <c r="W31" s="771">
        <f t="shared" si="14"/>
        <v>100</v>
      </c>
      <c r="X31" s="772"/>
      <c r="Y31" s="3235"/>
      <c r="Z31" s="55" t="str">
        <f t="shared" si="15"/>
        <v>是否封闭</v>
      </c>
      <c r="AA31" s="773">
        <f t="shared" si="3"/>
        <v>1</v>
      </c>
      <c r="AB31" s="773">
        <f t="shared" si="4"/>
        <v>1</v>
      </c>
      <c r="AC31" s="773">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5" t="s">
        <v>2564</v>
      </c>
      <c r="Q32" s="1801">
        <f t="shared" si="11"/>
        <v>111</v>
      </c>
      <c r="R32" s="774" t="s">
        <v>17</v>
      </c>
      <c r="S32" s="775">
        <f t="shared" si="12"/>
        <v>100</v>
      </c>
      <c r="T32" s="774" t="s">
        <v>17</v>
      </c>
      <c r="U32" s="775">
        <f t="shared" si="13"/>
        <v>100</v>
      </c>
      <c r="V32" s="774" t="s">
        <v>17</v>
      </c>
      <c r="W32" s="775">
        <f t="shared" si="14"/>
        <v>100</v>
      </c>
      <c r="X32" s="1804"/>
      <c r="Y32" s="3235" t="s">
        <v>2564</v>
      </c>
      <c r="Z32" s="1805">
        <f t="shared" si="15"/>
        <v>111</v>
      </c>
      <c r="AA32" s="1802">
        <f t="shared" si="3"/>
        <v>1</v>
      </c>
      <c r="AB32" s="1802">
        <f t="shared" si="4"/>
        <v>1</v>
      </c>
      <c r="AC32" s="1802">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5"/>
      <c r="Q33" s="1801">
        <f t="shared" si="11"/>
        <v>111</v>
      </c>
      <c r="R33" s="774" t="s">
        <v>17</v>
      </c>
      <c r="S33" s="775">
        <f t="shared" si="12"/>
        <v>100</v>
      </c>
      <c r="T33" s="774" t="s">
        <v>17</v>
      </c>
      <c r="U33" s="775">
        <f t="shared" si="13"/>
        <v>100</v>
      </c>
      <c r="V33" s="774" t="s">
        <v>17</v>
      </c>
      <c r="W33" s="775">
        <f t="shared" si="14"/>
        <v>100</v>
      </c>
      <c r="X33" s="1804"/>
      <c r="Y33" s="3235"/>
      <c r="Z33" s="1805">
        <f t="shared" si="15"/>
        <v>111</v>
      </c>
      <c r="AA33" s="1802">
        <f t="shared" si="3"/>
        <v>1</v>
      </c>
      <c r="AB33" s="1802">
        <f t="shared" si="4"/>
        <v>1</v>
      </c>
      <c r="AC33" s="1802">
        <f t="shared" si="5"/>
        <v>1</v>
      </c>
    </row>
    <row r="34" spans="1:29" ht="15.6"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40"/>
      <c r="M34" s="1131"/>
      <c r="N34" s="1131"/>
      <c r="O34" s="1139"/>
      <c r="P34" s="3235"/>
      <c r="Q34" s="1801">
        <f t="shared" si="11"/>
        <v>111</v>
      </c>
      <c r="R34" s="774" t="s">
        <v>17</v>
      </c>
      <c r="S34" s="775">
        <f t="shared" si="12"/>
        <v>100</v>
      </c>
      <c r="T34" s="774" t="s">
        <v>17</v>
      </c>
      <c r="U34" s="775">
        <f t="shared" si="13"/>
        <v>100</v>
      </c>
      <c r="V34" s="774" t="s">
        <v>17</v>
      </c>
      <c r="W34" s="775">
        <f t="shared" si="14"/>
        <v>100</v>
      </c>
      <c r="X34" s="1804"/>
      <c r="Y34" s="3235"/>
      <c r="Z34" s="1805">
        <f t="shared" si="15"/>
        <v>111</v>
      </c>
      <c r="AA34" s="1802">
        <f t="shared" si="3"/>
        <v>1</v>
      </c>
      <c r="AB34" s="1802">
        <f t="shared" si="4"/>
        <v>1</v>
      </c>
      <c r="AC34" s="1802">
        <f t="shared" si="5"/>
        <v>1</v>
      </c>
    </row>
    <row r="35" spans="1:29" ht="14.4">
      <c r="A35" s="479" t="s">
        <v>2576</v>
      </c>
      <c r="B35" s="480"/>
      <c r="C35" s="1407" t="s">
        <v>1</v>
      </c>
      <c r="D35" s="1408"/>
      <c r="E35" s="1409"/>
      <c r="F35" s="1410"/>
      <c r="G35" s="1411"/>
      <c r="H35" s="1412"/>
      <c r="I35" s="1409"/>
      <c r="J35" s="1412"/>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 thickBot="1">
      <c r="A37" s="492" t="s">
        <v>2669</v>
      </c>
      <c r="B37" s="493"/>
      <c r="C37" s="1417" t="e">
        <f>R37</f>
        <v>#DIV/0!</v>
      </c>
      <c r="D37" s="1417"/>
      <c r="E37" s="1417"/>
      <c r="F37" s="1417"/>
      <c r="G37" s="1417"/>
      <c r="H37" s="1417"/>
      <c r="I37" s="1417"/>
      <c r="J37" s="1417"/>
      <c r="K37" s="785"/>
      <c r="L37" s="1143"/>
      <c r="M37" s="1144"/>
      <c r="N37" s="1144"/>
      <c r="O37" s="1144"/>
      <c r="P37" s="3274" t="str">
        <f>A37</f>
        <v>估价对象XX用房的比较价值（楼面单价，元/平方米）</v>
      </c>
      <c r="Q37" s="3275"/>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2587</v>
      </c>
      <c r="B51" s="528" t="s">
        <v>2553</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70" t="s">
        <v>2647</v>
      </c>
      <c r="AC4" s="3277" t="s">
        <v>2648</v>
      </c>
    </row>
    <row r="5" spans="1:29">
      <c r="A5" s="404"/>
      <c r="B5" s="405"/>
      <c r="C5" s="3266" t="s">
        <v>2541</v>
      </c>
      <c r="D5" s="3261"/>
      <c r="E5" s="3284" t="s">
        <v>2542</v>
      </c>
      <c r="F5" s="3273"/>
      <c r="G5" s="3266" t="s">
        <v>2543</v>
      </c>
      <c r="H5" s="3261"/>
      <c r="I5" s="3266" t="s">
        <v>2544</v>
      </c>
      <c r="J5" s="3261"/>
      <c r="K5" s="610"/>
      <c r="L5" s="1130"/>
      <c r="M5" s="1131"/>
      <c r="N5" s="1131"/>
      <c r="O5" s="1131"/>
      <c r="P5" s="3280"/>
      <c r="Q5" s="3247"/>
      <c r="R5" s="3252"/>
      <c r="S5" s="3253"/>
      <c r="T5" s="3252"/>
      <c r="U5" s="3253"/>
      <c r="V5" s="3257"/>
      <c r="W5" s="3257"/>
      <c r="X5" s="1804"/>
      <c r="Y5" s="3252"/>
      <c r="Z5" s="3253"/>
      <c r="AA5" s="3270"/>
      <c r="AB5" s="3270"/>
      <c r="AC5" s="3270"/>
    </row>
    <row r="6" spans="1:29" ht="15" thickBot="1">
      <c r="A6" s="406"/>
      <c r="B6" s="407"/>
      <c r="C6" s="3337" t="s">
        <v>2795</v>
      </c>
      <c r="D6" s="3338"/>
      <c r="E6" s="3339" t="s">
        <v>2795</v>
      </c>
      <c r="F6" s="3340"/>
      <c r="G6" s="3337" t="s">
        <v>2795</v>
      </c>
      <c r="H6" s="3338"/>
      <c r="I6" s="3337" t="s">
        <v>2795</v>
      </c>
      <c r="J6" s="3338"/>
      <c r="K6" s="610" t="s">
        <v>2546</v>
      </c>
      <c r="L6" s="1130"/>
      <c r="M6" s="1131"/>
      <c r="N6" s="1131"/>
      <c r="O6" s="1131"/>
      <c r="P6" s="3281"/>
      <c r="Q6" s="3249"/>
      <c r="R6" s="3252"/>
      <c r="S6" s="3253"/>
      <c r="T6" s="3254"/>
      <c r="U6" s="3255"/>
      <c r="V6" s="3257"/>
      <c r="W6" s="3257"/>
      <c r="X6" s="1804"/>
      <c r="Y6" s="3254"/>
      <c r="Z6" s="3255"/>
      <c r="AA6" s="3271"/>
      <c r="AB6" s="3271"/>
      <c r="AC6" s="3271"/>
    </row>
    <row r="7" spans="1:29" s="117" customFormat="1" ht="15" thickBot="1">
      <c r="A7" s="408" t="s">
        <v>2547</v>
      </c>
      <c r="B7" s="409"/>
      <c r="C7" s="410">
        <f>'数据-取费表'!B2</f>
        <v>44012</v>
      </c>
      <c r="D7" s="411">
        <v>100</v>
      </c>
      <c r="E7" s="412"/>
      <c r="F7" s="413">
        <f>SUMIF(65:65,YEAR(E7)&amp;"-"&amp;INT((MONTH(E7)+2)/3),66:66)</f>
        <v>0</v>
      </c>
      <c r="G7" s="2687"/>
      <c r="H7" s="411">
        <f>SUMIF(65:65,YEAR(G7)&amp;"-"&amp;INT((MONTH(G7)+2)/3),66:66)</f>
        <v>0</v>
      </c>
      <c r="I7" s="2687"/>
      <c r="J7" s="411">
        <f>SUMIF(65:65,YEAR(I7)&amp;"-"&amp;INT((MONTH(I7)+2)/3),66:66)</f>
        <v>0</v>
      </c>
      <c r="K7" s="611"/>
      <c r="L7" s="1132"/>
      <c r="M7" s="1133"/>
      <c r="N7" s="1133"/>
      <c r="O7" s="1133"/>
      <c r="P7" s="3264" t="s">
        <v>2548</v>
      </c>
      <c r="Q7" s="3265"/>
      <c r="R7" s="770" t="s">
        <v>17</v>
      </c>
      <c r="S7" s="771">
        <f t="shared" ref="S7:S15" si="0">F7</f>
        <v>0</v>
      </c>
      <c r="T7" s="770" t="s">
        <v>17</v>
      </c>
      <c r="U7" s="771">
        <f t="shared" ref="U7:U15" si="1">H7</f>
        <v>0</v>
      </c>
      <c r="V7" s="770" t="s">
        <v>17</v>
      </c>
      <c r="W7" s="771">
        <f t="shared" ref="W7:W15" si="2">J7</f>
        <v>0</v>
      </c>
      <c r="X7" s="772"/>
      <c r="Y7" s="3264" t="s">
        <v>2548</v>
      </c>
      <c r="Z7" s="3263"/>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4" t="s">
        <v>2551</v>
      </c>
      <c r="Q8" s="3263"/>
      <c r="R8" s="770" t="s">
        <v>17</v>
      </c>
      <c r="S8" s="771">
        <f t="shared" si="0"/>
        <v>0</v>
      </c>
      <c r="T8" s="770" t="s">
        <v>17</v>
      </c>
      <c r="U8" s="771">
        <f t="shared" si="1"/>
        <v>0</v>
      </c>
      <c r="V8" s="770" t="s">
        <v>17</v>
      </c>
      <c r="W8" s="771">
        <f t="shared" si="2"/>
        <v>0</v>
      </c>
      <c r="X8" s="772"/>
      <c r="Y8" s="3264" t="s">
        <v>2551</v>
      </c>
      <c r="Z8" s="3263"/>
      <c r="AA8" s="773" t="e">
        <f t="shared" ref="AA8:AA40" si="3">D8/F8</f>
        <v>#DIV/0!</v>
      </c>
      <c r="AB8" s="773" t="e">
        <f t="shared" ref="AB8:AB40" si="4">D8/H8</f>
        <v>#DIV/0!</v>
      </c>
      <c r="AC8" s="773" t="e">
        <f t="shared" ref="AC8:AC40" si="5">D8/J8</f>
        <v>#DIV/0!</v>
      </c>
    </row>
    <row r="9" spans="1:29" s="117" customFormat="1" ht="14.4">
      <c r="A9" s="415" t="s">
        <v>2552</v>
      </c>
      <c r="B9" s="71" t="s">
        <v>2553</v>
      </c>
      <c r="C9" s="2690"/>
      <c r="D9" s="135">
        <v>100</v>
      </c>
      <c r="E9" s="2690"/>
      <c r="F9" s="135">
        <f>SUMIF(70:70,E9,71:71)-SUMIF(70:70,C9,71:71)+100</f>
        <v>100</v>
      </c>
      <c r="G9" s="2690"/>
      <c r="H9" s="135">
        <f>SUMIF(70:70,G9,71:71)-SUMIF(70:70,C9,71:71)+100</f>
        <v>100</v>
      </c>
      <c r="I9" s="2690"/>
      <c r="J9" s="135">
        <f>SUMIF(70:70,I9,71:71)-SUMIF(70:70,C9,71:71)+100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 ca="1">ROUND(100/'数据-取费表'!G16,0)</f>
        <v>102</v>
      </c>
      <c r="G10" s="432"/>
      <c r="H10" s="136">
        <f ca="1">ROUND(100/'数据-取费表'!G16,0)</f>
        <v>102</v>
      </c>
      <c r="I10" s="432"/>
      <c r="J10" s="136">
        <f ca="1">ROUND(100/'数据-取费表'!G16,0)</f>
        <v>102</v>
      </c>
      <c r="K10" s="672"/>
      <c r="L10" s="1135"/>
      <c r="M10" s="1136"/>
      <c r="N10" s="1136"/>
      <c r="O10" s="1137"/>
      <c r="P10" s="3223"/>
      <c r="Q10" s="1786" t="str">
        <f t="shared" si="6"/>
        <v>土地使用年限（年）</v>
      </c>
      <c r="R10" s="770" t="s">
        <v>17</v>
      </c>
      <c r="S10" s="771">
        <f t="shared" ca="1" si="0"/>
        <v>102</v>
      </c>
      <c r="T10" s="770" t="s">
        <v>17</v>
      </c>
      <c r="U10" s="771">
        <f t="shared" ca="1" si="1"/>
        <v>102</v>
      </c>
      <c r="V10" s="770" t="s">
        <v>17</v>
      </c>
      <c r="W10" s="771">
        <f t="shared" ca="1" si="2"/>
        <v>102</v>
      </c>
      <c r="X10" s="772"/>
      <c r="Y10" s="3070"/>
      <c r="Z10" s="55" t="str">
        <f t="shared" si="7"/>
        <v>土地使用年限（年）</v>
      </c>
      <c r="AA10" s="773">
        <f t="shared" ca="1" si="3"/>
        <v>0.98039215686274506</v>
      </c>
      <c r="AB10" s="773">
        <f t="shared" ca="1" si="4"/>
        <v>0.98039215686274506</v>
      </c>
      <c r="AC10" s="773">
        <f t="shared" ca="1"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86"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6"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69">
      <c r="A15" s="440" t="s">
        <v>2558</v>
      </c>
      <c r="B15" s="629" t="s">
        <v>2796</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0" t="s">
        <v>2559</v>
      </c>
      <c r="Q15" s="1801" t="str">
        <f t="shared" si="6"/>
        <v>产业集聚程度</v>
      </c>
      <c r="R15" s="774" t="s">
        <v>17</v>
      </c>
      <c r="S15" s="775">
        <f t="shared" si="0"/>
        <v>100</v>
      </c>
      <c r="T15" s="774" t="s">
        <v>17</v>
      </c>
      <c r="U15" s="775">
        <f t="shared" si="1"/>
        <v>100</v>
      </c>
      <c r="V15" s="774" t="s">
        <v>17</v>
      </c>
      <c r="W15" s="775">
        <f t="shared" si="2"/>
        <v>100</v>
      </c>
      <c r="X15" s="1804"/>
      <c r="Y15" s="3230" t="s">
        <v>2559</v>
      </c>
      <c r="Z15" s="1805" t="str">
        <f t="shared" si="7"/>
        <v>产业集聚程度</v>
      </c>
      <c r="AA15" s="1802">
        <f t="shared" si="3"/>
        <v>1</v>
      </c>
      <c r="AB15" s="1802">
        <f t="shared" si="4"/>
        <v>1</v>
      </c>
      <c r="AC15" s="1802">
        <f t="shared" si="5"/>
        <v>1</v>
      </c>
    </row>
    <row r="16" spans="1:29" ht="15">
      <c r="A16" s="428"/>
      <c r="B16" s="630"/>
      <c r="C16" s="447"/>
      <c r="D16" s="448"/>
      <c r="E16" s="2602"/>
      <c r="F16" s="448"/>
      <c r="G16" s="2602"/>
      <c r="H16" s="450"/>
      <c r="I16" s="2602"/>
      <c r="J16" s="448"/>
      <c r="K16" s="672"/>
      <c r="L16" s="1140"/>
      <c r="M16" s="1131"/>
      <c r="N16" s="1131"/>
      <c r="O16" s="1139"/>
      <c r="P16" s="3231"/>
      <c r="Q16" s="1801"/>
      <c r="R16" s="774"/>
      <c r="S16" s="775"/>
      <c r="T16" s="774"/>
      <c r="U16" s="775"/>
      <c r="V16" s="774"/>
      <c r="W16" s="775"/>
      <c r="X16" s="1804"/>
      <c r="Y16" s="3231"/>
      <c r="Z16" s="1805"/>
      <c r="AA16" s="1802">
        <v>1</v>
      </c>
      <c r="AB16" s="1802">
        <v>1</v>
      </c>
      <c r="AC16" s="1802">
        <v>1</v>
      </c>
    </row>
    <row r="17" spans="1:29" ht="96.6">
      <c r="A17" s="428"/>
      <c r="B17" s="631" t="s">
        <v>2708</v>
      </c>
      <c r="C17" s="259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1"/>
      <c r="Q17" s="1801" t="str">
        <f>B17</f>
        <v>交通便捷度</v>
      </c>
      <c r="R17" s="774" t="s">
        <v>17</v>
      </c>
      <c r="S17" s="775">
        <f>F17</f>
        <v>100</v>
      </c>
      <c r="T17" s="774" t="s">
        <v>17</v>
      </c>
      <c r="U17" s="775">
        <f>H17</f>
        <v>100</v>
      </c>
      <c r="V17" s="774" t="s">
        <v>17</v>
      </c>
      <c r="W17" s="775">
        <f>J17</f>
        <v>100</v>
      </c>
      <c r="X17" s="1804"/>
      <c r="Y17" s="3231"/>
      <c r="Z17" s="1805" t="str">
        <f>Q17</f>
        <v>交通便捷度</v>
      </c>
      <c r="AA17" s="1802">
        <f t="shared" si="3"/>
        <v>1</v>
      </c>
      <c r="AB17" s="1802">
        <f t="shared" si="4"/>
        <v>1</v>
      </c>
      <c r="AC17" s="1802">
        <f t="shared" si="5"/>
        <v>1</v>
      </c>
    </row>
    <row r="18" spans="1:29" ht="15">
      <c r="A18" s="428"/>
      <c r="B18" s="632"/>
      <c r="C18" s="447"/>
      <c r="D18" s="448"/>
      <c r="E18" s="2596"/>
      <c r="F18" s="448"/>
      <c r="G18" s="2596"/>
      <c r="H18" s="448"/>
      <c r="I18" s="2595"/>
      <c r="J18" s="448"/>
      <c r="K18" s="672"/>
      <c r="L18" s="1140"/>
      <c r="M18" s="1131"/>
      <c r="N18" s="1131"/>
      <c r="O18" s="1139"/>
      <c r="P18" s="3231"/>
      <c r="Q18" s="1801"/>
      <c r="R18" s="774"/>
      <c r="S18" s="775"/>
      <c r="T18" s="774"/>
      <c r="U18" s="775"/>
      <c r="V18" s="774"/>
      <c r="W18" s="775"/>
      <c r="X18" s="1804"/>
      <c r="Y18" s="3231"/>
      <c r="Z18" s="1805"/>
      <c r="AA18" s="1802">
        <v>1</v>
      </c>
      <c r="AB18" s="1802">
        <v>1</v>
      </c>
      <c r="AC18" s="1802">
        <v>1</v>
      </c>
    </row>
    <row r="19" spans="1:29" ht="28.8">
      <c r="A19" s="428"/>
      <c r="B19" s="631" t="s">
        <v>2746</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1"/>
      <c r="Q19" s="1801" t="str">
        <f t="shared" ref="Q19:Q33" si="8">B19</f>
        <v>区域土地利用方向</v>
      </c>
      <c r="R19" s="774" t="s">
        <v>17</v>
      </c>
      <c r="S19" s="775">
        <f>F19</f>
        <v>100</v>
      </c>
      <c r="T19" s="774" t="s">
        <v>17</v>
      </c>
      <c r="U19" s="775">
        <f>H19</f>
        <v>100</v>
      </c>
      <c r="V19" s="774" t="s">
        <v>17</v>
      </c>
      <c r="W19" s="775">
        <f>J19</f>
        <v>100</v>
      </c>
      <c r="X19" s="1804"/>
      <c r="Y19" s="3231"/>
      <c r="Z19" s="1805" t="str">
        <f>Q19</f>
        <v>区域土地利用方向</v>
      </c>
      <c r="AA19" s="1802">
        <f t="shared" si="3"/>
        <v>1</v>
      </c>
      <c r="AB19" s="1802">
        <f t="shared" si="4"/>
        <v>1</v>
      </c>
      <c r="AC19" s="1802">
        <f t="shared" si="5"/>
        <v>1</v>
      </c>
    </row>
    <row r="20" spans="1:29" ht="15">
      <c r="A20" s="404"/>
      <c r="B20" s="632"/>
      <c r="C20" s="447"/>
      <c r="D20" s="448"/>
      <c r="E20" s="2596"/>
      <c r="F20" s="448"/>
      <c r="G20" s="2596"/>
      <c r="H20" s="448"/>
      <c r="I20" s="2596"/>
      <c r="J20" s="448"/>
      <c r="K20" s="812"/>
      <c r="L20" s="1140"/>
      <c r="M20" s="1131"/>
      <c r="N20" s="1131"/>
      <c r="O20" s="1139"/>
      <c r="P20" s="3231"/>
      <c r="Q20" s="1801"/>
      <c r="R20" s="774"/>
      <c r="S20" s="775"/>
      <c r="T20" s="774"/>
      <c r="U20" s="775"/>
      <c r="V20" s="774"/>
      <c r="W20" s="775"/>
      <c r="X20" s="1804"/>
      <c r="Y20" s="3231"/>
      <c r="Z20" s="1805"/>
      <c r="AA20" s="1802"/>
      <c r="AB20" s="1802"/>
      <c r="AC20" s="1802"/>
    </row>
    <row r="21" spans="1:29" ht="82.8">
      <c r="A21" s="404"/>
      <c r="B21" s="631" t="s">
        <v>2797</v>
      </c>
      <c r="C21" s="259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1"/>
      <c r="Q21" s="1801" t="str">
        <f t="shared" si="8"/>
        <v>环境状况</v>
      </c>
      <c r="R21" s="774" t="s">
        <v>17</v>
      </c>
      <c r="S21" s="775">
        <f>F21</f>
        <v>100</v>
      </c>
      <c r="T21" s="774" t="s">
        <v>17</v>
      </c>
      <c r="U21" s="775">
        <f>H21</f>
        <v>100</v>
      </c>
      <c r="V21" s="774" t="s">
        <v>17</v>
      </c>
      <c r="W21" s="775">
        <f>J21</f>
        <v>100</v>
      </c>
      <c r="X21" s="1804"/>
      <c r="Y21" s="3231"/>
      <c r="Z21" s="1805" t="str">
        <f>Q21</f>
        <v>环境状况</v>
      </c>
      <c r="AA21" s="1802">
        <f t="shared" si="3"/>
        <v>1</v>
      </c>
      <c r="AB21" s="1802">
        <f t="shared" si="4"/>
        <v>1</v>
      </c>
      <c r="AC21" s="1802">
        <f t="shared" si="5"/>
        <v>1</v>
      </c>
    </row>
    <row r="22" spans="1:29" ht="15">
      <c r="A22" s="404"/>
      <c r="B22" s="632"/>
      <c r="C22" s="447"/>
      <c r="D22" s="448"/>
      <c r="E22" s="2602"/>
      <c r="F22" s="448"/>
      <c r="G22" s="2602"/>
      <c r="H22" s="448"/>
      <c r="I22" s="447"/>
      <c r="J22" s="448"/>
      <c r="K22" s="672"/>
      <c r="L22" s="1140"/>
      <c r="M22" s="1131"/>
      <c r="N22" s="1131"/>
      <c r="O22" s="1139"/>
      <c r="P22" s="3231"/>
      <c r="Q22" s="1801"/>
      <c r="R22" s="774"/>
      <c r="S22" s="775"/>
      <c r="T22" s="774"/>
      <c r="U22" s="775"/>
      <c r="V22" s="774"/>
      <c r="W22" s="775"/>
      <c r="X22" s="1804"/>
      <c r="Y22" s="3231"/>
      <c r="Z22" s="1805"/>
      <c r="AA22" s="1802">
        <v>1</v>
      </c>
      <c r="AB22" s="1802">
        <v>1</v>
      </c>
      <c r="AC22" s="1802">
        <v>1</v>
      </c>
    </row>
    <row r="23" spans="1:29" s="117" customFormat="1" ht="41.4">
      <c r="A23" s="649"/>
      <c r="B23" s="633" t="s">
        <v>2653</v>
      </c>
      <c r="C23" s="259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1"/>
      <c r="Q23" s="1786" t="str">
        <f t="shared" si="8"/>
        <v>公共配套设施</v>
      </c>
      <c r="R23" s="770" t="s">
        <v>17</v>
      </c>
      <c r="S23" s="771">
        <f>F23</f>
        <v>100</v>
      </c>
      <c r="T23" s="770" t="s">
        <v>17</v>
      </c>
      <c r="U23" s="771">
        <f>H23</f>
        <v>100</v>
      </c>
      <c r="V23" s="770" t="s">
        <v>17</v>
      </c>
      <c r="W23" s="771">
        <f>J23</f>
        <v>100</v>
      </c>
      <c r="X23" s="772"/>
      <c r="Y23" s="3231"/>
      <c r="Z23" s="55" t="str">
        <f>Q23</f>
        <v>公共配套设施</v>
      </c>
      <c r="AA23" s="1802">
        <f>D23/F23</f>
        <v>1</v>
      </c>
      <c r="AB23" s="1802">
        <f>D23/H23</f>
        <v>1</v>
      </c>
      <c r="AC23" s="1802">
        <f>D23/J23</f>
        <v>1</v>
      </c>
    </row>
    <row r="24" spans="1:29" s="117" customFormat="1" ht="15">
      <c r="A24" s="649"/>
      <c r="B24" s="632"/>
      <c r="C24" s="2691"/>
      <c r="D24" s="448"/>
      <c r="E24" s="2602"/>
      <c r="F24" s="448"/>
      <c r="G24" s="2602"/>
      <c r="H24" s="448"/>
      <c r="I24" s="447"/>
      <c r="J24" s="448"/>
      <c r="K24" s="672"/>
      <c r="L24" s="1132"/>
      <c r="M24" s="1133"/>
      <c r="N24" s="1133"/>
      <c r="O24" s="1134"/>
      <c r="P24" s="3231"/>
      <c r="Q24" s="1786"/>
      <c r="R24" s="770"/>
      <c r="S24" s="771"/>
      <c r="T24" s="770"/>
      <c r="U24" s="771"/>
      <c r="V24" s="770"/>
      <c r="W24" s="771"/>
      <c r="X24" s="772"/>
      <c r="Y24" s="3231"/>
      <c r="Z24" s="55"/>
      <c r="AA24" s="773">
        <v>1</v>
      </c>
      <c r="AB24" s="773">
        <v>1</v>
      </c>
      <c r="AC24" s="773">
        <v>1</v>
      </c>
    </row>
    <row r="25" spans="1:29" s="117" customFormat="1" ht="41.4">
      <c r="A25" s="649"/>
      <c r="B25" s="633" t="s">
        <v>2654</v>
      </c>
      <c r="C25" s="259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1"/>
      <c r="Q25" s="1786" t="str">
        <f t="shared" ref="Q25" si="9">B25</f>
        <v>基础设施水平</v>
      </c>
      <c r="R25" s="770" t="s">
        <v>17</v>
      </c>
      <c r="S25" s="771">
        <f>F25</f>
        <v>100</v>
      </c>
      <c r="T25" s="770" t="s">
        <v>17</v>
      </c>
      <c r="U25" s="771">
        <f>H25</f>
        <v>100</v>
      </c>
      <c r="V25" s="770" t="s">
        <v>17</v>
      </c>
      <c r="W25" s="771">
        <f>J25</f>
        <v>100</v>
      </c>
      <c r="X25" s="772"/>
      <c r="Y25" s="3231"/>
      <c r="Z25" s="55" t="str">
        <f>Q25</f>
        <v>基础设施水平</v>
      </c>
      <c r="AA25" s="1802">
        <f>D25/F25</f>
        <v>1</v>
      </c>
      <c r="AB25" s="1802">
        <f>D25/H25</f>
        <v>1</v>
      </c>
      <c r="AC25" s="1802">
        <f>D25/J25</f>
        <v>1</v>
      </c>
    </row>
    <row r="26" spans="1:29" s="117" customFormat="1" ht="15">
      <c r="A26" s="649"/>
      <c r="B26" s="632"/>
      <c r="C26" s="2691"/>
      <c r="D26" s="448"/>
      <c r="E26" s="2692"/>
      <c r="F26" s="448"/>
      <c r="G26" s="2692"/>
      <c r="H26" s="448"/>
      <c r="I26" s="2692"/>
      <c r="J26" s="448"/>
      <c r="K26" s="672"/>
      <c r="L26" s="1132"/>
      <c r="M26" s="1133"/>
      <c r="N26" s="1133"/>
      <c r="O26" s="1134"/>
      <c r="P26" s="3231"/>
      <c r="Q26" s="1786"/>
      <c r="R26" s="770"/>
      <c r="S26" s="771"/>
      <c r="T26" s="770"/>
      <c r="U26" s="771"/>
      <c r="V26" s="770"/>
      <c r="W26" s="771"/>
      <c r="X26" s="772"/>
      <c r="Y26" s="323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1"/>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1"/>
      <c r="Z27" s="1805" t="str">
        <f t="shared" ref="Z27:Z40" si="13">Q27</f>
        <v>临街状况</v>
      </c>
      <c r="AA27" s="1802">
        <f t="shared" si="3"/>
        <v>1</v>
      </c>
      <c r="AB27" s="1802">
        <f t="shared" si="4"/>
        <v>1</v>
      </c>
      <c r="AC27" s="1802">
        <f t="shared" si="5"/>
        <v>1</v>
      </c>
    </row>
    <row r="28" spans="1:29" ht="28.8">
      <c r="A28" s="428"/>
      <c r="B28" s="633" t="s">
        <v>2690</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1"/>
      <c r="Q28" s="1801" t="str">
        <f t="shared" si="8"/>
        <v>毗邻道路的类型与等级</v>
      </c>
      <c r="R28" s="774" t="s">
        <v>17</v>
      </c>
      <c r="S28" s="775">
        <f t="shared" si="10"/>
        <v>100</v>
      </c>
      <c r="T28" s="774" t="s">
        <v>17</v>
      </c>
      <c r="U28" s="775">
        <f t="shared" si="11"/>
        <v>100</v>
      </c>
      <c r="V28" s="774" t="s">
        <v>17</v>
      </c>
      <c r="W28" s="775">
        <f t="shared" si="12"/>
        <v>100</v>
      </c>
      <c r="X28" s="1804"/>
      <c r="Y28" s="3231"/>
      <c r="Z28" s="1805" t="str">
        <f t="shared" si="13"/>
        <v>毗邻道路的类型与等级</v>
      </c>
      <c r="AA28" s="1802">
        <f t="shared" si="3"/>
        <v>1</v>
      </c>
      <c r="AB28" s="1802">
        <f t="shared" si="4"/>
        <v>1</v>
      </c>
      <c r="AC28" s="1802">
        <f t="shared" si="5"/>
        <v>1</v>
      </c>
    </row>
    <row r="29" spans="1:29" ht="15">
      <c r="A29" s="428"/>
      <c r="B29" s="632"/>
      <c r="C29" s="447"/>
      <c r="D29" s="448"/>
      <c r="E29" s="2602"/>
      <c r="F29" s="448"/>
      <c r="G29" s="2602"/>
      <c r="H29" s="448"/>
      <c r="I29" s="2602"/>
      <c r="J29" s="448"/>
      <c r="K29" s="613"/>
      <c r="L29" s="1140"/>
      <c r="M29" s="1131"/>
      <c r="N29" s="1131"/>
      <c r="O29" s="1139"/>
      <c r="P29" s="3231"/>
      <c r="Q29" s="1801"/>
      <c r="R29" s="774"/>
      <c r="S29" s="775"/>
      <c r="T29" s="774"/>
      <c r="U29" s="775"/>
      <c r="V29" s="774"/>
      <c r="W29" s="775"/>
      <c r="X29" s="1804"/>
      <c r="Y29" s="3231"/>
      <c r="Z29" s="1805"/>
      <c r="AA29" s="1802">
        <v>1</v>
      </c>
      <c r="AB29" s="1802">
        <v>1</v>
      </c>
      <c r="AC29" s="1802">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1"/>
      <c r="Q30" s="1801" t="str">
        <f t="shared" si="8"/>
        <v>土地级别</v>
      </c>
      <c r="R30" s="774" t="s">
        <v>17</v>
      </c>
      <c r="S30" s="775">
        <f t="shared" si="10"/>
        <v>100</v>
      </c>
      <c r="T30" s="774" t="s">
        <v>17</v>
      </c>
      <c r="U30" s="775">
        <f t="shared" si="11"/>
        <v>100</v>
      </c>
      <c r="V30" s="774" t="s">
        <v>17</v>
      </c>
      <c r="W30" s="775">
        <f t="shared" si="12"/>
        <v>100</v>
      </c>
      <c r="X30" s="1804"/>
      <c r="Y30" s="3231"/>
      <c r="Z30" s="1805" t="str">
        <f t="shared" si="13"/>
        <v>土地级别</v>
      </c>
      <c r="AA30" s="1802">
        <f t="shared" si="3"/>
        <v>1</v>
      </c>
      <c r="AB30" s="1802">
        <f t="shared" si="4"/>
        <v>1</v>
      </c>
      <c r="AC30" s="1802">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01">
        <f t="shared" si="8"/>
        <v>111</v>
      </c>
      <c r="R31" s="774" t="s">
        <v>17</v>
      </c>
      <c r="S31" s="775">
        <f t="shared" si="10"/>
        <v>100</v>
      </c>
      <c r="T31" s="774" t="s">
        <v>17</v>
      </c>
      <c r="U31" s="775">
        <f t="shared" si="11"/>
        <v>100</v>
      </c>
      <c r="V31" s="774" t="s">
        <v>17</v>
      </c>
      <c r="W31" s="775">
        <f t="shared" si="12"/>
        <v>100</v>
      </c>
      <c r="X31" s="1804"/>
      <c r="Y31" s="3231"/>
      <c r="Z31" s="1805">
        <f t="shared" si="13"/>
        <v>111</v>
      </c>
      <c r="AA31" s="1802">
        <f t="shared" si="3"/>
        <v>1</v>
      </c>
      <c r="AB31" s="1802">
        <f t="shared" si="4"/>
        <v>1</v>
      </c>
      <c r="AC31" s="1802">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34" t="s">
        <v>2564</v>
      </c>
      <c r="Q32" s="1801">
        <f t="shared" si="8"/>
        <v>111</v>
      </c>
      <c r="R32" s="774" t="s">
        <v>17</v>
      </c>
      <c r="S32" s="775">
        <f t="shared" si="10"/>
        <v>100</v>
      </c>
      <c r="T32" s="774" t="s">
        <v>17</v>
      </c>
      <c r="U32" s="775">
        <f t="shared" si="11"/>
        <v>100</v>
      </c>
      <c r="V32" s="774" t="s">
        <v>17</v>
      </c>
      <c r="W32" s="775">
        <f t="shared" si="12"/>
        <v>100</v>
      </c>
      <c r="X32" s="1804"/>
      <c r="Y32" s="3235" t="s">
        <v>2564</v>
      </c>
      <c r="Z32" s="1805">
        <f t="shared" si="13"/>
        <v>111</v>
      </c>
      <c r="AA32" s="1802">
        <f t="shared" si="3"/>
        <v>1</v>
      </c>
      <c r="AB32" s="1802">
        <f t="shared" si="4"/>
        <v>1</v>
      </c>
      <c r="AC32" s="1802">
        <f t="shared" si="5"/>
        <v>1</v>
      </c>
    </row>
    <row r="33" spans="1:29" s="471" customFormat="1" ht="15.6"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5"/>
      <c r="Q33" s="1801">
        <f t="shared" si="8"/>
        <v>111</v>
      </c>
      <c r="R33" s="777" t="s">
        <v>17</v>
      </c>
      <c r="S33" s="778">
        <f t="shared" si="10"/>
        <v>100</v>
      </c>
      <c r="T33" s="777" t="s">
        <v>17</v>
      </c>
      <c r="U33" s="778">
        <f t="shared" si="11"/>
        <v>100</v>
      </c>
      <c r="V33" s="777" t="s">
        <v>17</v>
      </c>
      <c r="W33" s="778">
        <f t="shared" si="12"/>
        <v>100</v>
      </c>
      <c r="X33" s="779"/>
      <c r="Y33" s="3235"/>
      <c r="Z33" s="780">
        <f t="shared" si="13"/>
        <v>111</v>
      </c>
      <c r="AA33" s="1802">
        <f t="shared" si="3"/>
        <v>1</v>
      </c>
      <c r="AB33" s="1802">
        <f t="shared" si="4"/>
        <v>1</v>
      </c>
      <c r="AC33" s="1802">
        <f t="shared" si="5"/>
        <v>1</v>
      </c>
    </row>
    <row r="34" spans="1:29" ht="15">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5"/>
      <c r="Q34" s="1801" t="str">
        <f>B34</f>
        <v>宗地面积</v>
      </c>
      <c r="R34" s="774" t="s">
        <v>17</v>
      </c>
      <c r="S34" s="775" t="e">
        <f t="shared" si="10"/>
        <v>#N/A</v>
      </c>
      <c r="T34" s="774" t="s">
        <v>17</v>
      </c>
      <c r="U34" s="775" t="e">
        <f t="shared" si="11"/>
        <v>#N/A</v>
      </c>
      <c r="V34" s="774" t="s">
        <v>17</v>
      </c>
      <c r="W34" s="775" t="e">
        <f t="shared" si="12"/>
        <v>#N/A</v>
      </c>
      <c r="X34" s="1804"/>
      <c r="Y34" s="3235"/>
      <c r="Z34" s="1805" t="str">
        <f t="shared" si="13"/>
        <v>宗地面积</v>
      </c>
      <c r="AA34" s="1802" t="e">
        <f t="shared" si="3"/>
        <v>#N/A</v>
      </c>
      <c r="AB34" s="1802" t="e">
        <f t="shared" si="4"/>
        <v>#N/A</v>
      </c>
      <c r="AC34" s="1802" t="e">
        <f t="shared" si="5"/>
        <v>#N/A</v>
      </c>
    </row>
    <row r="35" spans="1:29" ht="15">
      <c r="A35" s="472"/>
      <c r="B35" s="422" t="s">
        <v>2750</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40"/>
      <c r="M35" s="1131"/>
      <c r="N35" s="1131"/>
      <c r="O35" s="1139"/>
      <c r="P35" s="3235"/>
      <c r="Q35" s="1801" t="str">
        <f t="shared" ref="Q35:Q40" si="14">B35</f>
        <v>宗地形状</v>
      </c>
      <c r="R35" s="774" t="s">
        <v>17</v>
      </c>
      <c r="S35" s="775">
        <f t="shared" si="10"/>
        <v>100</v>
      </c>
      <c r="T35" s="774" t="s">
        <v>17</v>
      </c>
      <c r="U35" s="775">
        <f t="shared" si="11"/>
        <v>100</v>
      </c>
      <c r="V35" s="774" t="s">
        <v>17</v>
      </c>
      <c r="W35" s="775">
        <f t="shared" si="12"/>
        <v>100</v>
      </c>
      <c r="X35" s="1804"/>
      <c r="Y35" s="3235"/>
      <c r="Z35" s="1805" t="str">
        <f t="shared" si="13"/>
        <v>宗地形状</v>
      </c>
      <c r="AA35" s="1802">
        <f t="shared" si="3"/>
        <v>1</v>
      </c>
      <c r="AB35" s="1802">
        <f t="shared" si="4"/>
        <v>1</v>
      </c>
      <c r="AC35" s="1802">
        <f t="shared" si="5"/>
        <v>1</v>
      </c>
    </row>
    <row r="36" spans="1:29" s="117" customFormat="1" ht="15">
      <c r="A36" s="473"/>
      <c r="B36" s="422" t="s">
        <v>2752</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32"/>
      <c r="M36" s="1133"/>
      <c r="N36" s="1133"/>
      <c r="O36" s="1134"/>
      <c r="P36" s="3235"/>
      <c r="Q36" s="1801" t="str">
        <f t="shared" si="14"/>
        <v>宗地开发程度</v>
      </c>
      <c r="R36" s="770" t="s">
        <v>17</v>
      </c>
      <c r="S36" s="771">
        <f t="shared" si="10"/>
        <v>100</v>
      </c>
      <c r="T36" s="770" t="s">
        <v>17</v>
      </c>
      <c r="U36" s="771">
        <f t="shared" si="11"/>
        <v>100</v>
      </c>
      <c r="V36" s="770" t="s">
        <v>17</v>
      </c>
      <c r="W36" s="771">
        <f t="shared" si="12"/>
        <v>100</v>
      </c>
      <c r="X36" s="772"/>
      <c r="Y36" s="3235"/>
      <c r="Z36" s="55" t="str">
        <f t="shared" si="13"/>
        <v>宗地开发程度</v>
      </c>
      <c r="AA36" s="773">
        <f t="shared" si="3"/>
        <v>1</v>
      </c>
      <c r="AB36" s="773">
        <f t="shared" si="4"/>
        <v>1</v>
      </c>
      <c r="AC36" s="773">
        <f t="shared" si="5"/>
        <v>1</v>
      </c>
    </row>
    <row r="37" spans="1:29" ht="15">
      <c r="A37" s="472"/>
      <c r="B37" s="422" t="s">
        <v>2753</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40"/>
      <c r="M37" s="1131"/>
      <c r="N37" s="1131"/>
      <c r="O37" s="1139"/>
      <c r="P37" s="3235" t="s">
        <v>2564</v>
      </c>
      <c r="Q37" s="1801" t="str">
        <f t="shared" si="14"/>
        <v>工程地质条件</v>
      </c>
      <c r="R37" s="774" t="s">
        <v>17</v>
      </c>
      <c r="S37" s="775">
        <f t="shared" si="10"/>
        <v>100</v>
      </c>
      <c r="T37" s="774" t="s">
        <v>17</v>
      </c>
      <c r="U37" s="775">
        <f t="shared" si="11"/>
        <v>100</v>
      </c>
      <c r="V37" s="774" t="s">
        <v>17</v>
      </c>
      <c r="W37" s="775">
        <f t="shared" si="12"/>
        <v>100</v>
      </c>
      <c r="X37" s="1804"/>
      <c r="Y37" s="3235" t="s">
        <v>2564</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5"/>
      <c r="Q38" s="1801">
        <f t="shared" si="14"/>
        <v>111</v>
      </c>
      <c r="R38" s="774" t="s">
        <v>17</v>
      </c>
      <c r="S38" s="775">
        <f t="shared" si="10"/>
        <v>100</v>
      </c>
      <c r="T38" s="774" t="s">
        <v>17</v>
      </c>
      <c r="U38" s="775">
        <f t="shared" si="11"/>
        <v>100</v>
      </c>
      <c r="V38" s="774" t="s">
        <v>17</v>
      </c>
      <c r="W38" s="775">
        <f t="shared" si="12"/>
        <v>100</v>
      </c>
      <c r="X38" s="1804"/>
      <c r="Y38" s="3235"/>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5"/>
      <c r="Q39" s="1801">
        <f t="shared" si="14"/>
        <v>111</v>
      </c>
      <c r="R39" s="774" t="s">
        <v>17</v>
      </c>
      <c r="S39" s="775">
        <f t="shared" si="10"/>
        <v>100</v>
      </c>
      <c r="T39" s="774" t="s">
        <v>17</v>
      </c>
      <c r="U39" s="775">
        <f t="shared" si="11"/>
        <v>100</v>
      </c>
      <c r="V39" s="774" t="s">
        <v>17</v>
      </c>
      <c r="W39" s="775">
        <f t="shared" si="12"/>
        <v>100</v>
      </c>
      <c r="X39" s="1804"/>
      <c r="Y39" s="3235"/>
      <c r="Z39" s="1805">
        <f t="shared" si="13"/>
        <v>111</v>
      </c>
      <c r="AA39" s="1802">
        <f t="shared" si="3"/>
        <v>1</v>
      </c>
      <c r="AB39" s="1802">
        <f t="shared" si="4"/>
        <v>1</v>
      </c>
      <c r="AC39" s="1802">
        <f t="shared" si="5"/>
        <v>1</v>
      </c>
    </row>
    <row r="40" spans="1:29" s="471" customFormat="1" ht="15.6" thickBot="1">
      <c r="A40" s="468"/>
      <c r="B40" s="1387">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5"/>
      <c r="Q40" s="1801">
        <f t="shared" si="14"/>
        <v>111</v>
      </c>
      <c r="R40" s="777" t="s">
        <v>17</v>
      </c>
      <c r="S40" s="778">
        <f t="shared" si="10"/>
        <v>100</v>
      </c>
      <c r="T40" s="777" t="s">
        <v>17</v>
      </c>
      <c r="U40" s="778">
        <f t="shared" si="11"/>
        <v>100</v>
      </c>
      <c r="V40" s="777" t="s">
        <v>17</v>
      </c>
      <c r="W40" s="778">
        <f t="shared" si="12"/>
        <v>100</v>
      </c>
      <c r="X40" s="779"/>
      <c r="Y40" s="3235"/>
      <c r="Z40" s="780">
        <f t="shared" si="13"/>
        <v>111</v>
      </c>
      <c r="AA40" s="1802">
        <f t="shared" si="3"/>
        <v>1</v>
      </c>
      <c r="AB40" s="1802">
        <f t="shared" si="4"/>
        <v>1</v>
      </c>
      <c r="AC40" s="1802">
        <f t="shared" si="5"/>
        <v>1</v>
      </c>
    </row>
    <row r="41" spans="1:29" ht="14.4">
      <c r="A41" s="479" t="s">
        <v>2719</v>
      </c>
      <c r="B41" s="2695" t="s">
        <v>2798</v>
      </c>
      <c r="C41" s="682" t="s">
        <v>1</v>
      </c>
      <c r="D41" s="481"/>
      <c r="E41" s="482"/>
      <c r="F41" s="483"/>
      <c r="G41" s="484"/>
      <c r="H41" s="485"/>
      <c r="I41" s="482"/>
      <c r="J41" s="485"/>
      <c r="K41" s="783"/>
      <c r="L41" s="1143"/>
      <c r="M41" s="1131"/>
      <c r="N41" s="1131"/>
      <c r="O41" s="1144"/>
      <c r="P41" s="3223" t="str">
        <f>A41</f>
        <v>成交单价</v>
      </c>
      <c r="Q41" s="3223"/>
      <c r="R41" s="3257">
        <f>E41</f>
        <v>0</v>
      </c>
      <c r="S41" s="3257"/>
      <c r="T41" s="3257">
        <f>G41</f>
        <v>0</v>
      </c>
      <c r="U41" s="3257"/>
      <c r="V41" s="3257">
        <f>I41</f>
        <v>0</v>
      </c>
      <c r="W41" s="3257"/>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342" t="e">
        <f>ROUND(PRODUCT(R41,AA7:AA40),0)</f>
        <v>#DIV/0!</v>
      </c>
      <c r="S42" s="3342"/>
      <c r="T42" s="3342" t="e">
        <f>ROUND(PRODUCT(T41,AB7:AB40),0)</f>
        <v>#DIV/0!</v>
      </c>
      <c r="U42" s="3342"/>
      <c r="V42" s="3342" t="e">
        <f>ROUND(PRODUCT(V41,AC7:AC40),0)</f>
        <v>#DIV/0!</v>
      </c>
      <c r="W42" s="3342"/>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3"/>
      <c r="M43" s="1131"/>
      <c r="N43" s="1131"/>
      <c r="O43" s="1144"/>
      <c r="P43" s="3274" t="str">
        <f>A43</f>
        <v>估价对象XX用房的比较价值（楼面单价，元/平方米）</v>
      </c>
      <c r="Q43" s="3275"/>
      <c r="R43" s="3341" t="e">
        <f>ROUND(AVERAGE(R42:V42),0)</f>
        <v>#DIV/0!</v>
      </c>
      <c r="S43" s="3341"/>
      <c r="T43" s="3341"/>
      <c r="U43" s="3341"/>
      <c r="V43" s="3341"/>
      <c r="W43" s="334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696" t="s">
        <v>2758</v>
      </c>
      <c r="D50" s="2697" t="s">
        <v>2759</v>
      </c>
      <c r="E50" s="686" t="s">
        <v>2760</v>
      </c>
      <c r="F50" s="687" t="s">
        <v>2761</v>
      </c>
      <c r="G50" s="3240" t="s">
        <v>2762</v>
      </c>
      <c r="H50" s="3335"/>
      <c r="I50" s="1805" t="s">
        <v>2799</v>
      </c>
      <c r="J50" s="1805">
        <f>项目基本情况!F35</f>
        <v>0</v>
      </c>
      <c r="K50" s="2699" t="s">
        <v>2764</v>
      </c>
      <c r="L50" s="1106"/>
      <c r="M50" s="1144"/>
      <c r="N50" s="1144"/>
      <c r="O50" s="1144"/>
    </row>
    <row r="51" spans="1:17" s="692" customFormat="1">
      <c r="A51" s="688" t="s">
        <v>2765</v>
      </c>
      <c r="B51" s="689" t="e">
        <f>C43</f>
        <v>#DIV/0!</v>
      </c>
      <c r="C51" s="690">
        <v>1</v>
      </c>
      <c r="D51" s="1163">
        <v>1</v>
      </c>
      <c r="E51" s="690">
        <f>'数据-汇总表'!E8+'数据-汇总表'!E9</f>
        <v>49801.36</v>
      </c>
      <c r="F51" s="691" t="e">
        <f t="shared" ref="F51:F60" si="15">ROUND(B51*E51/10000,0)</f>
        <v>#DIV/0!</v>
      </c>
      <c r="G51" s="3222"/>
      <c r="H51" s="3223"/>
      <c r="I51" s="942">
        <v>1</v>
      </c>
      <c r="J51" s="942">
        <v>1</v>
      </c>
      <c r="K51" s="1145"/>
      <c r="L51" s="941"/>
      <c r="M51" s="941"/>
      <c r="N51" s="941"/>
      <c r="O51" s="941"/>
    </row>
    <row r="52" spans="1:17" s="692" customFormat="1">
      <c r="A52" s="693" t="s">
        <v>2766</v>
      </c>
      <c r="B52" s="262" t="e">
        <f>ROUND($C$43*C52*D52,0)</f>
        <v>#DIV/0!</v>
      </c>
      <c r="C52" s="200">
        <f t="shared" ref="C52:C60" si="16">IF($C$50="北京市系数",I52,J52)</f>
        <v>0.6</v>
      </c>
      <c r="D52" s="1164">
        <v>0.25</v>
      </c>
      <c r="E52" s="694"/>
      <c r="F52" s="691" t="e">
        <f t="shared" si="15"/>
        <v>#DIV/0!</v>
      </c>
      <c r="G52" s="3336" t="s">
        <v>2767</v>
      </c>
      <c r="H52" s="1104" t="str">
        <f>项目基本情况!B37</f>
        <v>九级</v>
      </c>
      <c r="I52" s="942">
        <f>SUMIF(修正!A45:A56,H52,修正!B45:B56)</f>
        <v>0.6</v>
      </c>
      <c r="J52" s="943"/>
      <c r="K52" s="1144"/>
      <c r="L52" s="941"/>
      <c r="M52" s="941"/>
      <c r="N52" s="941"/>
      <c r="O52" s="941"/>
    </row>
    <row r="53" spans="1:17" s="692" customFormat="1">
      <c r="A53" s="693" t="s">
        <v>2768</v>
      </c>
      <c r="B53" s="262" t="e">
        <f t="shared" ref="B53:B60" si="17">ROUND($C$43*C53*D53,0)</f>
        <v>#DIV/0!</v>
      </c>
      <c r="C53" s="200">
        <f t="shared" si="16"/>
        <v>0.3</v>
      </c>
      <c r="D53" s="1164">
        <v>0.25</v>
      </c>
      <c r="E53" s="694"/>
      <c r="F53" s="691" t="e">
        <f t="shared" si="15"/>
        <v>#DIV/0!</v>
      </c>
      <c r="G53" s="3336"/>
      <c r="H53" s="1104" t="str">
        <f>项目基本情况!B37</f>
        <v>九级</v>
      </c>
      <c r="I53" s="942">
        <f>SUMIF(修正!A45:A56,H53,修正!C45:C56)</f>
        <v>0.3</v>
      </c>
      <c r="J53" s="943"/>
      <c r="K53" s="1145"/>
      <c r="L53" s="941"/>
      <c r="M53" s="941"/>
      <c r="N53" s="941"/>
      <c r="O53" s="941"/>
    </row>
    <row r="54" spans="1:17" s="692" customFormat="1">
      <c r="A54" s="693" t="s">
        <v>2769</v>
      </c>
      <c r="B54" s="262" t="e">
        <f t="shared" si="17"/>
        <v>#DIV/0!</v>
      </c>
      <c r="C54" s="200">
        <f t="shared" si="16"/>
        <v>0.2</v>
      </c>
      <c r="D54" s="1164">
        <v>0.25</v>
      </c>
      <c r="E54" s="694"/>
      <c r="F54" s="691" t="e">
        <f t="shared" si="15"/>
        <v>#DIV/0!</v>
      </c>
      <c r="G54" s="3336"/>
      <c r="H54" s="1104" t="str">
        <f>项目基本情况!B37</f>
        <v>九级</v>
      </c>
      <c r="I54" s="942">
        <f>SUMIF(修正!A45:A56,H54,修正!D45:D56)</f>
        <v>0.2</v>
      </c>
      <c r="J54" s="943"/>
      <c r="K54" s="1144"/>
      <c r="L54" s="941"/>
      <c r="M54" s="941"/>
      <c r="N54" s="941"/>
      <c r="O54" s="941"/>
    </row>
    <row r="55" spans="1:17" s="692" customFormat="1">
      <c r="A55" s="693" t="s">
        <v>2770</v>
      </c>
      <c r="B55" s="262" t="e">
        <f t="shared" si="17"/>
        <v>#DIV/0!</v>
      </c>
      <c r="C55" s="200">
        <f t="shared" si="16"/>
        <v>0.2</v>
      </c>
      <c r="D55" s="1164">
        <v>0.25</v>
      </c>
      <c r="E55" s="694"/>
      <c r="F55" s="691" t="e">
        <f t="shared" si="15"/>
        <v>#DIV/0!</v>
      </c>
      <c r="G55" s="3336"/>
      <c r="H55" s="1104" t="str">
        <f>项目基本情况!B37</f>
        <v>九级</v>
      </c>
      <c r="I55" s="942">
        <f>SUMIF(修正!A45:A56,H55,修正!E45:E56)</f>
        <v>0.2</v>
      </c>
      <c r="J55" s="943"/>
      <c r="K55" s="1145"/>
      <c r="L55" s="941"/>
      <c r="M55" s="941"/>
      <c r="N55" s="941"/>
      <c r="O55" s="941"/>
    </row>
    <row r="56" spans="1:17" s="692" customFormat="1">
      <c r="A56" s="693" t="s">
        <v>2771</v>
      </c>
      <c r="B56" s="262" t="e">
        <f t="shared" si="17"/>
        <v>#DIV/0!</v>
      </c>
      <c r="C56" s="200">
        <f t="shared" si="16"/>
        <v>0.2</v>
      </c>
      <c r="D56" s="1164">
        <v>0.25</v>
      </c>
      <c r="E56" s="261">
        <f>'数据-汇总表'!E11</f>
        <v>0</v>
      </c>
      <c r="F56" s="691" t="e">
        <f t="shared" si="15"/>
        <v>#DIV/0!</v>
      </c>
      <c r="G56" s="2700" t="s">
        <v>2772</v>
      </c>
      <c r="H56" s="1104" t="str">
        <f>项目基本情况!C37</f>
        <v>九级</v>
      </c>
      <c r="I56" s="942">
        <f>SUMIF(修正!A45:A56,H56,修正!F45:F56)</f>
        <v>0.2</v>
      </c>
      <c r="J56" s="943"/>
      <c r="K56" s="1144"/>
      <c r="L56" s="941"/>
      <c r="M56" s="941"/>
      <c r="N56" s="941"/>
      <c r="O56" s="941"/>
    </row>
    <row r="57" spans="1:17" s="692" customFormat="1">
      <c r="A57" s="693" t="s">
        <v>2773</v>
      </c>
      <c r="B57" s="262" t="e">
        <f t="shared" si="17"/>
        <v>#DIV/0!</v>
      </c>
      <c r="C57" s="200">
        <f t="shared" si="16"/>
        <v>0.2</v>
      </c>
      <c r="D57" s="1164">
        <v>0.25</v>
      </c>
      <c r="E57" s="261">
        <f>'数据-汇总表'!E12</f>
        <v>21293.83</v>
      </c>
      <c r="F57" s="691" t="e">
        <f t="shared" si="15"/>
        <v>#DIV/0!</v>
      </c>
      <c r="G57" s="1109" t="s">
        <v>2774</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0.15</v>
      </c>
      <c r="D59" s="1164">
        <v>0.25</v>
      </c>
      <c r="E59" s="261">
        <f>'数据-汇总表'!E14</f>
        <v>0</v>
      </c>
      <c r="F59" s="691" t="e">
        <f t="shared" si="15"/>
        <v>#DIV/0!</v>
      </c>
      <c r="G59" s="2700" t="s">
        <v>2767</v>
      </c>
      <c r="H59" s="1104" t="str">
        <f>项目基本情况!B37</f>
        <v>九级</v>
      </c>
      <c r="I59" s="942">
        <f>SUMIF(修正!A45:A56,H59,修正!H45:H56)</f>
        <v>0.15</v>
      </c>
      <c r="J59" s="943"/>
      <c r="K59" s="1145"/>
      <c r="L59" s="941"/>
      <c r="M59" s="941"/>
      <c r="N59" s="941"/>
      <c r="O59" s="941"/>
    </row>
    <row r="60" spans="1:17" s="692" customFormat="1" ht="14.4" thickBot="1">
      <c r="A60" s="693" t="s">
        <v>2778</v>
      </c>
      <c r="B60" s="262" t="e">
        <f t="shared" si="17"/>
        <v>#DIV/0!</v>
      </c>
      <c r="C60" s="200">
        <f t="shared" si="16"/>
        <v>0.15</v>
      </c>
      <c r="D60" s="1164">
        <v>0.25</v>
      </c>
      <c r="E60" s="261">
        <f>'数据-汇总表'!E15</f>
        <v>13539.749999999998</v>
      </c>
      <c r="F60" s="691" t="e">
        <f t="shared" si="15"/>
        <v>#DIV/0!</v>
      </c>
      <c r="G60" s="2701" t="s">
        <v>2772</v>
      </c>
      <c r="H60" s="1114" t="str">
        <f>项目基本情况!C37</f>
        <v>九级</v>
      </c>
      <c r="I60" s="942">
        <f>SUMIF(修正!A45:A56,H60,修正!H45:H56)</f>
        <v>0.15</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23247.07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2.2" thickBot="1">
      <c r="A64" s="763" t="s">
        <v>2673</v>
      </c>
      <c r="B64" s="759"/>
      <c r="C64" s="764"/>
      <c r="D64" s="764"/>
      <c r="E64" s="764"/>
      <c r="F64" s="765"/>
      <c r="G64" s="765"/>
      <c r="H64" s="764"/>
      <c r="I64" s="764"/>
      <c r="J64" s="764"/>
      <c r="K64" s="766"/>
      <c r="L64" s="767"/>
      <c r="M64" s="764"/>
      <c r="N64" s="764"/>
      <c r="O64" s="1159"/>
      <c r="P64" s="503"/>
      <c r="Q64" s="504"/>
    </row>
    <row r="65" spans="1:17" s="508" customFormat="1" ht="14.4">
      <c r="A65" s="2702"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7"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2587</v>
      </c>
      <c r="B70" s="528" t="s">
        <v>2553</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2556</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54" sqref="P54"/>
    </sheetView>
  </sheetViews>
  <sheetFormatPr defaultColWidth="12" defaultRowHeight="13.2"/>
  <cols>
    <col min="1" max="1" width="9.77734375" style="2779" customWidth="1"/>
    <col min="2" max="2" width="19.21875" style="2885" customWidth="1"/>
    <col min="3" max="4" width="12" style="2711"/>
    <col min="5" max="5" width="14.6640625" style="2711" customWidth="1"/>
    <col min="6" max="8" width="12" style="2711"/>
    <col min="9" max="9" width="12.21875" style="2711" bestFit="1" customWidth="1"/>
    <col min="10" max="10" width="12" style="2711"/>
    <col min="11" max="11" width="8.109375" style="2774" customWidth="1"/>
    <col min="12" max="12" width="12" style="2711"/>
    <col min="13" max="13" width="8.44140625" style="2711" customWidth="1"/>
    <col min="14" max="14" width="9.77734375" style="2711" customWidth="1"/>
    <col min="15" max="25" width="12" style="2711"/>
    <col min="26" max="26" width="9.33203125" style="2779" customWidth="1"/>
    <col min="27" max="32" width="9.33203125" style="1372" customWidth="1"/>
    <col min="33" max="36" width="9.33203125" style="2779" customWidth="1"/>
    <col min="37" max="38" width="9.33203125" style="2711" customWidth="1"/>
    <col min="39" max="16384" width="12" style="2711"/>
  </cols>
  <sheetData>
    <row r="1" spans="1:36" ht="31.2">
      <c r="A1" s="240" t="s">
        <v>2802</v>
      </c>
      <c r="B1" s="241"/>
      <c r="C1" s="245" t="s">
        <v>2803</v>
      </c>
      <c r="D1" s="388">
        <f>SUM(D29:D30,D33:D39)</f>
        <v>930.84999999999991</v>
      </c>
      <c r="E1" s="2708"/>
      <c r="F1" s="2708"/>
      <c r="G1" s="2708"/>
      <c r="H1" s="2708"/>
      <c r="I1" s="2708"/>
      <c r="J1" s="2708"/>
      <c r="K1" s="1370"/>
      <c r="L1" s="2709" t="s">
        <v>2804</v>
      </c>
      <c r="M1" s="1080">
        <f>SUMPRODUCT((区片价!B5:B9=I2)*(区片价!C3:F3=E2)*(区片价!C5:F9))</f>
        <v>0</v>
      </c>
      <c r="N1" s="1083">
        <f>SUMPRODUCT((因素修正幅度!B5:B9=I2)*(因素修正幅度!C3:F3=E2)*(因素修正幅度!C5:F9))</f>
        <v>0</v>
      </c>
      <c r="O1" s="2710"/>
      <c r="P1" s="2710"/>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f ca="1">C26</f>
        <v>682</v>
      </c>
      <c r="C2" s="2712" t="s">
        <v>2811</v>
      </c>
      <c r="D2" s="2713" t="s">
        <v>2812</v>
      </c>
      <c r="E2" s="2714" t="s">
        <v>1372</v>
      </c>
      <c r="F2" s="2713" t="s">
        <v>2813</v>
      </c>
      <c r="G2" s="2715" t="str">
        <f>IF(E2="商业",项目基本情况!B37,IF(E2="办公",项目基本情况!C37,IF(E2="住宅",项目基本情况!D37,项目基本情况!E37)))</f>
        <v>九级</v>
      </c>
      <c r="H2" s="2713" t="s">
        <v>2814</v>
      </c>
      <c r="I2" s="2715" t="str">
        <f>IF(E2="商业",项目基本情况!B38,IF(E2="办公",项目基本情况!C38,IF(E2="住宅",项目基本情况!D38,项目基本情况!E38)))</f>
        <v>Ⅸ-兴3</v>
      </c>
      <c r="J2" s="2716"/>
      <c r="K2" s="1370"/>
      <c r="L2" s="2717"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11222</v>
      </c>
      <c r="U2" s="1602"/>
      <c r="V2" s="1601">
        <f ca="1">ROUND(T2*U2/10000,0)</f>
        <v>0</v>
      </c>
      <c r="W2" s="1605"/>
      <c r="X2" s="1605"/>
      <c r="Y2" s="1605"/>
      <c r="Z2" s="1605"/>
      <c r="AA2" s="1605"/>
      <c r="AB2" s="1605"/>
      <c r="AC2" s="1606"/>
      <c r="AD2" s="1607"/>
      <c r="AE2" s="1607"/>
      <c r="AF2" s="1607"/>
      <c r="AG2" s="1607"/>
      <c r="AH2" s="1607"/>
      <c r="AI2" s="1607"/>
      <c r="AJ2" s="1608"/>
    </row>
    <row r="3" spans="1:36" ht="26.4">
      <c r="A3" s="247" t="s">
        <v>2816</v>
      </c>
      <c r="B3" s="248">
        <f ca="1">ROUND(B2*10000/D1,0)</f>
        <v>7327</v>
      </c>
      <c r="C3" s="2712" t="s">
        <v>2817</v>
      </c>
      <c r="D3" s="2713" t="s">
        <v>2818</v>
      </c>
      <c r="E3" s="2718" t="s">
        <v>3218</v>
      </c>
      <c r="F3" s="2719" t="s">
        <v>2819</v>
      </c>
      <c r="G3" s="916">
        <f>IF(F3="宗地容积率",'数据-汇总表'!I4,IF(F3="估价对象容积率",'数据-汇总表'!I6,'数据-汇总表'!I7))</f>
        <v>2.14</v>
      </c>
      <c r="H3" s="198" t="s">
        <v>2820</v>
      </c>
      <c r="I3" s="944">
        <v>1</v>
      </c>
      <c r="J3" s="2716" t="s">
        <v>2821</v>
      </c>
      <c r="K3" s="1370"/>
      <c r="L3" s="2717"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7396</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92"/>
      <c r="B4" s="3293"/>
      <c r="C4" s="3293"/>
      <c r="D4" s="3294"/>
      <c r="E4" s="3294"/>
      <c r="F4" s="3294"/>
      <c r="G4" s="3294"/>
      <c r="H4" s="3294"/>
      <c r="I4" s="3294"/>
      <c r="J4" s="3295"/>
      <c r="K4" s="1370"/>
      <c r="L4" s="2717"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5820</v>
      </c>
      <c r="U4" s="1602"/>
      <c r="V4" s="1601">
        <f t="shared" ca="1" si="1"/>
        <v>0</v>
      </c>
      <c r="W4" s="1605"/>
      <c r="X4" s="1605"/>
      <c r="Y4" s="1605"/>
      <c r="Z4" s="1605"/>
      <c r="AA4" s="1605"/>
      <c r="AB4" s="1605"/>
      <c r="AC4" s="1606"/>
      <c r="AD4" s="1607"/>
      <c r="AE4" s="1607"/>
      <c r="AF4" s="1607"/>
      <c r="AG4" s="1607"/>
      <c r="AH4" s="1607"/>
      <c r="AI4" s="1607"/>
      <c r="AJ4" s="1608"/>
    </row>
    <row r="5" spans="1:36" s="2729" customFormat="1" ht="15.6" thickBot="1">
      <c r="A5" s="2720" t="s">
        <v>807</v>
      </c>
      <c r="B5" s="2721" t="s">
        <v>2824</v>
      </c>
      <c r="C5" s="917">
        <f>ROUND(IF(E2="商业",C6*C7+C16,(IF(E2="住宅",C6*C12+C16,C6+C16))),0)</f>
        <v>3940</v>
      </c>
      <c r="D5" s="1778">
        <f>ROUND(C6+C16,0)</f>
        <v>3940</v>
      </c>
      <c r="E5" s="1778"/>
      <c r="F5" s="2722"/>
      <c r="G5" s="2723"/>
      <c r="H5" s="2723"/>
      <c r="I5" s="2723"/>
      <c r="J5" s="2724"/>
      <c r="K5" s="2725"/>
      <c r="L5" s="2717"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4348</v>
      </c>
      <c r="U5" s="1602"/>
      <c r="V5" s="1601">
        <f t="shared" ca="1" si="1"/>
        <v>0</v>
      </c>
      <c r="W5" s="1605"/>
      <c r="X5" s="1605"/>
      <c r="Y5" s="1605"/>
      <c r="Z5" s="1605"/>
      <c r="AA5" s="1605"/>
      <c r="AB5" s="1605"/>
      <c r="AC5" s="2726"/>
      <c r="AD5" s="2727"/>
      <c r="AE5" s="2727"/>
      <c r="AF5" s="2727"/>
      <c r="AG5" s="2727"/>
      <c r="AH5" s="2727"/>
      <c r="AI5" s="2727"/>
      <c r="AJ5" s="2728"/>
    </row>
    <row r="6" spans="1:36" ht="15.6" thickBot="1">
      <c r="A6" s="2730" t="s">
        <v>2826</v>
      </c>
      <c r="B6" s="2731" t="s">
        <v>2827</v>
      </c>
      <c r="C6" s="918">
        <f>SUMIF(L1:L12,G2,M1:M12)</f>
        <v>3910</v>
      </c>
      <c r="D6" s="2732" t="s">
        <v>2828</v>
      </c>
      <c r="E6" s="2733"/>
      <c r="F6" s="2733"/>
      <c r="G6" s="2734"/>
      <c r="H6" s="2734"/>
      <c r="I6" s="2734"/>
      <c r="J6" s="2735"/>
      <c r="K6" s="1833"/>
      <c r="L6" s="2717"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3270</v>
      </c>
      <c r="U6" s="1602"/>
      <c r="V6" s="1601">
        <f t="shared" ca="1" si="1"/>
        <v>0</v>
      </c>
      <c r="W6" s="1605"/>
      <c r="X6" s="1605"/>
      <c r="Y6" s="1605"/>
      <c r="Z6" s="1605"/>
      <c r="AA6" s="1605"/>
      <c r="AB6" s="1605"/>
      <c r="AC6" s="2726"/>
      <c r="AD6" s="2727"/>
      <c r="AE6" s="2727"/>
      <c r="AF6" s="2727"/>
      <c r="AG6" s="2727"/>
      <c r="AH6" s="2727"/>
      <c r="AI6" s="2727"/>
      <c r="AJ6" s="2728"/>
    </row>
    <row r="7" spans="1:36" ht="24">
      <c r="A7" s="3296" t="str">
        <f>IF(E2="商业",IF(C8="不临58条商业街","",2),"")</f>
        <v/>
      </c>
      <c r="B7" s="2736" t="s">
        <v>2830</v>
      </c>
      <c r="C7" s="919">
        <f>IF(C8="不临58条商业街",1,ROUND(1+(1.6*E8+1.2*E9+0.8*E10+0.4*E11)*C9,4))</f>
        <v>1</v>
      </c>
      <c r="D7" s="2737" t="s">
        <v>2831</v>
      </c>
      <c r="E7" s="945"/>
      <c r="F7" s="2738"/>
      <c r="G7" s="2739"/>
      <c r="H7" s="2739"/>
      <c r="I7" s="2739"/>
      <c r="J7" s="2740"/>
      <c r="K7" s="1833"/>
      <c r="L7" s="2717"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2615</v>
      </c>
      <c r="U7" s="1602"/>
      <c r="V7" s="1601">
        <f t="shared" ca="1" si="1"/>
        <v>0</v>
      </c>
      <c r="W7" s="2990" t="s">
        <v>2833</v>
      </c>
      <c r="X7" s="1603" t="str">
        <f>G2</f>
        <v>九级</v>
      </c>
      <c r="Y7" s="1603" t="s">
        <v>2834</v>
      </c>
      <c r="Z7" s="1604">
        <f>G3</f>
        <v>2.14</v>
      </c>
      <c r="AA7" s="1605"/>
      <c r="AB7" s="1605"/>
      <c r="AC7" s="1606"/>
      <c r="AD7" s="1607"/>
      <c r="AE7" s="1607"/>
      <c r="AF7" s="1607"/>
      <c r="AG7" s="1607"/>
      <c r="AH7" s="1607"/>
      <c r="AI7" s="1607"/>
      <c r="AJ7" s="1608"/>
    </row>
    <row r="8" spans="1:36" ht="26.4">
      <c r="A8" s="3297"/>
      <c r="B8" s="198" t="s">
        <v>2835</v>
      </c>
      <c r="C8" s="2741" t="s">
        <v>3118</v>
      </c>
      <c r="D8" s="920" t="s">
        <v>139</v>
      </c>
      <c r="E8" s="921" t="e">
        <f>ROUND(C11/E7,4)</f>
        <v>#DIV/0!</v>
      </c>
      <c r="F8" s="2742" t="s">
        <v>2836</v>
      </c>
      <c r="G8" s="2743"/>
      <c r="H8" s="2743"/>
      <c r="I8" s="2743"/>
      <c r="J8" s="2744"/>
      <c r="K8" s="1370"/>
      <c r="L8" s="2717"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89" t="s">
        <v>2838</v>
      </c>
      <c r="X8" s="3290"/>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7"/>
      <c r="B9" s="198" t="s">
        <v>2851</v>
      </c>
      <c r="C9" s="922">
        <f>SUMIF(修正!C59:C119,C8,修正!E59:E119)</f>
        <v>0</v>
      </c>
      <c r="D9" s="200" t="s">
        <v>140</v>
      </c>
      <c r="E9" s="200" t="e">
        <f>ROUND(C11/E7,4)</f>
        <v>#DIV/0!</v>
      </c>
      <c r="F9" s="2742" t="s">
        <v>2852</v>
      </c>
      <c r="G9" s="2743"/>
      <c r="H9" s="2743"/>
      <c r="I9" s="2743"/>
      <c r="J9" s="2744"/>
      <c r="K9" s="1370"/>
      <c r="L9" s="2717" t="s">
        <v>2853</v>
      </c>
      <c r="M9" s="1081">
        <f>SUMPRODUCT((区片价!B245:B289=I2)*(区片价!C3:F3=E2)*(区片价!C245:F289))</f>
        <v>3910</v>
      </c>
      <c r="N9" s="1083">
        <f>SUMPRODUCT((因素修正幅度!B245:B289=I2)*(因素修正幅度!C3:F3=E2)*(因素修正幅度!C245:F289))</f>
        <v>0.15</v>
      </c>
      <c r="O9" s="1370"/>
      <c r="P9" s="1370"/>
      <c r="Q9" s="1370"/>
      <c r="R9" s="1601">
        <v>8</v>
      </c>
      <c r="S9" s="1602"/>
      <c r="T9" s="1601">
        <f t="shared" ca="1" si="0"/>
        <v>0</v>
      </c>
      <c r="U9" s="1602"/>
      <c r="V9" s="1601">
        <f t="shared" ca="1" si="1"/>
        <v>0</v>
      </c>
      <c r="W9" s="3291"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8" t="s">
        <v>2856</v>
      </c>
      <c r="C10" s="200">
        <f>SUMIF(修正!C59:C119,C8,修正!F59:F119)</f>
        <v>0</v>
      </c>
      <c r="D10" s="200" t="s">
        <v>141</v>
      </c>
      <c r="E10" s="200" t="e">
        <f>ROUND(C11/E7,4)</f>
        <v>#DIV/0!</v>
      </c>
      <c r="F10" s="2742" t="s">
        <v>2857</v>
      </c>
      <c r="G10" s="2743"/>
      <c r="H10" s="2743"/>
      <c r="I10" s="2743"/>
      <c r="J10" s="2744"/>
      <c r="K10" s="1370"/>
      <c r="L10" s="2717"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7"/>
      <c r="B11" s="2745" t="s">
        <v>2859</v>
      </c>
      <c r="C11" s="923">
        <f>C10/4</f>
        <v>0</v>
      </c>
      <c r="D11" s="923" t="s">
        <v>142</v>
      </c>
      <c r="E11" s="923" t="e">
        <f>ROUND(C11/E7,4)</f>
        <v>#DIV/0!</v>
      </c>
      <c r="F11" s="2746" t="s">
        <v>2860</v>
      </c>
      <c r="G11" s="2747"/>
      <c r="H11" s="2747"/>
      <c r="I11" s="2747"/>
      <c r="J11" s="2748"/>
      <c r="K11" s="1370"/>
      <c r="L11" s="2717"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91" t="s">
        <v>2862</v>
      </c>
      <c r="X11" s="1613" t="s">
        <v>2863</v>
      </c>
      <c r="Y11" s="1614">
        <f>$G$3</f>
        <v>2.14</v>
      </c>
      <c r="Z11" s="1614">
        <f t="shared" ref="Z11:AJ11" si="3">$G$3</f>
        <v>2.14</v>
      </c>
      <c r="AA11" s="1614">
        <f t="shared" si="3"/>
        <v>2.14</v>
      </c>
      <c r="AB11" s="1614">
        <f t="shared" si="3"/>
        <v>2.14</v>
      </c>
      <c r="AC11" s="1614">
        <f t="shared" si="3"/>
        <v>2.14</v>
      </c>
      <c r="AD11" s="1614">
        <f t="shared" si="3"/>
        <v>2.14</v>
      </c>
      <c r="AE11" s="1614">
        <f t="shared" si="3"/>
        <v>2.14</v>
      </c>
      <c r="AF11" s="1614">
        <f t="shared" si="3"/>
        <v>2.14</v>
      </c>
      <c r="AG11" s="1614">
        <f t="shared" si="3"/>
        <v>2.14</v>
      </c>
      <c r="AH11" s="1614">
        <f t="shared" si="3"/>
        <v>2.14</v>
      </c>
      <c r="AI11" s="1614">
        <f t="shared" si="3"/>
        <v>2.14</v>
      </c>
      <c r="AJ11" s="1614">
        <f t="shared" si="3"/>
        <v>2.14</v>
      </c>
    </row>
    <row r="12" spans="1:36" ht="25.8" thickBot="1">
      <c r="A12" s="3296" t="s">
        <v>2864</v>
      </c>
      <c r="B12" s="2749" t="s">
        <v>2865</v>
      </c>
      <c r="C12" s="919">
        <f>ROUND(C15*D15*E15*F15*G15*H15*I15*J15,4)</f>
        <v>1</v>
      </c>
      <c r="D12" s="2750" t="s">
        <v>2866</v>
      </c>
      <c r="E12" s="2751"/>
      <c r="F12" s="2751"/>
      <c r="G12" s="2752"/>
      <c r="H12" s="2752"/>
      <c r="I12" s="2752"/>
      <c r="J12" s="2753"/>
      <c r="K12" s="1370"/>
      <c r="L12" s="2754"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91"/>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55" t="s">
        <v>2869</v>
      </c>
      <c r="C13" s="2756" t="s">
        <v>2870</v>
      </c>
      <c r="D13" s="2982" t="s">
        <v>2871</v>
      </c>
      <c r="E13" s="2982" t="s">
        <v>2872</v>
      </c>
      <c r="F13" s="30" t="s">
        <v>2873</v>
      </c>
      <c r="G13" s="2757" t="s">
        <v>2874</v>
      </c>
      <c r="H13" s="2757" t="s">
        <v>2874</v>
      </c>
      <c r="I13" s="2757" t="s">
        <v>2874</v>
      </c>
      <c r="J13" s="2758" t="s">
        <v>2874</v>
      </c>
      <c r="K13" s="1370"/>
      <c r="L13" s="1370"/>
      <c r="M13" s="1370"/>
      <c r="N13" s="1370"/>
      <c r="O13" s="1370"/>
      <c r="P13" s="1370"/>
      <c r="Q13" s="1370"/>
      <c r="R13" s="1601">
        <v>12</v>
      </c>
      <c r="S13" s="1602"/>
      <c r="T13" s="1601">
        <f t="shared" ca="1" si="0"/>
        <v>0</v>
      </c>
      <c r="U13" s="1602"/>
      <c r="V13" s="1601">
        <f t="shared" ca="1" si="1"/>
        <v>0</v>
      </c>
      <c r="W13" s="3291"/>
      <c r="X13" s="1615"/>
      <c r="Y13" s="1612">
        <f>(-0.163*(Y12^2)-0.59*Y12+7617)*(10^(-4))/Y11</f>
        <v>0.35593457943925233</v>
      </c>
      <c r="Z13" s="1612">
        <f t="shared" ref="Z13:AJ13" si="5">(-0.163*(Z12^2)-0.59*Z12+7617)*(10^(-4))/Z11</f>
        <v>0.35593457943925233</v>
      </c>
      <c r="AA13" s="1612">
        <f t="shared" si="5"/>
        <v>0.35593457943925233</v>
      </c>
      <c r="AB13" s="1612">
        <f t="shared" si="5"/>
        <v>0.35593457943925233</v>
      </c>
      <c r="AC13" s="1612">
        <f t="shared" si="5"/>
        <v>0.35593457943925233</v>
      </c>
      <c r="AD13" s="1612">
        <f t="shared" si="5"/>
        <v>0.35593457943925233</v>
      </c>
      <c r="AE13" s="1612">
        <f t="shared" si="5"/>
        <v>0.35593457943925233</v>
      </c>
      <c r="AF13" s="1612">
        <f t="shared" si="5"/>
        <v>0.35593457943925233</v>
      </c>
      <c r="AG13" s="1612">
        <f t="shared" si="5"/>
        <v>0.35593457943925233</v>
      </c>
      <c r="AH13" s="1612">
        <f t="shared" si="5"/>
        <v>0.35593457943925233</v>
      </c>
      <c r="AI13" s="1612">
        <f t="shared" si="5"/>
        <v>0.35593457943925233</v>
      </c>
      <c r="AJ13" s="1612">
        <f t="shared" si="5"/>
        <v>0.35593457943925233</v>
      </c>
    </row>
    <row r="14" spans="1:36" ht="15">
      <c r="A14" s="3298"/>
      <c r="B14" s="2759"/>
      <c r="C14" s="2760"/>
      <c r="D14" s="2761"/>
      <c r="E14" s="2761"/>
      <c r="F14" s="2762"/>
      <c r="G14" s="2763" t="s">
        <v>2875</v>
      </c>
      <c r="H14" s="2764"/>
      <c r="I14" s="2765"/>
      <c r="J14" s="2766"/>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99"/>
      <c r="B15" s="276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6" t="s">
        <v>2881</v>
      </c>
      <c r="B16" s="2736" t="s">
        <v>2882</v>
      </c>
      <c r="C16" s="2983">
        <f>ROUND(IF(F17="与级别开发程度一致",0,(G17-E17)/C17),0)</f>
        <v>30</v>
      </c>
      <c r="D16" s="3310" t="s">
        <v>2886</v>
      </c>
      <c r="E16" s="3311"/>
      <c r="F16" s="3310" t="s">
        <v>2883</v>
      </c>
      <c r="G16" s="3311"/>
      <c r="H16" s="2770" t="s">
        <v>3119</v>
      </c>
      <c r="I16" s="2770" t="s">
        <v>3120</v>
      </c>
      <c r="J16" s="2926" t="s">
        <v>3121</v>
      </c>
      <c r="K16" s="2770" t="s">
        <v>3122</v>
      </c>
      <c r="L16" s="2770" t="s">
        <v>3123</v>
      </c>
      <c r="M16" s="2770" t="s">
        <v>3212</v>
      </c>
      <c r="N16" s="2770" t="s">
        <v>3213</v>
      </c>
      <c r="O16" s="2771"/>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300"/>
      <c r="B17" s="2933" t="s">
        <v>2885</v>
      </c>
      <c r="C17" s="2934">
        <f>SUMPRODUCT((修正!A2:A5=E2)*(修正!B1:M1=G2)*(修正!B2:M5))</f>
        <v>2</v>
      </c>
      <c r="D17" s="229" t="str">
        <f>IF(OR(G2="八级",G2="九级",G2="十级",G2="十一级",G2="十二级"),"五通一平","七通一平")</f>
        <v>五通一平</v>
      </c>
      <c r="E17" s="2924">
        <f>SUMPRODUCT((修正!B1:M1=G2)*(修正!B15:M15))</f>
        <v>155</v>
      </c>
      <c r="F17" s="3000" t="s">
        <v>3211</v>
      </c>
      <c r="G17" s="2925">
        <f>SUM(H17:O17)</f>
        <v>215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40</v>
      </c>
      <c r="N17" s="2934">
        <f>SUMPRODUCT((七通一平=N16)*(修正!B1:M1=G2)*(修正!B6:M14))</f>
        <v>30</v>
      </c>
      <c r="O17" s="2936">
        <f>SUMPRODUCT((七通一平=O16)*(修正!B1:M1=G2)*(修正!B6:M14))</f>
        <v>0</v>
      </c>
      <c r="Q17" s="1370"/>
      <c r="R17" s="1370"/>
      <c r="S17" s="1370"/>
      <c r="T17" s="1370"/>
      <c r="U17" s="1370"/>
      <c r="V17" s="1370"/>
      <c r="W17" s="1370"/>
      <c r="X17" s="1370"/>
      <c r="Y17" s="1370"/>
      <c r="Z17" s="1371"/>
      <c r="AE17" s="2774"/>
      <c r="AF17" s="2774"/>
      <c r="AG17" s="2711"/>
      <c r="AH17" s="2711"/>
      <c r="AI17" s="2711"/>
      <c r="AJ17" s="2711"/>
    </row>
    <row r="18" spans="1:37" s="2729" customFormat="1" ht="15" thickBot="1">
      <c r="A18" s="2927" t="s">
        <v>808</v>
      </c>
      <c r="B18" s="2928" t="s">
        <v>2888</v>
      </c>
      <c r="C18" s="2929">
        <f>SUMIF(修正!C18:C39,E3,修正!E18:E39)</f>
        <v>1.1000000000000001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9"/>
      <c r="AH18" s="2779"/>
      <c r="AI18" s="2779"/>
    </row>
    <row r="19" spans="1:37" s="2729" customFormat="1" ht="29.4" thickBot="1">
      <c r="A19" s="2775" t="s">
        <v>809</v>
      </c>
      <c r="B19" s="2776" t="s">
        <v>2889</v>
      </c>
      <c r="C19" s="924">
        <f>ROUND(IF(H19="按公示增长率计算",SUMPRODUCT((地价!A3:A30=YEAR(G19)&amp;"-"&amp;ROUNDUP(MONTH(G19)/3,0))*(地价!X2:AB2=E2)*(地价!X3:AB30)),IF(H19="地价指数",M20/M19,(1+I19)^O19)),4)</f>
        <v>1.3566</v>
      </c>
      <c r="D19" s="2780" t="s">
        <v>2890</v>
      </c>
      <c r="E19" s="925">
        <v>41640</v>
      </c>
      <c r="F19" s="2780" t="s">
        <v>2891</v>
      </c>
      <c r="G19" s="926">
        <f>'数据-取费表'!B2</f>
        <v>44012</v>
      </c>
      <c r="H19" s="2781" t="s">
        <v>3124</v>
      </c>
      <c r="I19" s="927" t="str">
        <f>IF(H19="季度增幅（自定义）",SUMIF(N21:N24,E2,O21:O24),"")</f>
        <v/>
      </c>
      <c r="J19" s="2778"/>
      <c r="K19" s="1377"/>
      <c r="L19" s="2782" t="s">
        <v>2892</v>
      </c>
      <c r="M19" s="1733">
        <f>ROUND(SUMIF(地价!B2:F2,E2,地价!B30:F30),0)</f>
        <v>258</v>
      </c>
      <c r="N19" s="2783"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4"/>
      <c r="AG19" s="2785"/>
      <c r="AH19" s="2779"/>
      <c r="AI19" s="2786"/>
      <c r="AJ19" s="2786"/>
      <c r="AK19" s="2786"/>
    </row>
    <row r="20" spans="1:37" s="2729" customFormat="1" ht="29.4" thickBot="1">
      <c r="A20" s="2787" t="s">
        <v>810</v>
      </c>
      <c r="B20" s="2788" t="s">
        <v>2894</v>
      </c>
      <c r="C20" s="929">
        <f ca="1">ROUND(POWER(1+G20,J20-I20)*(POWER(1+G20,I20)-1)/(POWER(1+G20,J20)-1),4)</f>
        <v>0.95920000000000005</v>
      </c>
      <c r="D20" s="2789" t="s">
        <v>2895</v>
      </c>
      <c r="E20" s="1759">
        <f ca="1">存贷款利率!D4/100</f>
        <v>4.3499999999999997E-2</v>
      </c>
      <c r="F20" s="2789" t="s">
        <v>2887</v>
      </c>
      <c r="G20" s="934">
        <f ca="1">SUMIF(M26:P26,E2,M28:P28)</f>
        <v>5.3999999999999999E-2</v>
      </c>
      <c r="H20" s="2789" t="s">
        <v>2896</v>
      </c>
      <c r="I20" s="2989">
        <f>SUMIF('数据-取费表'!C6:C15,E2,'数据-取费表'!F6:F15)/COUNTIF('数据-取费表'!C6:C15,E2)</f>
        <v>35.1</v>
      </c>
      <c r="J20" s="936">
        <f>IF(E2="住宅",70,IF(E2="商业",40,50))</f>
        <v>40</v>
      </c>
      <c r="K20" s="1377"/>
      <c r="L20" s="2790" t="s">
        <v>2897</v>
      </c>
      <c r="M20" s="1734">
        <f>ROUND(SUMPRODUCT((地价!A4:A30=YEAR(G19)&amp;"-"&amp;ROUNDUP(MONTH(G19)/3,0))*(地价!B2:F2=E2)*(地价!B4:F30)),0)</f>
        <v>350</v>
      </c>
      <c r="N20" s="2791" t="s">
        <v>2898</v>
      </c>
      <c r="O20" s="2792" t="s">
        <v>2899</v>
      </c>
      <c r="P20" s="2793" t="s">
        <v>2900</v>
      </c>
      <c r="R20" s="1376"/>
      <c r="S20" s="1376"/>
      <c r="T20" s="1371"/>
      <c r="U20" s="1371"/>
      <c r="V20" s="1371"/>
      <c r="W20" s="1370"/>
      <c r="X20" s="1370"/>
      <c r="Y20" s="1370"/>
      <c r="Z20" s="1377"/>
      <c r="AA20" s="1378"/>
      <c r="AB20" s="1378"/>
      <c r="AC20" s="1378"/>
      <c r="AD20" s="1378"/>
      <c r="AE20" s="1378"/>
      <c r="AF20" s="1378"/>
    </row>
    <row r="21" spans="1:37" s="2729" customFormat="1" ht="14.4">
      <c r="A21" s="2794" t="s">
        <v>811</v>
      </c>
      <c r="B21" s="2795" t="s">
        <v>3219</v>
      </c>
      <c r="C21" s="2985">
        <f>IF(B21="容积率修正",IF(G3&lt;=10,D22,J22),C23)</f>
        <v>1.9419999999999999</v>
      </c>
      <c r="D21" s="2796"/>
      <c r="E21" s="2796"/>
      <c r="F21" s="2796"/>
      <c r="G21" s="2796"/>
      <c r="H21" s="2796"/>
      <c r="I21" s="2796"/>
      <c r="J21" s="2797"/>
      <c r="K21" s="1377"/>
      <c r="N21" s="2798"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9" customFormat="1" ht="14.4">
      <c r="A22" s="2655" t="s">
        <v>2902</v>
      </c>
      <c r="B22" s="2799" t="s">
        <v>2903</v>
      </c>
      <c r="C22" s="2984" t="s">
        <v>2904</v>
      </c>
      <c r="D22" s="2984">
        <f>IF(E22=G22,F22,IF(G3&lt;=10,ROUND(F22+(H22-F22)*(G3-E22)/(G22-E22),4),"——"))</f>
        <v>0.96619999999999995</v>
      </c>
      <c r="E22" s="916">
        <f>ROUNDDOWN(G3,1)</f>
        <v>2.1</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916">
        <f>ROUNDUP(G3,1)</f>
        <v>2.2000000000000002</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2984" t="s">
        <v>155</v>
      </c>
      <c r="J22" s="938" t="str">
        <f>IF(G3&gt;10,D113,"——")</f>
        <v>——</v>
      </c>
      <c r="K22" s="1377"/>
      <c r="N22" s="2798"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9.4" thickBot="1">
      <c r="A23" s="2655" t="s">
        <v>2906</v>
      </c>
      <c r="B23" s="2800" t="s">
        <v>2907</v>
      </c>
      <c r="C23" s="1013">
        <f>ROUND(IF(G3&gt;1,IF(I3&lt;7,SUMPRODUCT((B93:B98=I3)*(C92:N92=G2)*(C93:N98)),SUMIF(C92:N92,G2,C100:N100)),IF(I3&lt;7,SUMPRODUCT((B102:B107=I3)*(C92:N92=G2)*(C102:N107)),SUMIF(C92:N92,G2,C109:N109))),4)</f>
        <v>1.9419999999999999</v>
      </c>
      <c r="D23" s="2764"/>
      <c r="E23" s="2764"/>
      <c r="F23" s="2801"/>
      <c r="G23" s="2802"/>
      <c r="H23" s="2803"/>
      <c r="I23" s="2804"/>
      <c r="J23" s="2805"/>
      <c r="K23" s="1370"/>
      <c r="N23" s="2798"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9"/>
    </row>
    <row r="24" spans="1:37" s="2729" customFormat="1" ht="15" thickBot="1">
      <c r="A24" s="2787" t="s">
        <v>812</v>
      </c>
      <c r="B24" s="2776" t="s">
        <v>2909</v>
      </c>
      <c r="C24" s="924">
        <f>SUMIF(A45:A88,E2,B45:B88)</f>
        <v>1.0246</v>
      </c>
      <c r="D24" s="2777"/>
      <c r="E24" s="2806"/>
      <c r="F24" s="2806"/>
      <c r="G24" s="2806"/>
      <c r="H24" s="2806"/>
      <c r="I24" s="2806"/>
      <c r="J24" s="2807"/>
      <c r="K24" s="1377"/>
      <c r="N24" s="2808"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 thickBot="1">
      <c r="A25" s="2787" t="s">
        <v>813</v>
      </c>
      <c r="B25" s="2809" t="s">
        <v>2911</v>
      </c>
      <c r="C25" s="930"/>
      <c r="D25" s="2739"/>
      <c r="E25" s="2739"/>
      <c r="F25" s="2810"/>
      <c r="G25" s="2739"/>
      <c r="H25" s="2739"/>
      <c r="I25" s="2739"/>
      <c r="J25" s="2740"/>
      <c r="K25" s="1370"/>
      <c r="N25" s="2811"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4">
      <c r="A26" s="2812"/>
      <c r="B26" s="2799" t="s">
        <v>2913</v>
      </c>
      <c r="C26" s="206">
        <f ca="1">E29+SUM(E33:E39)</f>
        <v>682</v>
      </c>
      <c r="D26" s="2813"/>
      <c r="E26" s="2764"/>
      <c r="F26" s="2814"/>
      <c r="G26" s="2764"/>
      <c r="H26" s="2764"/>
      <c r="I26" s="2764"/>
      <c r="J26" s="2815"/>
      <c r="K26" s="1370"/>
      <c r="L26" s="2768" t="s">
        <v>2812</v>
      </c>
      <c r="M26" s="920" t="s">
        <v>2877</v>
      </c>
      <c r="N26" s="920" t="s">
        <v>2878</v>
      </c>
      <c r="O26" s="920" t="s">
        <v>2879</v>
      </c>
      <c r="P26" s="2769" t="s">
        <v>2880</v>
      </c>
      <c r="R26" s="1376"/>
      <c r="S26" s="1376"/>
      <c r="T26" s="1371"/>
      <c r="U26" s="1371"/>
      <c r="V26" s="1371"/>
      <c r="W26" s="1370"/>
      <c r="X26" s="1370"/>
      <c r="Y26" s="1370"/>
      <c r="Z26" s="1377"/>
      <c r="AA26" s="1378"/>
      <c r="AB26" s="1378"/>
      <c r="AC26" s="1378"/>
      <c r="AD26" s="1378"/>
    </row>
    <row r="27" spans="1:37" ht="15" thickBot="1">
      <c r="A27" s="2812"/>
      <c r="B27" s="2816" t="s">
        <v>2914</v>
      </c>
      <c r="C27" s="931">
        <f ca="1">E30+SUM(I33:I39)</f>
        <v>35</v>
      </c>
      <c r="D27" s="2817"/>
      <c r="E27" s="2818"/>
      <c r="F27" s="2819"/>
      <c r="G27" s="2818"/>
      <c r="H27" s="2818"/>
      <c r="I27" s="2818"/>
      <c r="J27" s="2820"/>
      <c r="K27" s="1370"/>
      <c r="L27" s="277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1"/>
      <c r="B28" s="2822" t="s">
        <v>2915</v>
      </c>
      <c r="C28" s="2823" t="s">
        <v>2916</v>
      </c>
      <c r="D28" s="2823" t="s">
        <v>2917</v>
      </c>
      <c r="E28" s="2824" t="s">
        <v>2918</v>
      </c>
      <c r="F28" s="2825"/>
      <c r="G28" s="2752"/>
      <c r="H28" s="2752"/>
      <c r="I28" s="2752"/>
      <c r="J28" s="2753"/>
      <c r="K28" s="1370"/>
      <c r="L28" s="277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6"/>
      <c r="B29" s="2827" t="s">
        <v>2919</v>
      </c>
      <c r="C29" s="206">
        <f ca="1">ROUND(C5*C18*C19*C20*C21*C24,0)</f>
        <v>11222</v>
      </c>
      <c r="D29" s="2828">
        <f>'数据-基础表'!K13</f>
        <v>481.19</v>
      </c>
      <c r="E29" s="2988">
        <f ca="1">ROUND(C29*D29/10000,0)</f>
        <v>540</v>
      </c>
      <c r="F29" s="2829" t="s">
        <v>2920</v>
      </c>
      <c r="G29" s="2830"/>
      <c r="H29" s="2830"/>
      <c r="I29" s="2830"/>
      <c r="J29" s="2831"/>
      <c r="K29" s="1370"/>
      <c r="L29" s="1370"/>
      <c r="M29" s="1370"/>
      <c r="N29" s="1370"/>
      <c r="O29" s="1375"/>
      <c r="P29" s="1375"/>
      <c r="Q29" s="1376"/>
      <c r="R29" s="1376"/>
      <c r="S29" s="1376"/>
      <c r="T29" s="1371"/>
      <c r="U29" s="1371"/>
      <c r="V29" s="1371"/>
      <c r="W29" s="1370"/>
      <c r="X29" s="1370"/>
      <c r="Y29" s="1370"/>
      <c r="Z29" s="1377"/>
      <c r="AA29" s="1378"/>
      <c r="AB29" s="1378"/>
      <c r="AC29" s="1378"/>
      <c r="AD29" s="1378"/>
      <c r="AE29" s="2774"/>
      <c r="AF29" s="2774"/>
      <c r="AG29" s="2711"/>
      <c r="AH29" s="2711"/>
      <c r="AI29" s="2711"/>
      <c r="AJ29" s="2711"/>
    </row>
    <row r="30" spans="1:37" ht="25.8" thickBot="1">
      <c r="A30" s="2832"/>
      <c r="B30" s="2833" t="s">
        <v>2921</v>
      </c>
      <c r="C30" s="229">
        <f ca="1">ROUND(IF(E2="工业",C29*M39,C29*M38),0)</f>
        <v>2806</v>
      </c>
      <c r="D30" s="2834"/>
      <c r="E30" s="2988">
        <f ca="1">ROUND(C30*D30/10000,0)</f>
        <v>0</v>
      </c>
      <c r="F30" s="2835" t="s">
        <v>2922</v>
      </c>
      <c r="G30" s="2836"/>
      <c r="H30" s="2836"/>
      <c r="I30" s="2836"/>
      <c r="J30" s="2837"/>
      <c r="K30" s="1370"/>
      <c r="L30" s="1370"/>
      <c r="M30" s="1370"/>
      <c r="N30" s="1370"/>
      <c r="O30" s="1375"/>
      <c r="P30" s="1375"/>
      <c r="Q30" s="1376"/>
      <c r="R30" s="1376"/>
      <c r="S30" s="1376"/>
      <c r="T30" s="1371"/>
      <c r="U30" s="1371"/>
      <c r="V30" s="1371"/>
      <c r="W30" s="1370"/>
      <c r="X30" s="1370"/>
      <c r="Y30" s="1370"/>
      <c r="Z30" s="1377"/>
      <c r="AA30" s="1378"/>
      <c r="AB30" s="1378"/>
      <c r="AC30" s="1378"/>
      <c r="AD30" s="1378"/>
      <c r="AE30" s="2774"/>
      <c r="AF30" s="2774"/>
      <c r="AG30" s="2711"/>
      <c r="AH30" s="2711"/>
      <c r="AI30" s="2711"/>
      <c r="AJ30" s="2711"/>
    </row>
    <row r="31" spans="1:37" ht="13.8">
      <c r="A31" s="2838"/>
      <c r="B31" s="2839" t="s">
        <v>2923</v>
      </c>
      <c r="C31" s="2840" t="s">
        <v>2924</v>
      </c>
      <c r="D31" s="2752"/>
      <c r="E31" s="2840"/>
      <c r="F31" s="2840"/>
      <c r="G31" s="2750" t="s">
        <v>2925</v>
      </c>
      <c r="H31" s="2752"/>
      <c r="I31" s="2841"/>
      <c r="J31" s="2753"/>
      <c r="K31" s="1370"/>
      <c r="L31" s="1370"/>
      <c r="M31" s="1370"/>
      <c r="N31" s="1370"/>
      <c r="O31" s="1375"/>
      <c r="P31" s="1375"/>
      <c r="Q31" s="1376"/>
      <c r="R31" s="1376"/>
      <c r="S31" s="1376"/>
      <c r="T31" s="1371"/>
      <c r="U31" s="1371"/>
      <c r="V31" s="1371"/>
      <c r="W31" s="1370"/>
      <c r="X31" s="1370"/>
      <c r="Y31" s="1370"/>
      <c r="Z31" s="1377"/>
      <c r="AA31" s="1378"/>
      <c r="AB31" s="1378"/>
      <c r="AC31" s="1378"/>
      <c r="AD31" s="1378"/>
      <c r="AE31" s="2774"/>
      <c r="AF31" s="2774"/>
      <c r="AG31" s="2711"/>
      <c r="AH31" s="2711"/>
      <c r="AI31" s="2711"/>
      <c r="AJ31" s="2711"/>
    </row>
    <row r="32" spans="1:37" ht="36">
      <c r="A32" s="2826"/>
      <c r="B32" s="2842"/>
      <c r="C32" s="501" t="s">
        <v>2916</v>
      </c>
      <c r="D32" s="498" t="s">
        <v>2917</v>
      </c>
      <c r="E32" s="498" t="s">
        <v>2918</v>
      </c>
      <c r="F32" s="388" t="s">
        <v>2926</v>
      </c>
      <c r="G32" s="2843" t="s">
        <v>2916</v>
      </c>
      <c r="H32" s="2843" t="s">
        <v>2917</v>
      </c>
      <c r="I32" s="284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4"/>
      <c r="AF32" s="2774"/>
      <c r="AG32" s="2711"/>
      <c r="AH32" s="2711"/>
      <c r="AI32" s="2711"/>
      <c r="AJ32" s="2711"/>
    </row>
    <row r="33" spans="1:37" ht="36" customHeight="1">
      <c r="A33" s="3307" t="s">
        <v>2927</v>
      </c>
      <c r="B33" s="2844" t="s">
        <v>2928</v>
      </c>
      <c r="C33" s="206">
        <f ca="1">ROUND(D5*C19*C20*C24*F33,0)</f>
        <v>3152</v>
      </c>
      <c r="D33" s="2828">
        <f>'数据-基础表'!M13</f>
        <v>449.65999999999997</v>
      </c>
      <c r="E33" s="200">
        <f ca="1">ROUND(C33*D33/10000,0)</f>
        <v>142</v>
      </c>
      <c r="F33" s="200">
        <f>SUMIF(修正!A45:A56,G2,修正!B45:B56)</f>
        <v>0.6</v>
      </c>
      <c r="G33" s="200">
        <f t="shared" ref="G33" ca="1" si="6">ROUND(IF(E2="工业",C33*$M$39,C33*$M$38),0)</f>
        <v>788</v>
      </c>
      <c r="H33" s="200">
        <f>D33</f>
        <v>449.65999999999997</v>
      </c>
      <c r="I33" s="200">
        <f ca="1">ROUND(G33*H33/10000,0)</f>
        <v>35</v>
      </c>
      <c r="J33" s="284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8"/>
      <c r="B34" s="2756" t="s">
        <v>2929</v>
      </c>
      <c r="C34" s="206">
        <f ca="1">ROUND(D5*C19*C20*C24*F34,0)</f>
        <v>1576</v>
      </c>
      <c r="D34" s="2828"/>
      <c r="E34" s="200">
        <f t="shared" ref="E34:E39" ca="1" si="7">ROUND(C34*D34/10000,0)</f>
        <v>0</v>
      </c>
      <c r="F34" s="200">
        <f>SUMIF(修正!A45:A56,G2,修正!C45:C56)</f>
        <v>0.3</v>
      </c>
      <c r="G34" s="200">
        <f ca="1">ROUND(IF(E2="工业",C34*$M$39,C34*$M$38),0)</f>
        <v>394</v>
      </c>
      <c r="H34" s="200">
        <f t="shared" ref="H34:H39" si="8">D34</f>
        <v>0</v>
      </c>
      <c r="I34" s="200">
        <f t="shared" ref="I34:I39" ca="1" si="9">ROUND(G34*H34/10000,0)</f>
        <v>0</v>
      </c>
      <c r="J34" s="284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56" t="s">
        <v>2930</v>
      </c>
      <c r="C35" s="206">
        <f ca="1">ROUND(D5*C19*C20*C24*F35,0)</f>
        <v>1051</v>
      </c>
      <c r="D35" s="2828"/>
      <c r="E35" s="200">
        <f t="shared" ca="1" si="7"/>
        <v>0</v>
      </c>
      <c r="F35" s="200">
        <f>SUMIF(修正!A45:A56,G2,修正!D45:D56)</f>
        <v>0.2</v>
      </c>
      <c r="G35" s="200">
        <f ca="1">ROUND(IF(E2="工业",C35*$M$39,C35*$M$38),0)</f>
        <v>263</v>
      </c>
      <c r="H35" s="200">
        <f t="shared" si="8"/>
        <v>0</v>
      </c>
      <c r="I35" s="200">
        <f t="shared" ca="1" si="9"/>
        <v>0</v>
      </c>
      <c r="J35" s="2845"/>
      <c r="K35" s="1370"/>
      <c r="L35" s="1370"/>
      <c r="M35" s="1370"/>
      <c r="N35" s="1370"/>
      <c r="O35" s="1370"/>
      <c r="P35" s="1370"/>
      <c r="Q35" s="1370"/>
      <c r="R35" s="1370"/>
      <c r="S35" s="1370"/>
      <c r="T35" s="1370"/>
      <c r="U35" s="1370"/>
      <c r="V35" s="1370"/>
      <c r="W35" s="1370"/>
      <c r="X35" s="1370"/>
      <c r="Y35" s="1370"/>
      <c r="Z35" s="1371"/>
    </row>
    <row r="36" spans="1:37" ht="13.8" thickBot="1">
      <c r="A36" s="3309"/>
      <c r="B36" s="2756" t="s">
        <v>2931</v>
      </c>
      <c r="C36" s="206">
        <f ca="1">ROUND(D5*C19*C20*C24*F36,0)</f>
        <v>1051</v>
      </c>
      <c r="D36" s="2828"/>
      <c r="E36" s="200">
        <f t="shared" ca="1" si="7"/>
        <v>0</v>
      </c>
      <c r="F36" s="200">
        <f>SUMIF(修正!A45:A56,G2,修正!E45:E56)</f>
        <v>0.2</v>
      </c>
      <c r="G36" s="200">
        <f ca="1">ROUND(IF(E2="工业",C36*$M$39,C36*$M$38),0)</f>
        <v>263</v>
      </c>
      <c r="H36" s="200">
        <f t="shared" si="8"/>
        <v>0</v>
      </c>
      <c r="I36" s="200">
        <f t="shared" ca="1" si="9"/>
        <v>0</v>
      </c>
      <c r="J36" s="2845"/>
      <c r="K36" s="1370"/>
      <c r="L36" s="2710"/>
      <c r="M36" s="2710"/>
      <c r="N36" s="1370"/>
      <c r="O36" s="1370"/>
      <c r="P36" s="1370"/>
      <c r="Q36" s="1370"/>
      <c r="R36" s="1370"/>
      <c r="S36" s="1370"/>
      <c r="T36" s="1370"/>
      <c r="U36" s="1370"/>
      <c r="V36" s="1370"/>
      <c r="W36" s="1370"/>
      <c r="X36" s="1370"/>
      <c r="Y36" s="1370"/>
      <c r="Z36" s="1371"/>
    </row>
    <row r="37" spans="1:37">
      <c r="A37" s="2846"/>
      <c r="B37" s="2756" t="s">
        <v>2932</v>
      </c>
      <c r="C37" s="200">
        <f ca="1">ROUND(D5*C19*C20*C24*F37,0)</f>
        <v>1051</v>
      </c>
      <c r="D37" s="2828"/>
      <c r="E37" s="200">
        <f t="shared" ca="1" si="7"/>
        <v>0</v>
      </c>
      <c r="F37" s="206">
        <f>SUMIF(修正!A45:A56,G2,修正!F45:F56)</f>
        <v>0.2</v>
      </c>
      <c r="G37" s="200">
        <f ca="1">ROUND(IF(E2="工业",C37*$M$39,C37*$M$38),0)</f>
        <v>263</v>
      </c>
      <c r="H37" s="200">
        <f t="shared" si="8"/>
        <v>0</v>
      </c>
      <c r="I37" s="200">
        <f t="shared" ca="1" si="9"/>
        <v>0</v>
      </c>
      <c r="J37" s="2845"/>
      <c r="K37" s="1370"/>
      <c r="L37" s="2847" t="s">
        <v>2933</v>
      </c>
      <c r="M37" s="2848"/>
      <c r="N37" s="1370"/>
      <c r="O37" s="1370"/>
      <c r="P37" s="1370"/>
      <c r="Q37" s="1370"/>
      <c r="R37" s="1370"/>
      <c r="S37" s="1370"/>
      <c r="T37" s="1370"/>
      <c r="U37" s="1370"/>
      <c r="V37" s="1370"/>
      <c r="W37" s="1370"/>
      <c r="X37" s="1370"/>
      <c r="Y37" s="1370"/>
      <c r="Z37" s="1371"/>
    </row>
    <row r="38" spans="1:37">
      <c r="A38" s="2846"/>
      <c r="B38" s="2756" t="s">
        <v>2934</v>
      </c>
      <c r="C38" s="200">
        <f ca="1">ROUND(D5*C19*C41*C24*F38,0)</f>
        <v>1070</v>
      </c>
      <c r="D38" s="2828"/>
      <c r="E38" s="200">
        <f t="shared" ca="1" si="7"/>
        <v>0</v>
      </c>
      <c r="F38" s="206">
        <f>SUMIF(修正!A45:A56,G2,修正!G45:G56)</f>
        <v>0.2</v>
      </c>
      <c r="G38" s="200">
        <f ca="1">ROUND(IF(E2="工业",C38*$M$39,C38*$M$38),0)</f>
        <v>268</v>
      </c>
      <c r="H38" s="200">
        <f t="shared" si="8"/>
        <v>0</v>
      </c>
      <c r="I38" s="200">
        <f t="shared" ca="1" si="9"/>
        <v>0</v>
      </c>
      <c r="J38" s="2845"/>
      <c r="K38" s="1370"/>
      <c r="L38" s="1878" t="s">
        <v>2935</v>
      </c>
      <c r="M38" s="2849">
        <v>0.25</v>
      </c>
      <c r="N38" s="1370"/>
      <c r="O38" s="1370"/>
      <c r="P38" s="1370"/>
      <c r="Q38" s="1370"/>
      <c r="R38" s="1370"/>
      <c r="S38" s="1370"/>
      <c r="T38" s="1370"/>
      <c r="U38" s="1370"/>
      <c r="V38" s="1370"/>
      <c r="W38" s="1370"/>
      <c r="X38" s="1370"/>
      <c r="Y38" s="1370"/>
      <c r="Z38" s="1371"/>
    </row>
    <row r="39" spans="1:37" ht="13.8" thickBot="1">
      <c r="A39" s="2832"/>
      <c r="B39" s="2850" t="s">
        <v>2936</v>
      </c>
      <c r="C39" s="229">
        <f ca="1">ROUND(D5*C19*C41*C24*F39,0)</f>
        <v>803</v>
      </c>
      <c r="D39" s="2834"/>
      <c r="E39" s="229">
        <f t="shared" ca="1" si="7"/>
        <v>0</v>
      </c>
      <c r="F39" s="932">
        <f>SUMIF(修正!A45:A56,G2,修正!H45:H56)</f>
        <v>0.15</v>
      </c>
      <c r="G39" s="229">
        <f ca="1">ROUND(IF(E2="工业",C39*$M$39,C39*$M$38),0)</f>
        <v>201</v>
      </c>
      <c r="H39" s="229">
        <f t="shared" si="8"/>
        <v>0</v>
      </c>
      <c r="I39" s="229">
        <f t="shared" ca="1" si="9"/>
        <v>0</v>
      </c>
      <c r="J39" s="2851"/>
      <c r="K39" s="1370"/>
      <c r="L39" s="2852" t="s">
        <v>2880</v>
      </c>
      <c r="M39" s="285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1" t="s">
        <v>3041</v>
      </c>
      <c r="C41" s="388">
        <f ca="1">ROUND(POWER(1+E41,H41-G41)*(POWER(1+E41,G41)-1)/(POWER(1+E41,H41)-1),4)</f>
        <v>0.97719999999999996</v>
      </c>
      <c r="D41" s="200" t="s">
        <v>2887</v>
      </c>
      <c r="E41" s="2920">
        <f ca="1">G20</f>
        <v>5.3999999999999999E-2</v>
      </c>
      <c r="F41" s="200" t="s">
        <v>2896</v>
      </c>
      <c r="G41" s="218">
        <f>项目基本情况!F15</f>
        <v>45.1</v>
      </c>
      <c r="H41" s="200">
        <v>50</v>
      </c>
      <c r="Z41" s="1371"/>
      <c r="AA41" s="1371"/>
      <c r="AB41" s="1371"/>
      <c r="AC41" s="1371"/>
      <c r="AD41" s="1371"/>
      <c r="AE41" s="1371"/>
      <c r="AF41" s="1371"/>
      <c r="AG41" s="1371"/>
      <c r="AH41" s="1371"/>
      <c r="AI41" s="1371"/>
      <c r="AJ41" s="1371"/>
    </row>
    <row r="42" spans="1:37" s="1370" customFormat="1">
      <c r="A42" s="1371"/>
      <c r="B42" s="2854"/>
      <c r="Z42" s="1371"/>
      <c r="AA42" s="1371"/>
      <c r="AB42" s="1371"/>
      <c r="AC42" s="1371"/>
      <c r="AD42" s="1371"/>
      <c r="AE42" s="1371"/>
      <c r="AF42" s="1371"/>
      <c r="AG42" s="1371"/>
      <c r="AH42" s="1371"/>
      <c r="AI42" s="1371"/>
      <c r="AJ42" s="1371"/>
    </row>
    <row r="43" spans="1:37" s="1370" customFormat="1">
      <c r="A43" s="1371"/>
      <c r="B43" s="2854"/>
      <c r="Z43" s="1371"/>
      <c r="AA43" s="1371"/>
      <c r="AB43" s="1371"/>
      <c r="AC43" s="1371"/>
      <c r="AD43" s="1371"/>
      <c r="AE43" s="1371"/>
      <c r="AF43" s="1371"/>
      <c r="AG43" s="1371"/>
      <c r="AH43" s="1371"/>
      <c r="AI43" s="1371"/>
      <c r="AJ43" s="1371"/>
    </row>
    <row r="44" spans="1:37" s="1370" customFormat="1">
      <c r="A44" s="1371"/>
      <c r="B44" s="2854"/>
      <c r="Z44" s="1371"/>
      <c r="AA44" s="1371"/>
      <c r="AB44" s="1371"/>
      <c r="AC44" s="1371"/>
      <c r="AD44" s="1371"/>
      <c r="AE44" s="1371"/>
      <c r="AF44" s="1371"/>
      <c r="AG44" s="1371"/>
      <c r="AH44" s="1371"/>
      <c r="AI44" s="1371"/>
      <c r="AJ44" s="1371"/>
    </row>
    <row r="45" spans="1:37" s="1370" customFormat="1" ht="15" thickBot="1">
      <c r="A45" s="2855" t="s">
        <v>2937</v>
      </c>
      <c r="B45" s="2856"/>
      <c r="C45" s="7"/>
      <c r="D45" s="7"/>
      <c r="E45" s="7"/>
      <c r="F45" s="6"/>
      <c r="G45" s="6"/>
      <c r="H45" s="6"/>
      <c r="I45" s="7"/>
      <c r="J45" s="7"/>
      <c r="K45" s="7"/>
      <c r="L45" s="7"/>
      <c r="M45" s="7"/>
      <c r="N45" s="2774"/>
      <c r="Z45" s="1371"/>
      <c r="AA45" s="1371"/>
      <c r="AB45" s="1371"/>
      <c r="AC45" s="1371"/>
      <c r="AD45" s="1371"/>
      <c r="AE45" s="1371"/>
      <c r="AF45" s="1371"/>
      <c r="AG45" s="1371"/>
      <c r="AH45" s="1371"/>
      <c r="AI45" s="1371"/>
      <c r="AJ45" s="1371"/>
    </row>
    <row r="46" spans="1:37" s="1370" customFormat="1" ht="14.4">
      <c r="A46" s="2857" t="s">
        <v>2938</v>
      </c>
      <c r="B46" s="2858">
        <f>1+E48</f>
        <v>1.0246</v>
      </c>
      <c r="C46" s="2859"/>
      <c r="D46" s="814"/>
      <c r="E46" s="815"/>
      <c r="F46" s="2860"/>
      <c r="G46" s="6"/>
      <c r="H46" s="7"/>
      <c r="I46" s="7"/>
      <c r="J46" s="7"/>
      <c r="K46" s="7"/>
      <c r="L46" s="7"/>
      <c r="M46" s="7"/>
      <c r="N46" s="2774"/>
      <c r="Z46" s="1371"/>
      <c r="AA46" s="1371"/>
      <c r="AB46" s="1371"/>
      <c r="AC46" s="1371"/>
      <c r="AD46" s="1371"/>
      <c r="AE46" s="1371"/>
      <c r="AF46" s="1371"/>
      <c r="AG46" s="1371"/>
      <c r="AH46" s="1371"/>
      <c r="AI46" s="1371"/>
      <c r="AJ46" s="1371"/>
    </row>
    <row r="47" spans="1:37" s="1370" customFormat="1" ht="25.2">
      <c r="A47" s="2861" t="s">
        <v>2939</v>
      </c>
      <c r="B47" s="2981" t="s">
        <v>2940</v>
      </c>
      <c r="C47" s="2981" t="s">
        <v>2941</v>
      </c>
      <c r="D47" s="2981" t="s">
        <v>2942</v>
      </c>
      <c r="E47" s="819" t="s">
        <v>2943</v>
      </c>
      <c r="F47" s="2862" t="s">
        <v>2944</v>
      </c>
      <c r="G47" s="2981" t="s">
        <v>754</v>
      </c>
      <c r="H47" s="2863" t="s">
        <v>2945</v>
      </c>
      <c r="I47" s="298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2.8">
      <c r="A48" s="2861" t="s">
        <v>2947</v>
      </c>
      <c r="B48" s="2864" t="str">
        <f>估价对象房地状况!C4</f>
        <v>估价对象位于XX商圈，周边商业氛围成熟，人流量大，商业繁华度好</v>
      </c>
      <c r="C48" s="2761" t="s">
        <v>3126</v>
      </c>
      <c r="D48" s="1286">
        <f t="shared" ref="D48:D56" si="10">SUMIF($J$47:$N$47,C48,J48:N48)</f>
        <v>0</v>
      </c>
      <c r="E48" s="821">
        <f>ROUND(SUM(D48:D56),4)</f>
        <v>2.46E-2</v>
      </c>
      <c r="F48" s="2492">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6">
      <c r="A49" s="2861" t="s">
        <v>2948</v>
      </c>
      <c r="B49" s="2865" t="str">
        <f>估价对象房地状况!C18</f>
        <v>估价对象周边道路状况、公共交通通达情况、停车便捷程度，综合评价交通便捷度较好</v>
      </c>
      <c r="C49" s="2761" t="s">
        <v>3126</v>
      </c>
      <c r="D49" s="1286">
        <f t="shared" si="10"/>
        <v>0</v>
      </c>
      <c r="E49" s="822"/>
      <c r="F49" s="2492"/>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1" t="s">
        <v>2949</v>
      </c>
      <c r="B50" s="2865">
        <f>估价对象房地状况!C19</f>
        <v>0</v>
      </c>
      <c r="C50" s="2761" t="s">
        <v>3127</v>
      </c>
      <c r="D50" s="1286">
        <f t="shared" si="10"/>
        <v>3.7000000000000002E-3</v>
      </c>
      <c r="E50" s="822"/>
      <c r="F50" s="2492"/>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50.4">
      <c r="A51" s="2861" t="s">
        <v>2950</v>
      </c>
      <c r="B51" s="2866" t="s">
        <v>2951</v>
      </c>
      <c r="C51" s="2761" t="s">
        <v>3127</v>
      </c>
      <c r="D51" s="1286">
        <f t="shared" si="10"/>
        <v>3.7000000000000002E-3</v>
      </c>
      <c r="E51" s="822"/>
      <c r="F51" s="2492"/>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1" t="s">
        <v>2952</v>
      </c>
      <c r="B52" s="2865">
        <f>估价对象房地状况!C24</f>
        <v>0</v>
      </c>
      <c r="C52" s="2761" t="s">
        <v>3126</v>
      </c>
      <c r="D52" s="1286">
        <f t="shared" si="10"/>
        <v>0</v>
      </c>
      <c r="E52" s="822"/>
      <c r="F52" s="2492"/>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36">
      <c r="A53" s="2861" t="s">
        <v>2953</v>
      </c>
      <c r="B53" s="2867" t="s">
        <v>2954</v>
      </c>
      <c r="C53" s="2761" t="s">
        <v>3127</v>
      </c>
      <c r="D53" s="1286">
        <f t="shared" si="10"/>
        <v>2.2000000000000001E-3</v>
      </c>
      <c r="E53" s="822"/>
      <c r="F53" s="2492"/>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6.4">
      <c r="A54" s="2868" t="s">
        <v>2955</v>
      </c>
      <c r="B54" s="1724" t="str">
        <f>估价对象房地状况!C21</f>
        <v>估价对象所在区域公共配套设施齐备情况</v>
      </c>
      <c r="C54" s="2761" t="s">
        <v>3126</v>
      </c>
      <c r="D54" s="1286">
        <f t="shared" si="10"/>
        <v>0</v>
      </c>
      <c r="E54" s="822"/>
      <c r="F54" s="2492"/>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6.4">
      <c r="A55" s="2868" t="s">
        <v>2956</v>
      </c>
      <c r="B55" s="2865" t="str">
        <f>估价对象房地状况!C22</f>
        <v>估价对象所在区域基础设施水平</v>
      </c>
      <c r="C55" s="2761" t="s">
        <v>3210</v>
      </c>
      <c r="D55" s="1286">
        <f t="shared" si="10"/>
        <v>1.4999999999999999E-2</v>
      </c>
      <c r="E55" s="822"/>
      <c r="F55" s="2492"/>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40.200000000000003" thickBot="1">
      <c r="A56" s="2869" t="s">
        <v>2957</v>
      </c>
      <c r="B56" s="2870" t="str">
        <f>估价对象房地状况!C20</f>
        <v>区域自然环境：；人文环境；综合评价环境状况一般</v>
      </c>
      <c r="C56" s="2761" t="s">
        <v>3126</v>
      </c>
      <c r="D56" s="1286">
        <f t="shared" si="10"/>
        <v>0</v>
      </c>
      <c r="E56" s="825"/>
      <c r="F56" s="2492"/>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4.4">
      <c r="A57" s="2857" t="s">
        <v>2958</v>
      </c>
      <c r="B57" s="2858" t="e">
        <f>1+E59</f>
        <v>#VALUE!</v>
      </c>
      <c r="C57" s="814"/>
      <c r="D57" s="814"/>
      <c r="E57" s="815"/>
      <c r="F57" s="286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1" t="s">
        <v>2939</v>
      </c>
      <c r="B58" s="2981"/>
      <c r="C58" s="2981" t="s">
        <v>2941</v>
      </c>
      <c r="D58" s="2981" t="s">
        <v>2942</v>
      </c>
      <c r="E58" s="819" t="s">
        <v>2943</v>
      </c>
      <c r="F58" s="2862" t="s">
        <v>2959</v>
      </c>
      <c r="G58" s="2981" t="s">
        <v>754</v>
      </c>
      <c r="H58" s="2863" t="s">
        <v>2945</v>
      </c>
      <c r="I58" s="298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2.8">
      <c r="A59" s="2861" t="s">
        <v>2960</v>
      </c>
      <c r="B59" s="2864" t="str">
        <f>估价对象房地状况!C17</f>
        <v>估价对象位于XX商圈，周边办公楼项目较多，入驻率高，办公集聚程度较好</v>
      </c>
      <c r="C59" s="2761" t="s">
        <v>3126</v>
      </c>
      <c r="D59" s="1286">
        <f t="shared" ref="D59:D67" si="16">SUMIF($J$58:$N$58,C59,J59:N59)</f>
        <v>0</v>
      </c>
      <c r="E59" s="821" t="e">
        <f>ROUND(SUM(D59:D67),4)</f>
        <v>#VALUE!</v>
      </c>
      <c r="F59" s="2492" t="str">
        <f>IF(E2="办公",SUMIF(L1:L12,G2,N1:N12),"——")</f>
        <v>——</v>
      </c>
      <c r="G59" s="1284" t="str">
        <f>H59</f>
        <v>——</v>
      </c>
      <c r="H59" s="1288" t="str">
        <f t="shared" ref="H59:H67" si="17">IFERROR(ROUNDDOWN($F$59*I59/2,4),"——")</f>
        <v>——</v>
      </c>
      <c r="I59" s="820">
        <v>0.24</v>
      </c>
      <c r="J59" s="1285" t="e">
        <f t="shared" ref="J59:J67" si="18">K59+$G59</f>
        <v>#VALUE!</v>
      </c>
      <c r="K59" s="1285" t="e">
        <f t="shared" ref="K59:K67" si="19">$L59+$G59</f>
        <v>#VALUE!</v>
      </c>
      <c r="L59" s="1285">
        <v>0</v>
      </c>
      <c r="M59" s="1285" t="e">
        <f t="shared" ref="M59:N67" si="20">L59-$G59</f>
        <v>#VALUE!</v>
      </c>
      <c r="N59" s="1285" t="e">
        <f t="shared" si="20"/>
        <v>#VALUE!</v>
      </c>
      <c r="AA59" s="1371"/>
      <c r="AB59" s="1371"/>
      <c r="AC59" s="1371"/>
      <c r="AD59" s="1371"/>
      <c r="AE59" s="1371"/>
      <c r="AF59" s="1371"/>
      <c r="AG59" s="1371"/>
      <c r="AH59" s="1371"/>
      <c r="AI59" s="1371"/>
      <c r="AJ59" s="1371"/>
      <c r="AK59" s="1371"/>
    </row>
    <row r="60" spans="1:37" s="1370" customFormat="1" ht="66">
      <c r="A60" s="2861" t="s">
        <v>2948</v>
      </c>
      <c r="B60" s="2865" t="str">
        <f>估价对象房地状况!C18</f>
        <v>估价对象周边道路状况、公共交通通达情况、停车便捷程度，综合评价交通便捷度较好</v>
      </c>
      <c r="C60" s="2761" t="s">
        <v>3126</v>
      </c>
      <c r="D60" s="1286">
        <f t="shared" si="16"/>
        <v>0</v>
      </c>
      <c r="E60" s="822"/>
      <c r="F60" s="2492"/>
      <c r="G60" s="1284" t="str">
        <f t="shared" ref="G60:G67" si="21">H60</f>
        <v>——</v>
      </c>
      <c r="H60" s="1288" t="str">
        <f t="shared" si="17"/>
        <v>——</v>
      </c>
      <c r="I60" s="820">
        <v>0.3</v>
      </c>
      <c r="J60" s="1285" t="e">
        <f t="shared" si="18"/>
        <v>#VALUE!</v>
      </c>
      <c r="K60" s="1285" t="e">
        <f t="shared" si="19"/>
        <v>#VALUE!</v>
      </c>
      <c r="L60" s="1285">
        <v>0</v>
      </c>
      <c r="M60" s="1285" t="e">
        <f t="shared" si="20"/>
        <v>#VALUE!</v>
      </c>
      <c r="N60" s="1285" t="e">
        <f t="shared" si="20"/>
        <v>#VALUE!</v>
      </c>
      <c r="AA60" s="1371"/>
      <c r="AB60" s="1371"/>
      <c r="AC60" s="1371"/>
      <c r="AD60" s="1371"/>
      <c r="AE60" s="1371"/>
      <c r="AF60" s="1371"/>
      <c r="AG60" s="1371"/>
      <c r="AH60" s="1371"/>
      <c r="AI60" s="1371"/>
      <c r="AJ60" s="1371"/>
      <c r="AK60" s="1371"/>
    </row>
    <row r="61" spans="1:37" s="1370" customFormat="1" ht="24">
      <c r="A61" s="2861" t="s">
        <v>2949</v>
      </c>
      <c r="B61" s="2865">
        <f>估价对象房地状况!C19</f>
        <v>0</v>
      </c>
      <c r="C61" s="2761" t="s">
        <v>3127</v>
      </c>
      <c r="D61" s="1286" t="e">
        <f t="shared" si="16"/>
        <v>#VALUE!</v>
      </c>
      <c r="E61" s="822"/>
      <c r="F61" s="2492"/>
      <c r="G61" s="1284" t="str">
        <f t="shared" si="21"/>
        <v>——</v>
      </c>
      <c r="H61" s="1288" t="str">
        <f t="shared" si="17"/>
        <v>——</v>
      </c>
      <c r="I61" s="820">
        <v>0.08</v>
      </c>
      <c r="J61" s="1285" t="e">
        <f t="shared" si="18"/>
        <v>#VALUE!</v>
      </c>
      <c r="K61" s="1285" t="e">
        <f t="shared" si="19"/>
        <v>#VALUE!</v>
      </c>
      <c r="L61" s="1285">
        <v>0</v>
      </c>
      <c r="M61" s="1285" t="e">
        <f t="shared" si="20"/>
        <v>#VALUE!</v>
      </c>
      <c r="N61" s="1285" t="e">
        <f t="shared" si="20"/>
        <v>#VALUE!</v>
      </c>
      <c r="AA61" s="1371"/>
      <c r="AB61" s="1371"/>
      <c r="AC61" s="1371"/>
      <c r="AD61" s="1371"/>
      <c r="AE61" s="1371"/>
      <c r="AF61" s="1371"/>
      <c r="AG61" s="1371"/>
      <c r="AH61" s="1371"/>
      <c r="AI61" s="1371"/>
      <c r="AJ61" s="1371"/>
      <c r="AK61" s="1371"/>
    </row>
    <row r="62" spans="1:37" s="1370" customFormat="1" ht="50.4">
      <c r="A62" s="2861" t="s">
        <v>2950</v>
      </c>
      <c r="B62" s="2866" t="s">
        <v>2951</v>
      </c>
      <c r="C62" s="2761" t="s">
        <v>3127</v>
      </c>
      <c r="D62" s="1286" t="e">
        <f t="shared" si="16"/>
        <v>#VALUE!</v>
      </c>
      <c r="E62" s="822"/>
      <c r="F62" s="2492"/>
      <c r="G62" s="1284" t="str">
        <f t="shared" si="21"/>
        <v>——</v>
      </c>
      <c r="H62" s="1288" t="str">
        <f t="shared" si="17"/>
        <v>——</v>
      </c>
      <c r="I62" s="820">
        <v>0.04</v>
      </c>
      <c r="J62" s="1285" t="e">
        <f t="shared" si="18"/>
        <v>#VALUE!</v>
      </c>
      <c r="K62" s="1285" t="e">
        <f t="shared" si="19"/>
        <v>#VALUE!</v>
      </c>
      <c r="L62" s="1285">
        <v>0</v>
      </c>
      <c r="M62" s="1285" t="e">
        <f t="shared" si="20"/>
        <v>#VALUE!</v>
      </c>
      <c r="N62" s="1285" t="e">
        <f t="shared" si="20"/>
        <v>#VALUE!</v>
      </c>
      <c r="AA62" s="1371"/>
      <c r="AB62" s="1371"/>
      <c r="AC62" s="1371"/>
      <c r="AD62" s="1371"/>
      <c r="AE62" s="1371"/>
      <c r="AF62" s="1371"/>
      <c r="AG62" s="1371"/>
      <c r="AH62" s="1371"/>
      <c r="AI62" s="1371"/>
      <c r="AJ62" s="1371"/>
      <c r="AK62" s="1371"/>
    </row>
    <row r="63" spans="1:37" s="1370" customFormat="1" ht="24">
      <c r="A63" s="2861" t="s">
        <v>2952</v>
      </c>
      <c r="B63" s="2865">
        <f>估价对象房地状况!C24</f>
        <v>0</v>
      </c>
      <c r="C63" s="2761" t="s">
        <v>3126</v>
      </c>
      <c r="D63" s="1286">
        <f t="shared" si="16"/>
        <v>0</v>
      </c>
      <c r="E63" s="822"/>
      <c r="F63" s="2492"/>
      <c r="G63" s="1284" t="str">
        <f t="shared" si="21"/>
        <v>——</v>
      </c>
      <c r="H63" s="1288" t="str">
        <f t="shared" si="17"/>
        <v>——</v>
      </c>
      <c r="I63" s="820">
        <v>0.05</v>
      </c>
      <c r="J63" s="1285" t="e">
        <f t="shared" si="18"/>
        <v>#VALUE!</v>
      </c>
      <c r="K63" s="1285" t="e">
        <f t="shared" si="19"/>
        <v>#VALUE!</v>
      </c>
      <c r="L63" s="1285">
        <v>0</v>
      </c>
      <c r="M63" s="1285" t="e">
        <f t="shared" si="20"/>
        <v>#VALUE!</v>
      </c>
      <c r="N63" s="1285" t="e">
        <f t="shared" si="20"/>
        <v>#VALUE!</v>
      </c>
      <c r="AA63" s="1371"/>
      <c r="AB63" s="1371"/>
      <c r="AC63" s="1371"/>
      <c r="AD63" s="1371"/>
      <c r="AE63" s="1371"/>
      <c r="AF63" s="1371"/>
      <c r="AG63" s="1371"/>
      <c r="AH63" s="1371"/>
      <c r="AI63" s="1371"/>
      <c r="AJ63" s="1371"/>
      <c r="AK63" s="1371"/>
    </row>
    <row r="64" spans="1:37" s="1370" customFormat="1" ht="36">
      <c r="A64" s="2861" t="s">
        <v>2953</v>
      </c>
      <c r="B64" s="2867" t="s">
        <v>2954</v>
      </c>
      <c r="C64" s="2761" t="s">
        <v>3127</v>
      </c>
      <c r="D64" s="1286" t="e">
        <f t="shared" si="16"/>
        <v>#VALUE!</v>
      </c>
      <c r="E64" s="822"/>
      <c r="F64" s="2492"/>
      <c r="G64" s="1284" t="str">
        <f t="shared" si="21"/>
        <v>——</v>
      </c>
      <c r="H64" s="1288" t="str">
        <f t="shared" si="17"/>
        <v>——</v>
      </c>
      <c r="I64" s="820">
        <v>0.05</v>
      </c>
      <c r="J64" s="1285" t="e">
        <f t="shared" si="18"/>
        <v>#VALUE!</v>
      </c>
      <c r="K64" s="1285" t="e">
        <f t="shared" si="19"/>
        <v>#VALUE!</v>
      </c>
      <c r="L64" s="1285">
        <v>0</v>
      </c>
      <c r="M64" s="1285" t="e">
        <f t="shared" si="20"/>
        <v>#VALUE!</v>
      </c>
      <c r="N64" s="1285" t="e">
        <f t="shared" si="20"/>
        <v>#VALUE!</v>
      </c>
      <c r="AA64" s="1371"/>
      <c r="AB64" s="1371"/>
      <c r="AC64" s="1371"/>
      <c r="AD64" s="1371"/>
      <c r="AE64" s="1371"/>
      <c r="AF64" s="1371"/>
      <c r="AG64" s="1371"/>
      <c r="AH64" s="1371"/>
      <c r="AI64" s="1371"/>
      <c r="AJ64" s="1371"/>
      <c r="AK64" s="1371"/>
    </row>
    <row r="65" spans="1:37" s="1370" customFormat="1" ht="26.4">
      <c r="A65" s="2861" t="s">
        <v>2955</v>
      </c>
      <c r="B65" s="1724" t="str">
        <f>估价对象房地状况!C21</f>
        <v>估价对象所在区域公共配套设施齐备情况</v>
      </c>
      <c r="C65" s="2761" t="s">
        <v>3126</v>
      </c>
      <c r="D65" s="1286">
        <f t="shared" si="16"/>
        <v>0</v>
      </c>
      <c r="E65" s="822"/>
      <c r="F65" s="2492"/>
      <c r="G65" s="1284" t="str">
        <f t="shared" si="21"/>
        <v>——</v>
      </c>
      <c r="H65" s="1288" t="str">
        <f t="shared" si="17"/>
        <v>——</v>
      </c>
      <c r="I65" s="820">
        <v>0.06</v>
      </c>
      <c r="J65" s="1285" t="e">
        <f t="shared" si="18"/>
        <v>#VALUE!</v>
      </c>
      <c r="K65" s="1285" t="e">
        <f t="shared" si="19"/>
        <v>#VALUE!</v>
      </c>
      <c r="L65" s="1285">
        <v>0</v>
      </c>
      <c r="M65" s="1285" t="e">
        <f t="shared" si="20"/>
        <v>#VALUE!</v>
      </c>
      <c r="N65" s="1285" t="e">
        <f t="shared" si="20"/>
        <v>#VALUE!</v>
      </c>
      <c r="AA65" s="1371"/>
      <c r="AB65" s="1371"/>
      <c r="AC65" s="1371"/>
      <c r="AD65" s="1371"/>
      <c r="AE65" s="1371"/>
      <c r="AF65" s="1371"/>
      <c r="AG65" s="1371"/>
      <c r="AH65" s="1371"/>
      <c r="AI65" s="1371"/>
      <c r="AJ65" s="1371"/>
      <c r="AK65" s="1371"/>
    </row>
    <row r="66" spans="1:37" s="1370" customFormat="1" ht="26.4">
      <c r="A66" s="2861" t="s">
        <v>2956</v>
      </c>
      <c r="B66" s="1724" t="str">
        <f>估价对象房地状况!C22</f>
        <v>估价对象所在区域基础设施水平</v>
      </c>
      <c r="C66" s="2972" t="s">
        <v>3210</v>
      </c>
      <c r="D66" s="1286" t="e">
        <f t="shared" si="16"/>
        <v>#VALUE!</v>
      </c>
      <c r="E66" s="822"/>
      <c r="F66" s="2492"/>
      <c r="G66" s="1284" t="str">
        <f t="shared" si="21"/>
        <v>——</v>
      </c>
      <c r="H66" s="1288" t="str">
        <f t="shared" si="17"/>
        <v>——</v>
      </c>
      <c r="I66" s="820">
        <v>0.12</v>
      </c>
      <c r="J66" s="1285" t="e">
        <f t="shared" si="18"/>
        <v>#VALUE!</v>
      </c>
      <c r="K66" s="1285" t="e">
        <f t="shared" si="19"/>
        <v>#VALUE!</v>
      </c>
      <c r="L66" s="1285">
        <v>0</v>
      </c>
      <c r="M66" s="1285" t="e">
        <f t="shared" si="20"/>
        <v>#VALUE!</v>
      </c>
      <c r="N66" s="1285" t="e">
        <f t="shared" si="20"/>
        <v>#VALUE!</v>
      </c>
      <c r="AA66" s="1371"/>
      <c r="AB66" s="1371"/>
      <c r="AC66" s="1371"/>
      <c r="AD66" s="1371"/>
      <c r="AE66" s="1371"/>
      <c r="AF66" s="1371"/>
      <c r="AG66" s="1371"/>
      <c r="AH66" s="1371"/>
      <c r="AI66" s="1371"/>
      <c r="AJ66" s="1371"/>
      <c r="AK66" s="1371"/>
    </row>
    <row r="67" spans="1:37" s="1370" customFormat="1" ht="40.200000000000003" thickBot="1">
      <c r="A67" s="2869" t="s">
        <v>2957</v>
      </c>
      <c r="B67" s="2871" t="str">
        <f>估价对象房地状况!C20</f>
        <v>区域自然环境：；人文环境；综合评价环境状况一般</v>
      </c>
      <c r="C67" s="2761" t="s">
        <v>3126</v>
      </c>
      <c r="D67" s="1286">
        <f t="shared" si="16"/>
        <v>0</v>
      </c>
      <c r="E67" s="825"/>
      <c r="F67" s="2492"/>
      <c r="G67" s="1284" t="str">
        <f t="shared" si="21"/>
        <v>——</v>
      </c>
      <c r="H67" s="1288" t="str">
        <f t="shared" si="17"/>
        <v>——</v>
      </c>
      <c r="I67" s="824">
        <v>0.06</v>
      </c>
      <c r="J67" s="1285" t="e">
        <f t="shared" si="18"/>
        <v>#VALUE!</v>
      </c>
      <c r="K67" s="1285" t="e">
        <f t="shared" si="19"/>
        <v>#VALUE!</v>
      </c>
      <c r="L67" s="1285">
        <v>0</v>
      </c>
      <c r="M67" s="1285" t="e">
        <f t="shared" si="20"/>
        <v>#VALUE!</v>
      </c>
      <c r="N67" s="1285" t="e">
        <f t="shared" si="20"/>
        <v>#VALUE!</v>
      </c>
      <c r="AA67" s="1371"/>
      <c r="AB67" s="1371"/>
      <c r="AC67" s="1371"/>
      <c r="AD67" s="1371"/>
      <c r="AE67" s="1371"/>
      <c r="AF67" s="1371"/>
      <c r="AG67" s="1371"/>
      <c r="AH67" s="1371"/>
      <c r="AI67" s="1371"/>
      <c r="AJ67" s="1371"/>
      <c r="AK67" s="1371"/>
    </row>
    <row r="68" spans="1:37" s="1370" customFormat="1" ht="14.4">
      <c r="A68" s="2857" t="s">
        <v>2961</v>
      </c>
      <c r="B68" s="2858">
        <f>1+E70</f>
        <v>1</v>
      </c>
      <c r="C68" s="814"/>
      <c r="D68" s="814"/>
      <c r="E68" s="815"/>
      <c r="F68" s="286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1" t="s">
        <v>2939</v>
      </c>
      <c r="B69" s="2981"/>
      <c r="C69" s="2981" t="s">
        <v>2941</v>
      </c>
      <c r="D69" s="2981" t="s">
        <v>2942</v>
      </c>
      <c r="E69" s="819" t="s">
        <v>2943</v>
      </c>
      <c r="F69" s="2862" t="s">
        <v>2959</v>
      </c>
      <c r="G69" s="2981" t="s">
        <v>754</v>
      </c>
      <c r="H69" s="2863" t="s">
        <v>2945</v>
      </c>
      <c r="I69" s="298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6">
      <c r="A70" s="2861" t="s">
        <v>2962</v>
      </c>
      <c r="B70" s="2864" t="str">
        <f>估价对象房地状况!C15</f>
        <v>估价对象周边居住用地比例、居住小区规模和社区发展完善程度，综合评价居住社区成熟度一般</v>
      </c>
      <c r="C70" s="2761"/>
      <c r="D70" s="1286">
        <f t="shared" ref="D70:D78" si="22">SUMIF($J$69:$N$69,C70,J70:N70)</f>
        <v>0</v>
      </c>
      <c r="E70" s="821">
        <f>ROUND(SUM(D70:D78),4)</f>
        <v>0</v>
      </c>
      <c r="F70" s="2492" t="str">
        <f>IF(E2="住宅",SUMIF(L1:L12,G2,N1:N12),"——")</f>
        <v>——</v>
      </c>
      <c r="G70" s="1284"/>
      <c r="H70" s="1288" t="str">
        <f t="shared" ref="H70:H78" si="23">IFERROR(ROUNDDOWN($F$70*I70/2,4),"——")</f>
        <v>——</v>
      </c>
      <c r="I70" s="820">
        <v>0.14000000000000001</v>
      </c>
      <c r="J70" s="1285">
        <f t="shared" ref="J70:J78" si="24">K70+$G70</f>
        <v>0</v>
      </c>
      <c r="K70" s="1285">
        <f t="shared" ref="K70:K78" si="25">$L70+$G70</f>
        <v>0</v>
      </c>
      <c r="L70" s="1285">
        <v>0</v>
      </c>
      <c r="M70" s="1285">
        <f t="shared" ref="M70:N78" si="26">L70-$G70</f>
        <v>0</v>
      </c>
      <c r="N70" s="1285">
        <f t="shared" si="26"/>
        <v>0</v>
      </c>
      <c r="AA70" s="1371"/>
      <c r="AB70" s="1371"/>
      <c r="AC70" s="1371"/>
      <c r="AD70" s="1371"/>
      <c r="AE70" s="1371"/>
      <c r="AF70" s="1371"/>
      <c r="AG70" s="1371"/>
      <c r="AH70" s="1371"/>
      <c r="AI70" s="1371"/>
      <c r="AJ70" s="1371"/>
      <c r="AK70" s="1371"/>
    </row>
    <row r="71" spans="1:37" s="1370" customFormat="1" ht="66">
      <c r="A71" s="2861" t="s">
        <v>2948</v>
      </c>
      <c r="B71" s="2865" t="str">
        <f>估价对象房地状况!C18</f>
        <v>估价对象周边道路状况、公共交通通达情况、停车便捷程度，综合评价交通便捷度较好</v>
      </c>
      <c r="C71" s="2761"/>
      <c r="D71" s="1286">
        <f t="shared" si="22"/>
        <v>0</v>
      </c>
      <c r="E71" s="826"/>
      <c r="F71" s="2492"/>
      <c r="G71" s="1284"/>
      <c r="H71" s="1288" t="str">
        <f t="shared" si="23"/>
        <v>——</v>
      </c>
      <c r="I71" s="820">
        <v>0.3</v>
      </c>
      <c r="J71" s="1285">
        <f t="shared" si="24"/>
        <v>0</v>
      </c>
      <c r="K71" s="1285">
        <f t="shared" si="25"/>
        <v>0</v>
      </c>
      <c r="L71" s="1285">
        <v>0</v>
      </c>
      <c r="M71" s="1285">
        <f t="shared" si="26"/>
        <v>0</v>
      </c>
      <c r="N71" s="1285">
        <f t="shared" si="26"/>
        <v>0</v>
      </c>
      <c r="AA71" s="1371"/>
      <c r="AB71" s="1371"/>
      <c r="AC71" s="1371"/>
      <c r="AD71" s="1371"/>
      <c r="AE71" s="1371"/>
      <c r="AF71" s="1371"/>
      <c r="AG71" s="1371"/>
      <c r="AH71" s="1371"/>
      <c r="AI71" s="1371"/>
      <c r="AJ71" s="1371"/>
      <c r="AK71" s="1371"/>
    </row>
    <row r="72" spans="1:37" s="1370" customFormat="1" ht="24">
      <c r="A72" s="2861" t="s">
        <v>2949</v>
      </c>
      <c r="B72" s="2865">
        <f>估价对象房地状况!C19</f>
        <v>0</v>
      </c>
      <c r="C72" s="2761"/>
      <c r="D72" s="1286">
        <f t="shared" si="22"/>
        <v>0</v>
      </c>
      <c r="E72" s="826"/>
      <c r="F72" s="2492"/>
      <c r="G72" s="1284"/>
      <c r="H72" s="1288" t="str">
        <f t="shared" si="23"/>
        <v>——</v>
      </c>
      <c r="I72" s="820">
        <v>0.08</v>
      </c>
      <c r="J72" s="1285">
        <f t="shared" si="24"/>
        <v>0</v>
      </c>
      <c r="K72" s="1285">
        <f t="shared" si="25"/>
        <v>0</v>
      </c>
      <c r="L72" s="1285">
        <v>0</v>
      </c>
      <c r="M72" s="1285">
        <f t="shared" si="26"/>
        <v>0</v>
      </c>
      <c r="N72" s="1285">
        <f t="shared" si="26"/>
        <v>0</v>
      </c>
      <c r="AA72" s="1371"/>
      <c r="AB72" s="1371"/>
      <c r="AC72" s="1371"/>
      <c r="AD72" s="1371"/>
      <c r="AE72" s="1371"/>
      <c r="AF72" s="1371"/>
      <c r="AG72" s="1371"/>
      <c r="AH72" s="1371"/>
      <c r="AI72" s="1371"/>
      <c r="AJ72" s="1371"/>
      <c r="AK72" s="1371"/>
    </row>
    <row r="73" spans="1:37" s="1370" customFormat="1" ht="13.8">
      <c r="A73" s="2861" t="s">
        <v>2963</v>
      </c>
      <c r="B73" s="2865">
        <f>估价对象房地状况!C24</f>
        <v>0</v>
      </c>
      <c r="C73" s="2761"/>
      <c r="D73" s="1286">
        <f t="shared" si="22"/>
        <v>0</v>
      </c>
      <c r="E73" s="826"/>
      <c r="F73" s="2492"/>
      <c r="G73" s="1284"/>
      <c r="H73" s="1288" t="str">
        <f t="shared" si="23"/>
        <v>——</v>
      </c>
      <c r="I73" s="820">
        <v>0.04</v>
      </c>
      <c r="J73" s="1285">
        <f t="shared" si="24"/>
        <v>0</v>
      </c>
      <c r="K73" s="1285">
        <f t="shared" si="25"/>
        <v>0</v>
      </c>
      <c r="L73" s="1285">
        <v>0</v>
      </c>
      <c r="M73" s="1285">
        <f t="shared" si="26"/>
        <v>0</v>
      </c>
      <c r="N73" s="1285">
        <f t="shared" si="26"/>
        <v>0</v>
      </c>
      <c r="AA73" s="1371"/>
      <c r="AB73" s="1371"/>
      <c r="AC73" s="1371"/>
      <c r="AD73" s="1371"/>
      <c r="AE73" s="1371"/>
      <c r="AF73" s="1371"/>
      <c r="AG73" s="1371"/>
      <c r="AH73" s="1371"/>
      <c r="AI73" s="1371"/>
      <c r="AJ73" s="1371"/>
      <c r="AK73" s="1371"/>
    </row>
    <row r="74" spans="1:37" s="1370" customFormat="1" ht="26.4">
      <c r="A74" s="2861" t="s">
        <v>2955</v>
      </c>
      <c r="B74" s="1724" t="str">
        <f>估价对象房地状况!C21</f>
        <v>估价对象所在区域公共配套设施齐备情况</v>
      </c>
      <c r="C74" s="2761"/>
      <c r="D74" s="1286">
        <f t="shared" si="22"/>
        <v>0</v>
      </c>
      <c r="E74" s="826"/>
      <c r="F74" s="2492"/>
      <c r="G74" s="1284"/>
      <c r="H74" s="1288" t="str">
        <f t="shared" si="23"/>
        <v>——</v>
      </c>
      <c r="I74" s="820">
        <v>0.08</v>
      </c>
      <c r="J74" s="1285">
        <f t="shared" si="24"/>
        <v>0</v>
      </c>
      <c r="K74" s="1285">
        <f t="shared" si="25"/>
        <v>0</v>
      </c>
      <c r="L74" s="1285">
        <v>0</v>
      </c>
      <c r="M74" s="1285">
        <f t="shared" si="26"/>
        <v>0</v>
      </c>
      <c r="N74" s="1285">
        <f t="shared" si="26"/>
        <v>0</v>
      </c>
      <c r="AA74" s="1371"/>
      <c r="AB74" s="1371"/>
      <c r="AC74" s="1371"/>
      <c r="AD74" s="1371"/>
      <c r="AE74" s="1371"/>
      <c r="AF74" s="1371"/>
      <c r="AG74" s="1371"/>
      <c r="AH74" s="1371"/>
      <c r="AI74" s="1371"/>
      <c r="AJ74" s="1371"/>
      <c r="AK74" s="1371"/>
    </row>
    <row r="75" spans="1:37" s="1370" customFormat="1" ht="26.4">
      <c r="A75" s="2861" t="s">
        <v>2956</v>
      </c>
      <c r="B75" s="1724" t="str">
        <f>估价对象房地状况!C22</f>
        <v>估价对象所在区域基础设施水平</v>
      </c>
      <c r="C75" s="2761"/>
      <c r="D75" s="1286">
        <f t="shared" si="22"/>
        <v>0</v>
      </c>
      <c r="E75" s="826"/>
      <c r="F75" s="2492"/>
      <c r="G75" s="1284"/>
      <c r="H75" s="1288" t="str">
        <f t="shared" si="23"/>
        <v>——</v>
      </c>
      <c r="I75" s="820">
        <v>0.12</v>
      </c>
      <c r="J75" s="1285">
        <f t="shared" si="24"/>
        <v>0</v>
      </c>
      <c r="K75" s="1285">
        <f t="shared" si="25"/>
        <v>0</v>
      </c>
      <c r="L75" s="1285">
        <v>0</v>
      </c>
      <c r="M75" s="1285">
        <f t="shared" si="26"/>
        <v>0</v>
      </c>
      <c r="N75" s="1285">
        <f t="shared" si="26"/>
        <v>0</v>
      </c>
      <c r="AA75" s="1371"/>
      <c r="AB75" s="1371"/>
      <c r="AC75" s="1371"/>
      <c r="AD75" s="1371"/>
      <c r="AE75" s="1371"/>
      <c r="AF75" s="1371"/>
      <c r="AG75" s="1371"/>
      <c r="AH75" s="1371"/>
      <c r="AI75" s="1371"/>
      <c r="AJ75" s="1371"/>
      <c r="AK75" s="1371"/>
    </row>
    <row r="76" spans="1:37" s="2710" customFormat="1" ht="36">
      <c r="A76" s="2861" t="s">
        <v>2953</v>
      </c>
      <c r="B76" s="2867" t="s">
        <v>2954</v>
      </c>
      <c r="C76" s="2761"/>
      <c r="D76" s="1286">
        <f t="shared" si="22"/>
        <v>0</v>
      </c>
      <c r="E76" s="826"/>
      <c r="F76" s="2492"/>
      <c r="G76" s="1284"/>
      <c r="H76" s="1288" t="str">
        <f t="shared" si="23"/>
        <v>——</v>
      </c>
      <c r="I76" s="820">
        <v>0.05</v>
      </c>
      <c r="J76" s="1285">
        <f t="shared" si="24"/>
        <v>0</v>
      </c>
      <c r="K76" s="1285">
        <f t="shared" si="25"/>
        <v>0</v>
      </c>
      <c r="L76" s="1285">
        <v>0</v>
      </c>
      <c r="M76" s="1285">
        <f t="shared" si="26"/>
        <v>0</v>
      </c>
      <c r="N76" s="1285">
        <f t="shared" si="26"/>
        <v>0</v>
      </c>
      <c r="AA76" s="2872"/>
      <c r="AB76" s="1371"/>
      <c r="AC76" s="1371"/>
      <c r="AD76" s="1371"/>
      <c r="AE76" s="1371"/>
      <c r="AF76" s="1371"/>
      <c r="AG76" s="1371"/>
      <c r="AH76" s="2872"/>
      <c r="AI76" s="2872"/>
      <c r="AJ76" s="2872"/>
      <c r="AK76" s="2872"/>
    </row>
    <row r="77" spans="1:37" ht="39.6">
      <c r="A77" s="2861" t="s">
        <v>2957</v>
      </c>
      <c r="B77" s="2864" t="str">
        <f>估价对象房地状况!C20</f>
        <v>区域自然环境：；人文环境；综合评价环境状况一般</v>
      </c>
      <c r="C77" s="2761"/>
      <c r="D77" s="1286">
        <f t="shared" si="22"/>
        <v>0</v>
      </c>
      <c r="E77" s="826"/>
      <c r="F77" s="2492"/>
      <c r="G77" s="1284"/>
      <c r="H77" s="1288" t="str">
        <f t="shared" si="23"/>
        <v>——</v>
      </c>
      <c r="I77" s="820">
        <v>0.15</v>
      </c>
      <c r="J77" s="1285">
        <f t="shared" si="24"/>
        <v>0</v>
      </c>
      <c r="K77" s="1285">
        <f t="shared" si="25"/>
        <v>0</v>
      </c>
      <c r="L77" s="1285">
        <v>0</v>
      </c>
      <c r="M77" s="1285">
        <f t="shared" si="26"/>
        <v>0</v>
      </c>
      <c r="N77" s="1285">
        <f t="shared" si="26"/>
        <v>0</v>
      </c>
      <c r="Z77" s="2711"/>
      <c r="AA77" s="2779"/>
      <c r="AG77" s="1372"/>
      <c r="AK77" s="2779"/>
    </row>
    <row r="78" spans="1:37" ht="36.6" thickBot="1">
      <c r="A78" s="2869" t="s">
        <v>2964</v>
      </c>
      <c r="B78" s="2873"/>
      <c r="C78" s="2761"/>
      <c r="D78" s="1286">
        <f t="shared" si="22"/>
        <v>0</v>
      </c>
      <c r="E78" s="827"/>
      <c r="F78" s="2492"/>
      <c r="G78" s="1284"/>
      <c r="H78" s="1288" t="str">
        <f t="shared" si="23"/>
        <v>——</v>
      </c>
      <c r="I78" s="824">
        <v>0.04</v>
      </c>
      <c r="J78" s="1285">
        <f t="shared" si="24"/>
        <v>0</v>
      </c>
      <c r="K78" s="1285">
        <f t="shared" si="25"/>
        <v>0</v>
      </c>
      <c r="L78" s="1285">
        <v>0</v>
      </c>
      <c r="M78" s="1285">
        <f t="shared" si="26"/>
        <v>0</v>
      </c>
      <c r="N78" s="1285">
        <f t="shared" si="26"/>
        <v>0</v>
      </c>
      <c r="Z78" s="2711"/>
      <c r="AA78" s="2779"/>
      <c r="AG78" s="1372"/>
      <c r="AK78" s="2779"/>
    </row>
    <row r="79" spans="1:37" ht="14.4">
      <c r="A79" s="2857" t="s">
        <v>2965</v>
      </c>
      <c r="B79" s="2858">
        <f>1+E81</f>
        <v>1</v>
      </c>
      <c r="C79" s="814"/>
      <c r="D79" s="814"/>
      <c r="E79" s="815"/>
      <c r="F79" s="2860"/>
      <c r="G79" s="6"/>
      <c r="H79" s="6"/>
      <c r="I79" s="6"/>
      <c r="J79" s="7"/>
      <c r="K79" s="7"/>
      <c r="L79" s="7"/>
      <c r="M79" s="7"/>
      <c r="N79" s="7"/>
      <c r="Z79" s="2711"/>
      <c r="AA79" s="2779"/>
      <c r="AG79" s="1372"/>
      <c r="AK79" s="2779"/>
    </row>
    <row r="80" spans="1:37" ht="25.2">
      <c r="A80" s="2861" t="s">
        <v>2939</v>
      </c>
      <c r="B80" s="2981"/>
      <c r="C80" s="2981" t="s">
        <v>2941</v>
      </c>
      <c r="D80" s="2981" t="s">
        <v>2942</v>
      </c>
      <c r="E80" s="819" t="s">
        <v>2943</v>
      </c>
      <c r="F80" s="2862" t="s">
        <v>2959</v>
      </c>
      <c r="G80" s="2981" t="s">
        <v>754</v>
      </c>
      <c r="H80" s="2863" t="s">
        <v>2945</v>
      </c>
      <c r="I80" s="2981" t="s">
        <v>2946</v>
      </c>
      <c r="J80" s="603" t="s">
        <v>2596</v>
      </c>
      <c r="K80" s="603" t="s">
        <v>2597</v>
      </c>
      <c r="L80" s="603" t="s">
        <v>2598</v>
      </c>
      <c r="M80" s="603" t="s">
        <v>2599</v>
      </c>
      <c r="N80" s="603" t="s">
        <v>2600</v>
      </c>
      <c r="Z80" s="2711"/>
      <c r="AA80" s="2779"/>
      <c r="AG80" s="1372"/>
      <c r="AK80" s="2779"/>
    </row>
    <row r="81" spans="1:37" ht="39.6">
      <c r="A81" s="2861" t="s">
        <v>2966</v>
      </c>
      <c r="B81" s="2865" t="str">
        <f>估价对象房地状况!G15</f>
        <v>估价对象位于XX开发区，园区建设成熟度XX，产业集聚程度XX</v>
      </c>
      <c r="C81" s="2761"/>
      <c r="D81" s="1286">
        <f t="shared" ref="D81:D88" si="27">SUMIF($J$80:$N$80,C81,J81:N81)</f>
        <v>0</v>
      </c>
      <c r="E81" s="821">
        <f>ROUND(SUM(D81:D88),4)</f>
        <v>0</v>
      </c>
      <c r="F81" s="2492" t="str">
        <f>IF(E2="工业",SUMIF(L1:L12,G2,N1:N12),"——")</f>
        <v>——</v>
      </c>
      <c r="G81" s="1284"/>
      <c r="H81" s="1288" t="str">
        <f t="shared" ref="H81:H88" si="28">IFERROR(ROUNDDOWN($F$81*I81/2,4),"——")</f>
        <v>——</v>
      </c>
      <c r="I81" s="820">
        <v>0.26</v>
      </c>
      <c r="J81" s="1285">
        <f t="shared" ref="J81:J88" si="29">K81+$G81</f>
        <v>0</v>
      </c>
      <c r="K81" s="1285">
        <f t="shared" ref="K81:K88" si="30">$L81+$G81</f>
        <v>0</v>
      </c>
      <c r="L81" s="1285">
        <v>0</v>
      </c>
      <c r="M81" s="1285">
        <f t="shared" ref="M81:N88" si="31">L81-$G81</f>
        <v>0</v>
      </c>
      <c r="N81" s="1285">
        <f t="shared" si="31"/>
        <v>0</v>
      </c>
      <c r="Z81" s="2711"/>
      <c r="AA81" s="2779"/>
      <c r="AG81" s="1372"/>
      <c r="AK81" s="2779"/>
    </row>
    <row r="82" spans="1:37" ht="66">
      <c r="A82" s="2861" t="s">
        <v>2948</v>
      </c>
      <c r="B82" s="2865" t="str">
        <f>估价对象房地状况!G16</f>
        <v>估价对象周边道路状况、公共交通通达情况、停车便捷程度，综合评价交通便捷度较好</v>
      </c>
      <c r="C82" s="2761"/>
      <c r="D82" s="1286">
        <f t="shared" si="27"/>
        <v>0</v>
      </c>
      <c r="E82" s="826"/>
      <c r="F82" s="2492"/>
      <c r="G82" s="1284"/>
      <c r="H82" s="1288" t="str">
        <f t="shared" si="28"/>
        <v>——</v>
      </c>
      <c r="I82" s="820">
        <v>0.33</v>
      </c>
      <c r="J82" s="1285">
        <f t="shared" si="29"/>
        <v>0</v>
      </c>
      <c r="K82" s="1285">
        <f t="shared" si="30"/>
        <v>0</v>
      </c>
      <c r="L82" s="1285">
        <v>0</v>
      </c>
      <c r="M82" s="1285">
        <f t="shared" si="31"/>
        <v>0</v>
      </c>
      <c r="N82" s="1285">
        <f t="shared" si="31"/>
        <v>0</v>
      </c>
      <c r="Z82" s="2711"/>
      <c r="AA82" s="2779"/>
      <c r="AG82" s="1372"/>
      <c r="AK82" s="2779"/>
    </row>
    <row r="83" spans="1:37" ht="24">
      <c r="A83" s="2861" t="s">
        <v>2949</v>
      </c>
      <c r="B83" s="2865">
        <f>估价对象房地状况!G17</f>
        <v>0</v>
      </c>
      <c r="C83" s="2761"/>
      <c r="D83" s="1286">
        <f t="shared" si="27"/>
        <v>0</v>
      </c>
      <c r="E83" s="826"/>
      <c r="F83" s="2492"/>
      <c r="G83" s="1284"/>
      <c r="H83" s="1288" t="str">
        <f t="shared" si="28"/>
        <v>——</v>
      </c>
      <c r="I83" s="820">
        <v>0.05</v>
      </c>
      <c r="J83" s="1285">
        <f t="shared" si="29"/>
        <v>0</v>
      </c>
      <c r="K83" s="1285">
        <f t="shared" si="30"/>
        <v>0</v>
      </c>
      <c r="L83" s="1285">
        <v>0</v>
      </c>
      <c r="M83" s="1285">
        <f t="shared" si="31"/>
        <v>0</v>
      </c>
      <c r="N83" s="1285">
        <f t="shared" si="31"/>
        <v>0</v>
      </c>
      <c r="Z83" s="2711"/>
      <c r="AA83" s="2779"/>
      <c r="AG83" s="1372"/>
      <c r="AK83" s="2779"/>
    </row>
    <row r="84" spans="1:37" ht="13.8">
      <c r="A84" s="2861" t="s">
        <v>2963</v>
      </c>
      <c r="B84" s="2865">
        <f>估价对象房地状况!G22</f>
        <v>0</v>
      </c>
      <c r="C84" s="2761"/>
      <c r="D84" s="1286">
        <f t="shared" si="27"/>
        <v>0</v>
      </c>
      <c r="E84" s="826"/>
      <c r="F84" s="2492"/>
      <c r="G84" s="1284"/>
      <c r="H84" s="1288" t="str">
        <f t="shared" si="28"/>
        <v>——</v>
      </c>
      <c r="I84" s="820">
        <v>0.04</v>
      </c>
      <c r="J84" s="1285">
        <f t="shared" si="29"/>
        <v>0</v>
      </c>
      <c r="K84" s="1285">
        <f t="shared" si="30"/>
        <v>0</v>
      </c>
      <c r="L84" s="1285">
        <v>0</v>
      </c>
      <c r="M84" s="1285">
        <f t="shared" si="31"/>
        <v>0</v>
      </c>
      <c r="N84" s="1285">
        <f t="shared" si="31"/>
        <v>0</v>
      </c>
      <c r="Z84" s="2711"/>
      <c r="AA84" s="2779"/>
      <c r="AG84" s="1372"/>
      <c r="AK84" s="2779"/>
    </row>
    <row r="85" spans="1:37" ht="26.4">
      <c r="A85" s="2861" t="s">
        <v>2955</v>
      </c>
      <c r="B85" s="1724" t="str">
        <f>估价对象房地状况!G19</f>
        <v>估价对象所在区域公共配套设施齐备情况</v>
      </c>
      <c r="C85" s="2761"/>
      <c r="D85" s="1286">
        <f t="shared" si="27"/>
        <v>0</v>
      </c>
      <c r="E85" s="826"/>
      <c r="F85" s="2492"/>
      <c r="G85" s="1284"/>
      <c r="H85" s="1288" t="str">
        <f t="shared" si="28"/>
        <v>——</v>
      </c>
      <c r="I85" s="820">
        <v>0.06</v>
      </c>
      <c r="J85" s="1285">
        <f t="shared" si="29"/>
        <v>0</v>
      </c>
      <c r="K85" s="1285">
        <f t="shared" si="30"/>
        <v>0</v>
      </c>
      <c r="L85" s="1285">
        <v>0</v>
      </c>
      <c r="M85" s="1285">
        <f t="shared" si="31"/>
        <v>0</v>
      </c>
      <c r="N85" s="1285">
        <f t="shared" si="31"/>
        <v>0</v>
      </c>
      <c r="Z85" s="2711"/>
      <c r="AA85" s="2779"/>
      <c r="AG85" s="1372"/>
      <c r="AK85" s="2779"/>
    </row>
    <row r="86" spans="1:37" ht="26.4">
      <c r="A86" s="2861" t="s">
        <v>2956</v>
      </c>
      <c r="B86" s="1724" t="str">
        <f>估价对象房地状况!G20</f>
        <v>估价对象所在区域基础设施水平</v>
      </c>
      <c r="C86" s="2761"/>
      <c r="D86" s="1286">
        <f t="shared" si="27"/>
        <v>0</v>
      </c>
      <c r="E86" s="826"/>
      <c r="F86" s="2492"/>
      <c r="G86" s="1284"/>
      <c r="H86" s="1288" t="str">
        <f t="shared" si="28"/>
        <v>——</v>
      </c>
      <c r="I86" s="820">
        <v>0.15</v>
      </c>
      <c r="J86" s="1285">
        <f t="shared" si="29"/>
        <v>0</v>
      </c>
      <c r="K86" s="1285">
        <f t="shared" si="30"/>
        <v>0</v>
      </c>
      <c r="L86" s="1285">
        <v>0</v>
      </c>
      <c r="M86" s="1285">
        <f t="shared" si="31"/>
        <v>0</v>
      </c>
      <c r="N86" s="1285">
        <f t="shared" si="31"/>
        <v>0</v>
      </c>
      <c r="Z86" s="2711"/>
      <c r="AA86" s="2779"/>
      <c r="AG86" s="1372"/>
      <c r="AK86" s="2779"/>
    </row>
    <row r="87" spans="1:37" ht="36">
      <c r="A87" s="2861" t="s">
        <v>2953</v>
      </c>
      <c r="B87" s="2867" t="s">
        <v>2967</v>
      </c>
      <c r="C87" s="2761"/>
      <c r="D87" s="1286">
        <f t="shared" si="27"/>
        <v>0</v>
      </c>
      <c r="E87" s="826"/>
      <c r="F87" s="2492"/>
      <c r="G87" s="1284"/>
      <c r="H87" s="1288" t="str">
        <f t="shared" si="28"/>
        <v>——</v>
      </c>
      <c r="I87" s="820">
        <v>0.05</v>
      </c>
      <c r="J87" s="1285">
        <f t="shared" si="29"/>
        <v>0</v>
      </c>
      <c r="K87" s="1285">
        <f t="shared" si="30"/>
        <v>0</v>
      </c>
      <c r="L87" s="1285">
        <v>0</v>
      </c>
      <c r="M87" s="1285">
        <f t="shared" si="31"/>
        <v>0</v>
      </c>
      <c r="N87" s="1285">
        <f t="shared" si="31"/>
        <v>0</v>
      </c>
      <c r="Z87" s="2711"/>
      <c r="AA87" s="2779"/>
      <c r="AG87" s="1372"/>
      <c r="AK87" s="2779"/>
    </row>
    <row r="88" spans="1:37" ht="53.4" thickBot="1">
      <c r="A88" s="2869" t="s">
        <v>2968</v>
      </c>
      <c r="B88" s="2874" t="str">
        <f>估价对象房地状况!G18</f>
        <v>该园区内是否有污染型企业，绿化情况，卫生条件，整体环境状况判断</v>
      </c>
      <c r="C88" s="2761"/>
      <c r="D88" s="1286">
        <f t="shared" si="27"/>
        <v>0</v>
      </c>
      <c r="E88" s="827"/>
      <c r="F88" s="2492"/>
      <c r="G88" s="1284"/>
      <c r="H88" s="1288" t="str">
        <f t="shared" si="28"/>
        <v>——</v>
      </c>
      <c r="I88" s="824">
        <v>0.06</v>
      </c>
      <c r="J88" s="1285">
        <f t="shared" si="29"/>
        <v>0</v>
      </c>
      <c r="K88" s="1285">
        <f t="shared" si="30"/>
        <v>0</v>
      </c>
      <c r="L88" s="1285">
        <v>0</v>
      </c>
      <c r="M88" s="1285">
        <f t="shared" si="31"/>
        <v>0</v>
      </c>
      <c r="N88" s="1285">
        <f t="shared" si="31"/>
        <v>0</v>
      </c>
      <c r="Z88" s="2711"/>
      <c r="AA88" s="2779"/>
      <c r="AG88" s="1372"/>
      <c r="AK88" s="2779"/>
    </row>
    <row r="90" spans="1:37">
      <c r="A90" s="3301" t="s">
        <v>2969</v>
      </c>
      <c r="B90" s="3301"/>
      <c r="C90" s="3301"/>
      <c r="D90" s="3301"/>
      <c r="E90" s="3301"/>
      <c r="F90" s="3301"/>
      <c r="G90" s="3301"/>
      <c r="H90" s="3301"/>
      <c r="I90" s="3301"/>
      <c r="J90" s="3301"/>
      <c r="K90" s="2986"/>
      <c r="L90" s="2986"/>
      <c r="M90" s="2986"/>
      <c r="N90" s="2986"/>
    </row>
    <row r="91" spans="1:37">
      <c r="A91" s="3303" t="s">
        <v>2970</v>
      </c>
      <c r="B91" s="3303" t="s">
        <v>2971</v>
      </c>
      <c r="C91" s="2829" t="s">
        <v>2972</v>
      </c>
      <c r="D91" s="2830"/>
      <c r="E91" s="2830"/>
      <c r="F91" s="2830"/>
      <c r="G91" s="2830"/>
      <c r="H91" s="2830"/>
      <c r="I91" s="2830"/>
      <c r="J91" s="2876"/>
      <c r="K91" s="2877"/>
      <c r="L91" s="2877"/>
      <c r="M91" s="2877"/>
      <c r="N91" s="2877"/>
    </row>
    <row r="92" spans="1:37">
      <c r="A92" s="3303"/>
      <c r="B92" s="3303"/>
      <c r="C92" s="2988" t="s">
        <v>2839</v>
      </c>
      <c r="D92" s="2988" t="s">
        <v>2840</v>
      </c>
      <c r="E92" s="2988" t="s">
        <v>2841</v>
      </c>
      <c r="F92" s="2988" t="s">
        <v>2842</v>
      </c>
      <c r="G92" s="2988" t="s">
        <v>2843</v>
      </c>
      <c r="H92" s="2988" t="s">
        <v>2844</v>
      </c>
      <c r="I92" s="2988" t="s">
        <v>2845</v>
      </c>
      <c r="J92" s="2988" t="s">
        <v>2846</v>
      </c>
      <c r="K92" s="2988" t="s">
        <v>2847</v>
      </c>
      <c r="L92" s="2988" t="s">
        <v>2848</v>
      </c>
      <c r="M92" s="2988" t="s">
        <v>2849</v>
      </c>
      <c r="N92" s="2988" t="s">
        <v>2850</v>
      </c>
    </row>
    <row r="93" spans="1:37">
      <c r="A93" s="3304"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0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0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0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0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0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05"/>
      <c r="B99" s="2878" t="s">
        <v>2855</v>
      </c>
      <c r="C99" s="2880">
        <f>$I$3</f>
        <v>1</v>
      </c>
      <c r="D99" s="2880">
        <f t="shared" ref="D99:M99" si="32">$I$3</f>
        <v>1</v>
      </c>
      <c r="E99" s="2880">
        <f t="shared" si="32"/>
        <v>1</v>
      </c>
      <c r="F99" s="2880">
        <f t="shared" si="32"/>
        <v>1</v>
      </c>
      <c r="G99" s="2880">
        <f t="shared" si="32"/>
        <v>1</v>
      </c>
      <c r="H99" s="2880">
        <f t="shared" si="32"/>
        <v>1</v>
      </c>
      <c r="I99" s="2880">
        <f t="shared" si="32"/>
        <v>1</v>
      </c>
      <c r="J99" s="2880">
        <f t="shared" si="32"/>
        <v>1</v>
      </c>
      <c r="K99" s="2880">
        <f t="shared" si="32"/>
        <v>1</v>
      </c>
      <c r="L99" s="2880">
        <f t="shared" si="32"/>
        <v>1</v>
      </c>
      <c r="M99" s="2880">
        <f t="shared" si="32"/>
        <v>1</v>
      </c>
      <c r="N99" s="2880">
        <f>$I$3</f>
        <v>1</v>
      </c>
    </row>
    <row r="100" spans="1:14">
      <c r="A100" s="3306"/>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04" t="s">
        <v>2974</v>
      </c>
      <c r="B101" s="2882" t="s">
        <v>2975</v>
      </c>
      <c r="C101" s="2883">
        <f>$G$3</f>
        <v>2.14</v>
      </c>
      <c r="D101" s="2883">
        <f t="shared" ref="D101:N101" si="33">$G$3</f>
        <v>2.14</v>
      </c>
      <c r="E101" s="2883">
        <f t="shared" si="33"/>
        <v>2.14</v>
      </c>
      <c r="F101" s="2883">
        <f t="shared" si="33"/>
        <v>2.14</v>
      </c>
      <c r="G101" s="2883">
        <f t="shared" si="33"/>
        <v>2.14</v>
      </c>
      <c r="H101" s="2883">
        <f t="shared" si="33"/>
        <v>2.14</v>
      </c>
      <c r="I101" s="2883">
        <f t="shared" si="33"/>
        <v>2.14</v>
      </c>
      <c r="J101" s="2883">
        <f t="shared" si="33"/>
        <v>2.14</v>
      </c>
      <c r="K101" s="2883">
        <f t="shared" si="33"/>
        <v>2.14</v>
      </c>
      <c r="L101" s="2883">
        <f t="shared" si="33"/>
        <v>2.14</v>
      </c>
      <c r="M101" s="2883">
        <f t="shared" si="33"/>
        <v>2.14</v>
      </c>
      <c r="N101" s="2883">
        <f t="shared" si="33"/>
        <v>2.14</v>
      </c>
    </row>
    <row r="102" spans="1:14">
      <c r="A102" s="3305"/>
      <c r="B102" s="2878">
        <v>1</v>
      </c>
      <c r="C102" s="2879">
        <f>1.9362/C101</f>
        <v>0.90476635514018677</v>
      </c>
      <c r="D102" s="2879">
        <f>1.9362/D101</f>
        <v>0.90476635514018677</v>
      </c>
      <c r="E102" s="2879">
        <f>1.8629/E101</f>
        <v>0.87051401869158873</v>
      </c>
      <c r="F102" s="2879">
        <f>1.8629/F101</f>
        <v>0.87051401869158873</v>
      </c>
      <c r="G102" s="2879">
        <f>1.8629/G101</f>
        <v>0.87051401869158873</v>
      </c>
      <c r="H102" s="2879">
        <f>1.8629/H101</f>
        <v>0.87051401869158873</v>
      </c>
      <c r="I102" s="2879">
        <f>1.8629/I101</f>
        <v>0.87051401869158873</v>
      </c>
      <c r="J102" s="2879">
        <f>1.942/J101</f>
        <v>0.90747663551401858</v>
      </c>
      <c r="K102" s="2879">
        <f>1.942/K101</f>
        <v>0.90747663551401858</v>
      </c>
      <c r="L102" s="2879">
        <f>1.942/L101</f>
        <v>0.90747663551401858</v>
      </c>
      <c r="M102" s="2879">
        <f>1.942/M101</f>
        <v>0.90747663551401858</v>
      </c>
      <c r="N102" s="2879">
        <f>1.942/N101</f>
        <v>0.90747663551401858</v>
      </c>
    </row>
    <row r="103" spans="1:14">
      <c r="A103" s="3305"/>
      <c r="B103" s="2878">
        <v>2</v>
      </c>
      <c r="C103" s="2879">
        <f>1.4198/C101</f>
        <v>0.66345794392523361</v>
      </c>
      <c r="D103" s="2879">
        <f>1.4198/D101</f>
        <v>0.66345794392523361</v>
      </c>
      <c r="E103" s="2879">
        <f>1.3372/E101</f>
        <v>0.62485981308411209</v>
      </c>
      <c r="F103" s="2879">
        <f>1.3372/F101</f>
        <v>0.62485981308411209</v>
      </c>
      <c r="G103" s="2879">
        <f>1.3372/G101</f>
        <v>0.62485981308411209</v>
      </c>
      <c r="H103" s="2879">
        <f>1.3372/H101</f>
        <v>0.62485981308411209</v>
      </c>
      <c r="I103" s="2879">
        <f>1.3372/I101</f>
        <v>0.62485981308411209</v>
      </c>
      <c r="J103" s="2879">
        <f>1.2799/J101</f>
        <v>0.59808411214953272</v>
      </c>
      <c r="K103" s="2879">
        <f>1.2799/K101</f>
        <v>0.59808411214953272</v>
      </c>
      <c r="L103" s="2879">
        <f>1.2799/L101</f>
        <v>0.59808411214953272</v>
      </c>
      <c r="M103" s="2879">
        <f>1.2799/M101</f>
        <v>0.59808411214953272</v>
      </c>
      <c r="N103" s="2879">
        <f>1.2799/N101</f>
        <v>0.59808411214953272</v>
      </c>
    </row>
    <row r="104" spans="1:14">
      <c r="A104" s="3305"/>
      <c r="B104" s="2878">
        <v>3</v>
      </c>
      <c r="C104" s="2879">
        <f>1.1594/C101</f>
        <v>0.54177570093457939</v>
      </c>
      <c r="D104" s="2879">
        <f>1.1594/D101</f>
        <v>0.54177570093457939</v>
      </c>
      <c r="E104" s="2879">
        <f>1.0788/E101</f>
        <v>0.50411214953271022</v>
      </c>
      <c r="F104" s="2879">
        <f>1.0788/F101</f>
        <v>0.50411214953271022</v>
      </c>
      <c r="G104" s="2879">
        <f>1.0788/G101</f>
        <v>0.50411214953271022</v>
      </c>
      <c r="H104" s="2879">
        <f>1.0788/H101</f>
        <v>0.50411214953271022</v>
      </c>
      <c r="I104" s="2879">
        <f>1.0788/I101</f>
        <v>0.50411214953271022</v>
      </c>
      <c r="J104" s="2879">
        <f>1.0072/J101</f>
        <v>0.47065420560747667</v>
      </c>
      <c r="K104" s="2879">
        <f>1.0072/K101</f>
        <v>0.47065420560747667</v>
      </c>
      <c r="L104" s="2879">
        <f>1.0072/L101</f>
        <v>0.47065420560747667</v>
      </c>
      <c r="M104" s="2879">
        <f>1.0072/M101</f>
        <v>0.47065420560747667</v>
      </c>
      <c r="N104" s="2879">
        <f>1.0072/N101</f>
        <v>0.47065420560747667</v>
      </c>
    </row>
    <row r="105" spans="1:14">
      <c r="A105" s="3305"/>
      <c r="B105" s="2878">
        <v>4</v>
      </c>
      <c r="C105" s="2879">
        <f>0.9622/C101</f>
        <v>0.44962616822429907</v>
      </c>
      <c r="D105" s="2879">
        <f>0.9622/D101</f>
        <v>0.44962616822429907</v>
      </c>
      <c r="E105" s="2879">
        <f>0.8656/E101</f>
        <v>0.40448598130841124</v>
      </c>
      <c r="F105" s="2879">
        <f>0.8656/F101</f>
        <v>0.40448598130841124</v>
      </c>
      <c r="G105" s="2879">
        <f>0.8656/G101</f>
        <v>0.40448598130841124</v>
      </c>
      <c r="H105" s="2879">
        <f>0.8656/H101</f>
        <v>0.40448598130841124</v>
      </c>
      <c r="I105" s="2879">
        <f>0.8656/I101</f>
        <v>0.40448598130841124</v>
      </c>
      <c r="J105" s="2879">
        <f>0.7525/J101</f>
        <v>0.35163551401869153</v>
      </c>
      <c r="K105" s="2879">
        <f>0.7525/K101</f>
        <v>0.35163551401869153</v>
      </c>
      <c r="L105" s="2879">
        <f>0.7525/L101</f>
        <v>0.35163551401869153</v>
      </c>
      <c r="M105" s="2879">
        <f>0.7525/M101</f>
        <v>0.35163551401869153</v>
      </c>
      <c r="N105" s="2879">
        <f>0.7525/N101</f>
        <v>0.35163551401869153</v>
      </c>
    </row>
    <row r="106" spans="1:14">
      <c r="A106" s="3305"/>
      <c r="B106" s="2878">
        <v>5</v>
      </c>
      <c r="C106" s="2879">
        <f>0.8417/C101</f>
        <v>0.39331775700934579</v>
      </c>
      <c r="D106" s="2879">
        <f>0.8417/D101</f>
        <v>0.39331775700934579</v>
      </c>
      <c r="E106" s="2879">
        <f>0.7371/E101</f>
        <v>0.34443925233644856</v>
      </c>
      <c r="F106" s="2879">
        <f>0.7371/F101</f>
        <v>0.34443925233644856</v>
      </c>
      <c r="G106" s="2879">
        <f>0.7371/G101</f>
        <v>0.34443925233644856</v>
      </c>
      <c r="H106" s="2879">
        <f>0.7371/H101</f>
        <v>0.34443925233644856</v>
      </c>
      <c r="I106" s="2879">
        <f>0.7371/I101</f>
        <v>0.34443925233644856</v>
      </c>
      <c r="J106" s="2879">
        <f>0.5659/J101</f>
        <v>0.26443925233644855</v>
      </c>
      <c r="K106" s="2879">
        <f>0.5659/K101</f>
        <v>0.26443925233644855</v>
      </c>
      <c r="L106" s="2879">
        <f>0.5659/L101</f>
        <v>0.26443925233644855</v>
      </c>
      <c r="M106" s="2879">
        <f>0.5659/M101</f>
        <v>0.26443925233644855</v>
      </c>
      <c r="N106" s="2879">
        <f>0.5659/N101</f>
        <v>0.26443925233644855</v>
      </c>
    </row>
    <row r="107" spans="1:14">
      <c r="A107" s="3305"/>
      <c r="B107" s="2878">
        <v>6</v>
      </c>
      <c r="C107" s="2879">
        <f>0.7608/C101</f>
        <v>0.35551401869158877</v>
      </c>
      <c r="D107" s="2879">
        <f>0.7608/D101</f>
        <v>0.35551401869158877</v>
      </c>
      <c r="E107" s="2879">
        <f>0.6482/E101</f>
        <v>0.30289719626168221</v>
      </c>
      <c r="F107" s="2879">
        <f>0.6482/F101</f>
        <v>0.30289719626168221</v>
      </c>
      <c r="G107" s="2879">
        <f>0.6482/G101</f>
        <v>0.30289719626168221</v>
      </c>
      <c r="H107" s="2879">
        <f>0.6482/H101</f>
        <v>0.30289719626168221</v>
      </c>
      <c r="I107" s="2879">
        <f>0.6482/I101</f>
        <v>0.30289719626168221</v>
      </c>
      <c r="J107" s="2879">
        <f>0.4525/J101</f>
        <v>0.2114485981308411</v>
      </c>
      <c r="K107" s="2879">
        <f>0.4525/K101</f>
        <v>0.2114485981308411</v>
      </c>
      <c r="L107" s="2879">
        <f>0.4525/L101</f>
        <v>0.2114485981308411</v>
      </c>
      <c r="M107" s="2879">
        <f>0.4525/M101</f>
        <v>0.2114485981308411</v>
      </c>
      <c r="N107" s="2879">
        <f>0.4525/N101</f>
        <v>0.2114485981308411</v>
      </c>
    </row>
    <row r="108" spans="1:14">
      <c r="A108" s="3305"/>
      <c r="B108" s="3185" t="s">
        <v>2976</v>
      </c>
      <c r="C108" s="2880">
        <f>C99</f>
        <v>1</v>
      </c>
      <c r="D108" s="2880">
        <f t="shared" ref="D108:N108" si="34">D99</f>
        <v>1</v>
      </c>
      <c r="E108" s="2880">
        <f t="shared" si="34"/>
        <v>1</v>
      </c>
      <c r="F108" s="2880">
        <f t="shared" si="34"/>
        <v>1</v>
      </c>
      <c r="G108" s="2880">
        <f t="shared" si="34"/>
        <v>1</v>
      </c>
      <c r="H108" s="2880">
        <f t="shared" si="34"/>
        <v>1</v>
      </c>
      <c r="I108" s="2880">
        <f t="shared" si="34"/>
        <v>1</v>
      </c>
      <c r="J108" s="2880">
        <f t="shared" si="34"/>
        <v>1</v>
      </c>
      <c r="K108" s="2880">
        <f t="shared" si="34"/>
        <v>1</v>
      </c>
      <c r="L108" s="2880">
        <f t="shared" si="34"/>
        <v>1</v>
      </c>
      <c r="M108" s="2880">
        <f t="shared" si="34"/>
        <v>1</v>
      </c>
      <c r="N108" s="2880">
        <f t="shared" si="34"/>
        <v>1</v>
      </c>
    </row>
    <row r="109" spans="1:14">
      <c r="A109" s="3306"/>
      <c r="B109" s="3186"/>
      <c r="C109" s="2881">
        <f>(-0.163*(C108^2)-0.59*C108+7617)*(10^(-4))/C101</f>
        <v>0.3558993925233645</v>
      </c>
      <c r="D109" s="2881">
        <f>(-0.163*(D108^2)-0.59*D108+7617)*(10^(-4))/D101</f>
        <v>0.3558993925233645</v>
      </c>
      <c r="E109" s="2881">
        <f>(-0.161*(E108^2)-7.509*E108+6533)*(10^(-4))/E101</f>
        <v>0.30492196261682242</v>
      </c>
      <c r="F109" s="2881">
        <f>(-0.161*(F108^2)-7.509*F108+6533)*(10^(-4))/F101</f>
        <v>0.30492196261682242</v>
      </c>
      <c r="G109" s="2881">
        <f>(-0.161*(G108^2)-7.509*G108+6533)*(10^(-4))/G101</f>
        <v>0.30492196261682242</v>
      </c>
      <c r="H109" s="2881">
        <f>(-0.161*(H108^2)-7.509*H108+6533)*(10^(-4))/H101</f>
        <v>0.30492196261682242</v>
      </c>
      <c r="I109" s="2881">
        <f>(-0.161*(I108^2)-7.509*I108+6533)*(10^(-4))/I101</f>
        <v>0.30492196261682242</v>
      </c>
      <c r="J109" s="2881">
        <f>(-0.214*(J108^2)-21.991*J108+4665)*(10^(-4))/J101</f>
        <v>0.21695303738317756</v>
      </c>
      <c r="K109" s="2881">
        <f>(-0.214*(K108^2)-21.991*K108+4665)*(10^(-4))/K101</f>
        <v>0.21695303738317756</v>
      </c>
      <c r="L109" s="2881">
        <f>(-0.214*(L108^2)-21.991*L108+4665)*(10^(-4))/L101</f>
        <v>0.21695303738317756</v>
      </c>
      <c r="M109" s="2881">
        <f>(-0.214*(M108^2)-21.991*M108+4665)*(10^(-4))/M101</f>
        <v>0.21695303738317756</v>
      </c>
      <c r="N109" s="2881">
        <f>(-0.214*(N108^2)-21.991*N108+4665)*(10^(-4))/N101</f>
        <v>0.21695303738317756</v>
      </c>
    </row>
    <row r="110" spans="1:14">
      <c r="A110" s="3302" t="s">
        <v>2977</v>
      </c>
      <c r="B110" s="3302"/>
      <c r="C110" s="3302"/>
      <c r="D110" s="3302"/>
      <c r="E110" s="3302"/>
      <c r="F110" s="3302"/>
      <c r="G110" s="3302"/>
      <c r="H110" s="3302"/>
      <c r="I110" s="3302"/>
      <c r="J110" s="3302"/>
      <c r="K110" s="2987"/>
      <c r="L110" s="2987"/>
      <c r="M110" s="2987"/>
      <c r="N110" s="2987"/>
    </row>
    <row r="112" spans="1:14" ht="13.8" thickBot="1"/>
    <row r="113" spans="1:13" ht="25.8" thickBot="1">
      <c r="A113" s="903" t="s">
        <v>2978</v>
      </c>
      <c r="B113" s="1287">
        <f>G3</f>
        <v>2.14</v>
      </c>
      <c r="C113" s="904" t="s">
        <v>2979</v>
      </c>
      <c r="D113" s="905">
        <f>SUMPRODUCT((A115:A118=F113)*(B114:M114=H113)*B115:M118)</f>
        <v>0.65580000000000005</v>
      </c>
      <c r="E113" s="2715" t="s">
        <v>2812</v>
      </c>
      <c r="F113" s="2886" t="str">
        <f>E2</f>
        <v>商业</v>
      </c>
      <c r="G113" s="2715" t="s">
        <v>2813</v>
      </c>
      <c r="H113" s="2886" t="str">
        <f>G2</f>
        <v>九级</v>
      </c>
      <c r="I113" s="2715"/>
      <c r="J113" s="2887"/>
      <c r="K113" s="2887"/>
      <c r="L113" s="2887"/>
      <c r="M113" s="2887"/>
    </row>
    <row r="114" spans="1:13">
      <c r="A114" s="908"/>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9" t="s">
        <v>2877</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5">I115</f>
        <v>0.65580000000000005</v>
      </c>
      <c r="K115" s="910">
        <f t="shared" si="35"/>
        <v>0.65580000000000005</v>
      </c>
      <c r="L115" s="910">
        <f t="shared" si="35"/>
        <v>0.65580000000000005</v>
      </c>
      <c r="M115" s="911">
        <f t="shared" si="35"/>
        <v>0.65580000000000005</v>
      </c>
    </row>
    <row r="116" spans="1:13">
      <c r="A116" s="909" t="s">
        <v>2878</v>
      </c>
      <c r="B116" s="910">
        <f>ROUND(0.949-0.012*B113,4)</f>
        <v>0.92330000000000001</v>
      </c>
      <c r="C116" s="910">
        <f>B116</f>
        <v>0.92330000000000001</v>
      </c>
      <c r="D116" s="910">
        <f>ROUND(0.8567-0.013*B113,4)</f>
        <v>0.82889999999999997</v>
      </c>
      <c r="E116" s="910">
        <f t="shared" ref="E116:H117" si="36">D116</f>
        <v>0.82889999999999997</v>
      </c>
      <c r="F116" s="910">
        <f t="shared" si="36"/>
        <v>0.82889999999999997</v>
      </c>
      <c r="G116" s="910">
        <f t="shared" si="36"/>
        <v>0.82889999999999997</v>
      </c>
      <c r="H116" s="910">
        <f t="shared" si="36"/>
        <v>0.82889999999999997</v>
      </c>
      <c r="I116" s="910">
        <f>ROUND(0.7694-0.014*B113,4)</f>
        <v>0.73939999999999995</v>
      </c>
      <c r="J116" s="910">
        <f t="shared" si="35"/>
        <v>0.73939999999999995</v>
      </c>
      <c r="K116" s="910">
        <f t="shared" si="35"/>
        <v>0.73939999999999995</v>
      </c>
      <c r="L116" s="910">
        <f t="shared" si="35"/>
        <v>0.73939999999999995</v>
      </c>
      <c r="M116" s="911">
        <f t="shared" si="35"/>
        <v>0.73939999999999995</v>
      </c>
    </row>
    <row r="117" spans="1:13">
      <c r="A117" s="909" t="s">
        <v>2879</v>
      </c>
      <c r="B117" s="910">
        <f>ROUND(0.8808-0.006*B113,4)</f>
        <v>0.86799999999999999</v>
      </c>
      <c r="C117" s="910">
        <f>B117</f>
        <v>0.86799999999999999</v>
      </c>
      <c r="D117" s="910">
        <f>ROUND(0.8748-0.008*B113,4)</f>
        <v>0.85770000000000002</v>
      </c>
      <c r="E117" s="910">
        <f t="shared" si="36"/>
        <v>0.85770000000000002</v>
      </c>
      <c r="F117" s="910">
        <f t="shared" si="36"/>
        <v>0.85770000000000002</v>
      </c>
      <c r="G117" s="910">
        <f t="shared" si="36"/>
        <v>0.85770000000000002</v>
      </c>
      <c r="H117" s="910">
        <f t="shared" si="36"/>
        <v>0.85770000000000002</v>
      </c>
      <c r="I117" s="910">
        <f>ROUND(0.7412-0.0095*B113,4)</f>
        <v>0.72089999999999999</v>
      </c>
      <c r="J117" s="910">
        <f t="shared" si="35"/>
        <v>0.72089999999999999</v>
      </c>
      <c r="K117" s="910">
        <f t="shared" si="35"/>
        <v>0.72089999999999999</v>
      </c>
      <c r="L117" s="910">
        <f t="shared" si="35"/>
        <v>0.72089999999999999</v>
      </c>
      <c r="M117" s="911">
        <f t="shared" si="35"/>
        <v>0.72089999999999999</v>
      </c>
    </row>
    <row r="118" spans="1:13" ht="13.8" thickBot="1">
      <c r="A118" s="714" t="s">
        <v>2880</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5"/>
        <v>0.53759999999999997</v>
      </c>
      <c r="K118" s="912">
        <f t="shared" si="35"/>
        <v>0.53759999999999997</v>
      </c>
      <c r="L118" s="912">
        <f t="shared" si="35"/>
        <v>0.53759999999999997</v>
      </c>
      <c r="M118" s="913">
        <f t="shared" si="35"/>
        <v>0.53759999999999997</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1" sqref="G21"/>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2" t="s">
        <v>3000</v>
      </c>
    </row>
    <row r="2" spans="1:5" ht="15.6">
      <c r="A2" s="2893" t="s">
        <v>2992</v>
      </c>
      <c r="B2" s="2894">
        <f ca="1">SUMIF(B6:B13,"&lt;&gt;#ref!",B6:B13)</f>
        <v>2522</v>
      </c>
      <c r="C2" s="2893" t="s">
        <v>2993</v>
      </c>
      <c r="D2" s="2893" t="s">
        <v>2994</v>
      </c>
      <c r="E2" s="2894">
        <f ca="1">SUMIF(E6:E13,"&lt;&gt;#ref!",E6:E13)</f>
        <v>24331.200000000001</v>
      </c>
    </row>
    <row r="3" spans="1:5" ht="15.6">
      <c r="A3" s="2893" t="s">
        <v>2995</v>
      </c>
      <c r="B3" s="2894">
        <f ca="1">ROUND(B2*10000/E2,0)</f>
        <v>1037</v>
      </c>
      <c r="C3" s="2893" t="s">
        <v>3001</v>
      </c>
      <c r="D3" s="2895"/>
      <c r="E3" s="2895"/>
    </row>
    <row r="4" spans="1:5" ht="15.6">
      <c r="A4" s="2896"/>
      <c r="B4" s="2895"/>
      <c r="C4" s="2895"/>
      <c r="D4" s="2895"/>
      <c r="E4" s="2895"/>
    </row>
    <row r="5" spans="1:5" ht="31.2">
      <c r="A5" s="2897" t="s">
        <v>2996</v>
      </c>
      <c r="B5" s="2893" t="s">
        <v>2997</v>
      </c>
      <c r="C5" s="2894"/>
      <c r="D5" s="2895"/>
      <c r="E5" s="2893" t="s">
        <v>2998</v>
      </c>
    </row>
    <row r="6" spans="1:5" ht="15.6">
      <c r="A6" s="2898" t="s">
        <v>2999</v>
      </c>
      <c r="B6" s="2894">
        <f ca="1">SUMIF(INDIRECT("'"&amp;A6&amp;"'"&amp;"!A:A"),"总价",INDIRECT("'"&amp;A6&amp;"'"&amp;"!B:B"))</f>
        <v>2522</v>
      </c>
      <c r="C6" s="2893" t="s">
        <v>2993</v>
      </c>
      <c r="D6" s="2895"/>
      <c r="E6" s="2566">
        <f ca="1">SUMIF(INDIRECT("'"&amp;A6&amp;"'"&amp;"!C:C"),"建筑面积",INDIRECT("'"&amp;A6&amp;"'"&amp;"!D:D"))</f>
        <v>24331.200000000001</v>
      </c>
    </row>
    <row r="7" spans="1:5" ht="15.6">
      <c r="A7" s="2898" t="s">
        <v>3235</v>
      </c>
      <c r="B7" s="2894" t="e">
        <f ca="1">SUMIF(INDIRECT("'"&amp;A7&amp;"'"&amp;"!A:A"),"总价",INDIRECT("'"&amp;A7&amp;"'"&amp;"!B:B"))</f>
        <v>#REF!</v>
      </c>
      <c r="C7" s="2893" t="s">
        <v>2993</v>
      </c>
      <c r="D7" s="2895"/>
      <c r="E7" s="2566" t="e">
        <f t="shared" ref="E7:E13" ca="1" si="0">SUMIF(INDIRECT("'"&amp;A7&amp;"'"&amp;"!C:C"),"建筑面积",INDIRECT("'"&amp;A7&amp;"'"&amp;"!D:D"))</f>
        <v>#REF!</v>
      </c>
    </row>
    <row r="8" spans="1:5" ht="15.6">
      <c r="A8" s="2898"/>
      <c r="B8" s="2894" t="e">
        <f t="shared" ref="B8:B13" ca="1" si="1">SUMIF(INDIRECT("'"&amp;A8&amp;"'"&amp;"!A:A"),"总价",INDIRECT("'"&amp;A8&amp;"'"&amp;"!B:B"))</f>
        <v>#REF!</v>
      </c>
      <c r="C8" s="2893" t="s">
        <v>2993</v>
      </c>
      <c r="D8" s="2895"/>
      <c r="E8" s="2566" t="e">
        <f t="shared" ca="1" si="0"/>
        <v>#REF!</v>
      </c>
    </row>
    <row r="9" spans="1:5" ht="15.6">
      <c r="A9" s="2898"/>
      <c r="B9" s="2894" t="e">
        <f t="shared" ca="1" si="1"/>
        <v>#REF!</v>
      </c>
      <c r="C9" s="2893" t="s">
        <v>2993</v>
      </c>
      <c r="D9" s="2895"/>
      <c r="E9" s="2566" t="e">
        <f t="shared" ca="1" si="0"/>
        <v>#REF!</v>
      </c>
    </row>
    <row r="10" spans="1:5" ht="15.6">
      <c r="A10" s="2898"/>
      <c r="B10" s="2894" t="e">
        <f t="shared" ca="1" si="1"/>
        <v>#REF!</v>
      </c>
      <c r="C10" s="2893" t="s">
        <v>2993</v>
      </c>
      <c r="D10" s="2895"/>
      <c r="E10" s="2566" t="e">
        <f t="shared" ca="1" si="0"/>
        <v>#REF!</v>
      </c>
    </row>
    <row r="11" spans="1:5" ht="15.6">
      <c r="A11" s="2898"/>
      <c r="B11" s="2894" t="e">
        <f t="shared" ca="1" si="1"/>
        <v>#REF!</v>
      </c>
      <c r="C11" s="2893" t="s">
        <v>2993</v>
      </c>
      <c r="D11" s="2895"/>
      <c r="E11" s="2566" t="e">
        <f t="shared" ca="1" si="0"/>
        <v>#REF!</v>
      </c>
    </row>
    <row r="12" spans="1:5" ht="15.6">
      <c r="A12" s="2898"/>
      <c r="B12" s="2894" t="e">
        <f t="shared" ca="1" si="1"/>
        <v>#REF!</v>
      </c>
      <c r="C12" s="2893" t="s">
        <v>2993</v>
      </c>
      <c r="D12" s="2895"/>
      <c r="E12" s="2566" t="e">
        <f t="shared" ca="1" si="0"/>
        <v>#REF!</v>
      </c>
    </row>
    <row r="13" spans="1:5" ht="15.6">
      <c r="A13" s="2898"/>
      <c r="B13" s="2894" t="e">
        <f t="shared" ca="1" si="1"/>
        <v>#REF!</v>
      </c>
      <c r="C13" s="2893" t="s">
        <v>2993</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5" sqref="L2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 ca="1">F66</f>
        <v>64382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 ca="1">ROUND(IF(D3="",B2*10000/'数据-汇总表'!E3,B2*10000/D3),0)</f>
        <v>7525</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2644</v>
      </c>
      <c r="B4" s="402"/>
      <c r="C4" s="3240" t="s">
        <v>2645</v>
      </c>
      <c r="D4" s="3241"/>
      <c r="E4" s="3242" t="s">
        <v>2646</v>
      </c>
      <c r="F4" s="3243"/>
      <c r="G4" s="3240" t="s">
        <v>2647</v>
      </c>
      <c r="H4" s="3241"/>
      <c r="I4" s="3240" t="s">
        <v>2648</v>
      </c>
      <c r="J4" s="3241"/>
      <c r="K4" s="610" t="s">
        <v>2649</v>
      </c>
      <c r="L4" s="1130"/>
      <c r="M4" s="1131"/>
      <c r="N4" s="1131"/>
      <c r="O4" s="1131"/>
      <c r="P4" s="3278" t="s">
        <v>2650</v>
      </c>
      <c r="Q4" s="3279"/>
      <c r="R4" s="3282" t="s">
        <v>2646</v>
      </c>
      <c r="S4" s="3283"/>
      <c r="T4" s="3282" t="s">
        <v>2647</v>
      </c>
      <c r="U4" s="3283"/>
      <c r="V4" s="3257" t="s">
        <v>2648</v>
      </c>
      <c r="W4" s="3257"/>
      <c r="X4" s="1804"/>
      <c r="Y4" s="3282" t="s">
        <v>2650</v>
      </c>
      <c r="Z4" s="3283"/>
      <c r="AA4" s="3277" t="s">
        <v>2646</v>
      </c>
      <c r="AB4" s="3270" t="s">
        <v>2647</v>
      </c>
      <c r="AC4" s="3277" t="s">
        <v>2648</v>
      </c>
    </row>
    <row r="5" spans="1:30">
      <c r="A5" s="404"/>
      <c r="B5" s="405"/>
      <c r="C5" s="3266" t="s">
        <v>2541</v>
      </c>
      <c r="D5" s="3261"/>
      <c r="E5" s="3284" t="str">
        <f>土地案例!$A$2</f>
        <v>北京经济技术开发区河西区X78C2地块B4综合性商业金融服务业用地</v>
      </c>
      <c r="F5" s="3273"/>
      <c r="G5" s="3266" t="str">
        <f>土地案例!$A$4</f>
        <v>北京经济技术开发区路东区E16街区E16C-3、E16C-5、E16S-1地块</v>
      </c>
      <c r="H5" s="3261"/>
      <c r="I5" s="3266" t="str">
        <f>土地案例!$A$5</f>
        <v>北京经济技术开发区路东区C14C-1、C14C-2、C14S-1地块B4综合性商业金融服务业用地及S41公用停车场用地</v>
      </c>
      <c r="J5" s="3261"/>
      <c r="K5" s="610"/>
      <c r="L5" s="1130"/>
      <c r="M5" s="1131"/>
      <c r="N5" s="1131"/>
      <c r="O5" s="1131"/>
      <c r="P5" s="3280"/>
      <c r="Q5" s="3247"/>
      <c r="R5" s="3252"/>
      <c r="S5" s="3253"/>
      <c r="T5" s="3252"/>
      <c r="U5" s="3253"/>
      <c r="V5" s="3257"/>
      <c r="W5" s="3257"/>
      <c r="X5" s="1804"/>
      <c r="Y5" s="3252"/>
      <c r="Z5" s="3253"/>
      <c r="AA5" s="3270"/>
      <c r="AB5" s="3270"/>
      <c r="AC5" s="3270"/>
    </row>
    <row r="6" spans="1:30" ht="15" thickBot="1">
      <c r="A6" s="406"/>
      <c r="B6" s="407"/>
      <c r="C6" s="3258" t="s">
        <v>2545</v>
      </c>
      <c r="D6" s="3259"/>
      <c r="E6" s="3267" t="s">
        <v>2545</v>
      </c>
      <c r="F6" s="3268"/>
      <c r="G6" s="3258" t="s">
        <v>2545</v>
      </c>
      <c r="H6" s="3259"/>
      <c r="I6" s="3258" t="s">
        <v>2545</v>
      </c>
      <c r="J6" s="3259"/>
      <c r="K6" s="610" t="s">
        <v>2546</v>
      </c>
      <c r="L6" s="1130"/>
      <c r="M6" s="1131"/>
      <c r="N6" s="1131"/>
      <c r="O6" s="1131"/>
      <c r="P6" s="3281"/>
      <c r="Q6" s="3249"/>
      <c r="R6" s="3252"/>
      <c r="S6" s="3253"/>
      <c r="T6" s="3254"/>
      <c r="U6" s="3255"/>
      <c r="V6" s="3257"/>
      <c r="W6" s="3257"/>
      <c r="X6" s="1804"/>
      <c r="Y6" s="3254"/>
      <c r="Z6" s="3255"/>
      <c r="AA6" s="3271"/>
      <c r="AB6" s="3271"/>
      <c r="AC6" s="3271"/>
    </row>
    <row r="7" spans="1:30" s="117" customFormat="1" ht="15" thickBot="1">
      <c r="A7" s="408" t="s">
        <v>2547</v>
      </c>
      <c r="B7" s="409"/>
      <c r="C7" s="410">
        <f>'数据-取费表'!B2</f>
        <v>44012</v>
      </c>
      <c r="D7" s="411">
        <v>100</v>
      </c>
      <c r="E7" s="412" t="str">
        <f>土地案例!$J$2</f>
        <v>2019-08-29</v>
      </c>
      <c r="F7" s="413">
        <f>SUMIF(70:70,YEAR(E7)&amp;"-"&amp;INT((MONTH(E7)+2)/3),71:71)</f>
        <v>98.5</v>
      </c>
      <c r="G7" s="2687" t="str">
        <f>土地案例!$J$4</f>
        <v>2018-06-14</v>
      </c>
      <c r="H7" s="411">
        <f>SUMIF(70:70,YEAR(G7)&amp;"-"&amp;INT((MONTH(G7)+2)/3),71:71)</f>
        <v>96</v>
      </c>
      <c r="I7" s="2687" t="str">
        <f>土地案例!$J$5</f>
        <v>2017-08-08</v>
      </c>
      <c r="J7" s="411">
        <f>SUMIF(70:70,YEAR(I7)&amp;"-"&amp;INT((MONTH(I7)+2)/3),71:71)</f>
        <v>94.5</v>
      </c>
      <c r="K7" s="611"/>
      <c r="L7" s="1132"/>
      <c r="M7" s="1133"/>
      <c r="N7" s="1133"/>
      <c r="O7" s="1133"/>
      <c r="P7" s="3264" t="s">
        <v>2548</v>
      </c>
      <c r="Q7" s="3265"/>
      <c r="R7" s="770" t="s">
        <v>17</v>
      </c>
      <c r="S7" s="771">
        <f t="shared" ref="S7:S15" si="0">F7</f>
        <v>98.5</v>
      </c>
      <c r="T7" s="770" t="s">
        <v>17</v>
      </c>
      <c r="U7" s="771">
        <f t="shared" ref="U7:U15" si="1">H7</f>
        <v>96</v>
      </c>
      <c r="V7" s="770" t="s">
        <v>17</v>
      </c>
      <c r="W7" s="771">
        <f t="shared" ref="W7:W15" si="2">J7</f>
        <v>94.5</v>
      </c>
      <c r="X7" s="772"/>
      <c r="Y7" s="3264" t="s">
        <v>2548</v>
      </c>
      <c r="Z7" s="3263"/>
      <c r="AA7" s="773">
        <f>D7/F7</f>
        <v>1.015228426395939</v>
      </c>
      <c r="AB7" s="773">
        <f>D7/H7</f>
        <v>1.0416666666666667</v>
      </c>
      <c r="AC7" s="773">
        <f>D7/J7</f>
        <v>1.0582010582010581</v>
      </c>
    </row>
    <row r="8" spans="1:30" s="117" customFormat="1" ht="15" thickBot="1">
      <c r="A8" s="408" t="s">
        <v>2549</v>
      </c>
      <c r="B8" s="409"/>
      <c r="C8" s="414" t="s">
        <v>2550</v>
      </c>
      <c r="D8" s="411">
        <v>100</v>
      </c>
      <c r="E8" s="414" t="s">
        <v>3171</v>
      </c>
      <c r="F8" s="413">
        <f>SUMIF(73:73,E8,74:74)-SUMIF(73:73,C8,74:74)+100</f>
        <v>100</v>
      </c>
      <c r="G8" s="414" t="s">
        <v>3171</v>
      </c>
      <c r="H8" s="411">
        <f>SUMIF(73:73,G8,74:74)-SUMIF(73:73,C8,74:74)+100</f>
        <v>100</v>
      </c>
      <c r="I8" s="414" t="s">
        <v>3171</v>
      </c>
      <c r="J8" s="411">
        <f>SUMIF(73:73,I8,74:74)-SUMIF(73:73,C8,74:74)+100</f>
        <v>100</v>
      </c>
      <c r="K8" s="611"/>
      <c r="L8" s="1132"/>
      <c r="M8" s="1133"/>
      <c r="N8" s="1133"/>
      <c r="O8" s="1133"/>
      <c r="P8" s="3264" t="s">
        <v>2551</v>
      </c>
      <c r="Q8" s="3263"/>
      <c r="R8" s="770" t="s">
        <v>17</v>
      </c>
      <c r="S8" s="771">
        <f t="shared" si="0"/>
        <v>100</v>
      </c>
      <c r="T8" s="770" t="s">
        <v>17</v>
      </c>
      <c r="U8" s="771">
        <f t="shared" si="1"/>
        <v>100</v>
      </c>
      <c r="V8" s="770" t="s">
        <v>17</v>
      </c>
      <c r="W8" s="771">
        <f t="shared" si="2"/>
        <v>100</v>
      </c>
      <c r="X8" s="772"/>
      <c r="Y8" s="3264" t="s">
        <v>2551</v>
      </c>
      <c r="Z8" s="3263"/>
      <c r="AA8" s="773">
        <f t="shared" ref="AA8:AA45" si="3">D8/F8</f>
        <v>1</v>
      </c>
      <c r="AB8" s="773">
        <f t="shared" ref="AB8:AB45" si="4">D8/H8</f>
        <v>1</v>
      </c>
      <c r="AC8" s="773">
        <f t="shared" ref="AC8:AC45" si="5">D8/J8</f>
        <v>1</v>
      </c>
    </row>
    <row r="9" spans="1:30" s="117" customFormat="1" ht="14.4">
      <c r="A9" s="415" t="s">
        <v>2552</v>
      </c>
      <c r="B9" s="71" t="s">
        <v>2553</v>
      </c>
      <c r="C9" s="2690" t="s">
        <v>3172</v>
      </c>
      <c r="D9" s="135">
        <v>100</v>
      </c>
      <c r="E9" s="2690" t="s">
        <v>3172</v>
      </c>
      <c r="F9" s="135">
        <f>SUMIF(75:75,E9,76:76)-SUMIF(75:75,C9,76:76)+100</f>
        <v>100</v>
      </c>
      <c r="G9" s="2690" t="s">
        <v>3172</v>
      </c>
      <c r="H9" s="135">
        <f>SUMIF(75:75,G9,76:76)-SUMIF(75:75,C9,76:76)+100</f>
        <v>100</v>
      </c>
      <c r="I9" s="2690" t="s">
        <v>3172</v>
      </c>
      <c r="J9" s="135">
        <f>SUMIF(75:75,I9,76:76)-SUMIF(75:75,C9,76:76)+100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70" t="s">
        <v>2555</v>
      </c>
      <c r="Z9" s="55" t="str">
        <f t="shared" ref="Z9:Z15" si="7">Q9</f>
        <v>用途</v>
      </c>
      <c r="AA9" s="773">
        <f t="shared" si="3"/>
        <v>1</v>
      </c>
      <c r="AB9" s="773">
        <f t="shared" si="4"/>
        <v>1</v>
      </c>
      <c r="AC9" s="773">
        <f t="shared" si="5"/>
        <v>1</v>
      </c>
    </row>
    <row r="10" spans="1:30" s="427" customFormat="1" ht="28.8">
      <c r="A10" s="421"/>
      <c r="B10" s="422" t="s">
        <v>2556</v>
      </c>
      <c r="C10" s="432">
        <f>项目基本情况!F15</f>
        <v>45.1</v>
      </c>
      <c r="D10" s="136">
        <v>100</v>
      </c>
      <c r="E10" s="465" t="s">
        <v>3180</v>
      </c>
      <c r="F10" s="136">
        <f ca="1">ROUND(100/'数据-取费表'!G16,0)</f>
        <v>102</v>
      </c>
      <c r="G10" s="463" t="s">
        <v>3180</v>
      </c>
      <c r="H10" s="136">
        <f ca="1">ROUND(100/'数据-取费表'!G16,0)</f>
        <v>102</v>
      </c>
      <c r="I10" s="463" t="s">
        <v>3180</v>
      </c>
      <c r="J10" s="136">
        <f ca="1">ROUND(100/'数据-取费表'!G16,0)</f>
        <v>102</v>
      </c>
      <c r="K10" s="672"/>
      <c r="L10" s="1135"/>
      <c r="M10" s="1136"/>
      <c r="N10" s="1136"/>
      <c r="O10" s="1137"/>
      <c r="P10" s="3223"/>
      <c r="Q10" s="1786" t="str">
        <f t="shared" si="6"/>
        <v>土地使用年限（年）</v>
      </c>
      <c r="R10" s="770" t="s">
        <v>17</v>
      </c>
      <c r="S10" s="771">
        <f t="shared" ca="1" si="0"/>
        <v>102</v>
      </c>
      <c r="T10" s="770" t="s">
        <v>17</v>
      </c>
      <c r="U10" s="771">
        <f t="shared" ca="1" si="1"/>
        <v>102</v>
      </c>
      <c r="V10" s="770" t="s">
        <v>17</v>
      </c>
      <c r="W10" s="771">
        <f t="shared" ca="1" si="2"/>
        <v>102</v>
      </c>
      <c r="X10" s="772"/>
      <c r="Y10" s="3070"/>
      <c r="Z10" s="55" t="str">
        <f t="shared" si="7"/>
        <v>土地使用年限（年）</v>
      </c>
      <c r="AA10" s="773">
        <f t="shared" ca="1" si="3"/>
        <v>0.98039215686274506</v>
      </c>
      <c r="AB10" s="773">
        <f t="shared" ca="1" si="4"/>
        <v>0.98039215686274506</v>
      </c>
      <c r="AC10" s="773">
        <f t="shared" ca="1" si="5"/>
        <v>0.98039215686274506</v>
      </c>
    </row>
    <row r="11" spans="1:30" ht="15">
      <c r="A11" s="428"/>
      <c r="B11" s="422" t="s">
        <v>2557</v>
      </c>
      <c r="C11" s="429">
        <f>'数据-汇总表'!I6</f>
        <v>2.14</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223"/>
      <c r="Q11" s="1786" t="str">
        <f t="shared" si="6"/>
        <v>容积率</v>
      </c>
      <c r="R11" s="770" t="s">
        <v>17</v>
      </c>
      <c r="S11" s="771">
        <f t="shared" si="0"/>
        <v>100</v>
      </c>
      <c r="T11" s="770" t="s">
        <v>17</v>
      </c>
      <c r="U11" s="771">
        <f t="shared" si="1"/>
        <v>98</v>
      </c>
      <c r="V11" s="770" t="s">
        <v>17</v>
      </c>
      <c r="W11" s="771">
        <f t="shared" si="2"/>
        <v>98</v>
      </c>
      <c r="X11" s="772"/>
      <c r="Y11" s="3070"/>
      <c r="Z11" s="55" t="str">
        <f t="shared" si="7"/>
        <v>容积率</v>
      </c>
      <c r="AA11" s="773">
        <f t="shared" si="3"/>
        <v>1</v>
      </c>
      <c r="AB11" s="773">
        <f t="shared" si="4"/>
        <v>1.0204081632653061</v>
      </c>
      <c r="AC11" s="773">
        <f t="shared" si="5"/>
        <v>1.0204081632653061</v>
      </c>
    </row>
    <row r="12" spans="1:30" s="117" customFormat="1" ht="15">
      <c r="A12" s="431"/>
      <c r="B12" s="2978" t="s">
        <v>3203</v>
      </c>
      <c r="C12" s="2979" t="s">
        <v>3205</v>
      </c>
      <c r="D12" s="433">
        <v>100</v>
      </c>
      <c r="E12" s="2980" t="s">
        <v>3206</v>
      </c>
      <c r="F12" s="136">
        <f>SUMIF(82:82,E12,83:83)-SUMIF(82:82,C12,83:83)+100</f>
        <v>95</v>
      </c>
      <c r="G12" s="2980" t="s">
        <v>3206</v>
      </c>
      <c r="H12" s="136">
        <f>SUMIF(82:82,G12,83:83)-SUMIF(82:82,C12,83:83)+100</f>
        <v>95</v>
      </c>
      <c r="I12" s="2980" t="s">
        <v>3206</v>
      </c>
      <c r="J12" s="136">
        <f>SUMIF(82:82,I12,83:83)-SUMIF(82:82,C12,83:83)+100</f>
        <v>95</v>
      </c>
      <c r="K12" s="672"/>
      <c r="L12" s="1132"/>
      <c r="M12" s="1133"/>
      <c r="N12" s="1133"/>
      <c r="O12" s="1134"/>
      <c r="P12" s="3223"/>
      <c r="Q12" s="1786" t="str">
        <f t="shared" si="6"/>
        <v>自持</v>
      </c>
      <c r="R12" s="770" t="s">
        <v>17</v>
      </c>
      <c r="S12" s="771">
        <f t="shared" si="0"/>
        <v>95</v>
      </c>
      <c r="T12" s="770" t="s">
        <v>17</v>
      </c>
      <c r="U12" s="771">
        <f t="shared" si="1"/>
        <v>95</v>
      </c>
      <c r="V12" s="770" t="s">
        <v>17</v>
      </c>
      <c r="W12" s="771">
        <f t="shared" si="2"/>
        <v>95</v>
      </c>
      <c r="X12" s="772"/>
      <c r="Y12" s="3070"/>
      <c r="Z12" s="55" t="str">
        <f t="shared" si="7"/>
        <v>自持</v>
      </c>
      <c r="AA12" s="773">
        <f>D12/F12</f>
        <v>1.0526315789473684</v>
      </c>
      <c r="AB12" s="773">
        <f>D12/H12</f>
        <v>1.0526315789473684</v>
      </c>
      <c r="AC12" s="773">
        <f>D12/J12</f>
        <v>1.0526315789473684</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70"/>
      <c r="Z13" s="55">
        <f t="shared" si="7"/>
        <v>111</v>
      </c>
      <c r="AA13" s="773">
        <f>D13/F13</f>
        <v>1</v>
      </c>
      <c r="AB13" s="773">
        <f>D13/H13</f>
        <v>1</v>
      </c>
      <c r="AC13" s="773">
        <f>D13/J13</f>
        <v>1</v>
      </c>
    </row>
    <row r="14" spans="1:30" ht="15.6"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70"/>
      <c r="Z14" s="55">
        <f t="shared" si="7"/>
        <v>111</v>
      </c>
      <c r="AA14" s="773">
        <f>D14/F14</f>
        <v>1</v>
      </c>
      <c r="AB14" s="773">
        <f>D14/H14</f>
        <v>1</v>
      </c>
      <c r="AC14" s="773">
        <f>D14/J14</f>
        <v>1</v>
      </c>
    </row>
    <row r="15" spans="1:30" ht="96.6" hidden="1">
      <c r="A15" s="440" t="s">
        <v>2558</v>
      </c>
      <c r="B15" s="69" t="s">
        <v>2083</v>
      </c>
      <c r="C15" s="259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0" t="s">
        <v>2559</v>
      </c>
      <c r="Q15" s="1801" t="str">
        <f t="shared" si="6"/>
        <v>居住社区成熟度</v>
      </c>
      <c r="R15" s="774" t="s">
        <v>17</v>
      </c>
      <c r="S15" s="775">
        <f t="shared" si="0"/>
        <v>100</v>
      </c>
      <c r="T15" s="774" t="s">
        <v>17</v>
      </c>
      <c r="U15" s="775">
        <f t="shared" si="1"/>
        <v>100</v>
      </c>
      <c r="V15" s="774" t="s">
        <v>17</v>
      </c>
      <c r="W15" s="775">
        <f t="shared" si="2"/>
        <v>100</v>
      </c>
      <c r="X15" s="1804"/>
      <c r="Y15" s="3230" t="s">
        <v>2559</v>
      </c>
      <c r="Z15" s="1805" t="str">
        <f t="shared" si="7"/>
        <v>居住社区成熟度</v>
      </c>
      <c r="AA15" s="1802">
        <f t="shared" si="3"/>
        <v>1</v>
      </c>
      <c r="AB15" s="1802">
        <f t="shared" si="4"/>
        <v>1</v>
      </c>
      <c r="AC15" s="1802">
        <f t="shared" si="5"/>
        <v>1</v>
      </c>
    </row>
    <row r="16" spans="1:30" ht="15" hidden="1">
      <c r="A16" s="428"/>
      <c r="B16" s="446"/>
      <c r="C16" s="447"/>
      <c r="D16" s="448"/>
      <c r="E16" s="2596"/>
      <c r="F16" s="448"/>
      <c r="G16" s="2596"/>
      <c r="H16" s="450"/>
      <c r="I16" s="2595"/>
      <c r="J16" s="448"/>
      <c r="K16" s="672"/>
      <c r="L16" s="1140"/>
      <c r="M16" s="1131"/>
      <c r="N16" s="1131"/>
      <c r="O16" s="1139"/>
      <c r="P16" s="3231"/>
      <c r="Q16" s="1801"/>
      <c r="R16" s="774"/>
      <c r="S16" s="775"/>
      <c r="T16" s="774"/>
      <c r="U16" s="775"/>
      <c r="V16" s="774"/>
      <c r="W16" s="775"/>
      <c r="X16" s="1804"/>
      <c r="Y16" s="3231"/>
      <c r="Z16" s="1805"/>
      <c r="AA16" s="1802">
        <v>1</v>
      </c>
      <c r="AB16" s="1802">
        <v>1</v>
      </c>
      <c r="AC16" s="1802">
        <v>1</v>
      </c>
    </row>
    <row r="17" spans="1:29" ht="82.8">
      <c r="A17" s="428"/>
      <c r="B17" s="451" t="s">
        <v>2652</v>
      </c>
      <c r="C17" s="2655"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105</v>
      </c>
      <c r="K17" s="673">
        <v>5</v>
      </c>
      <c r="L17" s="1140"/>
      <c r="M17" s="1131"/>
      <c r="N17" s="1131"/>
      <c r="O17" s="1139"/>
      <c r="P17" s="3231"/>
      <c r="Q17" s="1801" t="str">
        <f>B17</f>
        <v>商业繁华度</v>
      </c>
      <c r="R17" s="774" t="s">
        <v>17</v>
      </c>
      <c r="S17" s="775">
        <f>F17</f>
        <v>105</v>
      </c>
      <c r="T17" s="774" t="s">
        <v>17</v>
      </c>
      <c r="U17" s="775">
        <f>H17</f>
        <v>105</v>
      </c>
      <c r="V17" s="774" t="s">
        <v>17</v>
      </c>
      <c r="W17" s="775">
        <f>J17</f>
        <v>105</v>
      </c>
      <c r="X17" s="1804"/>
      <c r="Y17" s="3231"/>
      <c r="Z17" s="1805" t="str">
        <f>Q17</f>
        <v>商业繁华度</v>
      </c>
      <c r="AA17" s="1802">
        <f t="shared" si="3"/>
        <v>0.95238095238095233</v>
      </c>
      <c r="AB17" s="1802">
        <f t="shared" si="4"/>
        <v>0.95238095238095233</v>
      </c>
      <c r="AC17" s="1802">
        <f t="shared" si="5"/>
        <v>0.95238095238095233</v>
      </c>
    </row>
    <row r="18" spans="1:29" ht="15">
      <c r="A18" s="428"/>
      <c r="B18" s="456"/>
      <c r="C18" s="2599" t="s">
        <v>3126</v>
      </c>
      <c r="D18" s="450"/>
      <c r="E18" s="2601" t="s">
        <v>3127</v>
      </c>
      <c r="F18" s="450"/>
      <c r="G18" s="2601" t="s">
        <v>3127</v>
      </c>
      <c r="H18" s="448"/>
      <c r="I18" s="2601" t="s">
        <v>3127</v>
      </c>
      <c r="J18" s="448"/>
      <c r="K18" s="672"/>
      <c r="L18" s="1140"/>
      <c r="M18" s="1131"/>
      <c r="N18" s="1131"/>
      <c r="O18" s="1139"/>
      <c r="P18" s="3231"/>
      <c r="Q18" s="1801"/>
      <c r="R18" s="774"/>
      <c r="S18" s="775"/>
      <c r="T18" s="774"/>
      <c r="U18" s="775"/>
      <c r="V18" s="774"/>
      <c r="W18" s="775"/>
      <c r="X18" s="1804"/>
      <c r="Y18" s="3231"/>
      <c r="Z18" s="1805"/>
      <c r="AA18" s="1802">
        <v>1</v>
      </c>
      <c r="AB18" s="1802">
        <v>1</v>
      </c>
      <c r="AC18" s="1802">
        <v>1</v>
      </c>
    </row>
    <row r="19" spans="1:29" ht="82.8">
      <c r="A19" s="428"/>
      <c r="B19" s="451" t="s">
        <v>2686</v>
      </c>
      <c r="C19" s="2655" t="str">
        <f>估价对象房地状况!C17</f>
        <v>估价对象位于XX商圈，周边办公楼项目较多，入驻率高，办公集聚程度较好</v>
      </c>
      <c r="D19" s="455">
        <v>100</v>
      </c>
      <c r="E19" s="457"/>
      <c r="F19" s="455">
        <f>SUMIF(92:92,E20,93:93)-SUMIF(92:92,C20,93:93)+100</f>
        <v>105</v>
      </c>
      <c r="G19" s="457"/>
      <c r="H19" s="450">
        <f>SUMIF(92:92,G20,93:93)-SUMIF(92:92,C20,93:93)+100</f>
        <v>105</v>
      </c>
      <c r="I19" s="459"/>
      <c r="J19" s="450">
        <f>SUMIF(92:92,I20,93:93)-SUMIF(92:92,C20,93:93)+100</f>
        <v>105</v>
      </c>
      <c r="K19" s="673">
        <v>5</v>
      </c>
      <c r="L19" s="1140"/>
      <c r="M19" s="1131"/>
      <c r="N19" s="1131"/>
      <c r="O19" s="1139"/>
      <c r="P19" s="3231"/>
      <c r="Q19" s="1801" t="str">
        <f>B19</f>
        <v>办公集聚程度</v>
      </c>
      <c r="R19" s="774" t="s">
        <v>17</v>
      </c>
      <c r="S19" s="775">
        <f>F19</f>
        <v>105</v>
      </c>
      <c r="T19" s="774" t="s">
        <v>17</v>
      </c>
      <c r="U19" s="775">
        <f>H19</f>
        <v>105</v>
      </c>
      <c r="V19" s="774" t="s">
        <v>17</v>
      </c>
      <c r="W19" s="775">
        <f>J19</f>
        <v>105</v>
      </c>
      <c r="X19" s="1804"/>
      <c r="Y19" s="3231"/>
      <c r="Z19" s="1805" t="str">
        <f>Q19</f>
        <v>办公集聚程度</v>
      </c>
      <c r="AA19" s="1802">
        <f t="shared" si="3"/>
        <v>0.95238095238095233</v>
      </c>
      <c r="AB19" s="1802">
        <f t="shared" si="4"/>
        <v>0.95238095238095233</v>
      </c>
      <c r="AC19" s="1802">
        <f t="shared" si="5"/>
        <v>0.95238095238095233</v>
      </c>
    </row>
    <row r="20" spans="1:29" ht="15">
      <c r="A20" s="428"/>
      <c r="B20" s="456"/>
      <c r="C20" s="447" t="s">
        <v>3126</v>
      </c>
      <c r="D20" s="448"/>
      <c r="E20" s="2596" t="s">
        <v>3127</v>
      </c>
      <c r="F20" s="448"/>
      <c r="G20" s="2596" t="s">
        <v>3127</v>
      </c>
      <c r="H20" s="448"/>
      <c r="I20" s="2596" t="s">
        <v>3127</v>
      </c>
      <c r="J20" s="448"/>
      <c r="K20" s="672"/>
      <c r="L20" s="1140"/>
      <c r="M20" s="1131"/>
      <c r="N20" s="1131"/>
      <c r="O20" s="1139"/>
      <c r="P20" s="3231"/>
      <c r="Q20" s="1801"/>
      <c r="R20" s="774"/>
      <c r="S20" s="775"/>
      <c r="T20" s="774"/>
      <c r="U20" s="775"/>
      <c r="V20" s="774"/>
      <c r="W20" s="775"/>
      <c r="X20" s="1804"/>
      <c r="Y20" s="3231"/>
      <c r="Z20" s="1805"/>
      <c r="AA20" s="1802">
        <v>1</v>
      </c>
      <c r="AB20" s="1802">
        <v>1</v>
      </c>
      <c r="AC20" s="1802">
        <v>1</v>
      </c>
    </row>
    <row r="21" spans="1:29" ht="96.6">
      <c r="A21" s="428"/>
      <c r="B21" s="451" t="s">
        <v>2708</v>
      </c>
      <c r="C21" s="2598" t="str">
        <f>估价对象房地状况!C18</f>
        <v>估价对象周边道路状况、公共交通通达情况、停车便捷程度，综合评价交通便捷度较好</v>
      </c>
      <c r="D21" s="450">
        <v>100</v>
      </c>
      <c r="E21" s="452"/>
      <c r="F21" s="455">
        <f>SUMIF(94:94,E22,95:95)-SUMIF(94:94,C22,95:95)+100</f>
        <v>103</v>
      </c>
      <c r="G21" s="452"/>
      <c r="H21" s="450">
        <f>SUMIF(94:94,G22,95:95)-SUMIF(94:94,C22,95:95)+100</f>
        <v>103</v>
      </c>
      <c r="I21" s="454"/>
      <c r="J21" s="450">
        <f>SUMIF(94:94,I22,95:95)-SUMIF(94:94,C22,95:95)+100</f>
        <v>103</v>
      </c>
      <c r="K21" s="673">
        <v>3</v>
      </c>
      <c r="L21" s="1140"/>
      <c r="M21" s="1131"/>
      <c r="N21" s="1131"/>
      <c r="O21" s="1139"/>
      <c r="P21" s="3231"/>
      <c r="Q21" s="1801" t="str">
        <f>B21</f>
        <v>交通便捷度</v>
      </c>
      <c r="R21" s="774" t="s">
        <v>17</v>
      </c>
      <c r="S21" s="775">
        <f>F21</f>
        <v>103</v>
      </c>
      <c r="T21" s="774" t="s">
        <v>17</v>
      </c>
      <c r="U21" s="775">
        <f>H21</f>
        <v>103</v>
      </c>
      <c r="V21" s="774" t="s">
        <v>17</v>
      </c>
      <c r="W21" s="775">
        <f>J21</f>
        <v>103</v>
      </c>
      <c r="X21" s="1804"/>
      <c r="Y21" s="3231"/>
      <c r="Z21" s="1805" t="str">
        <f>Q21</f>
        <v>交通便捷度</v>
      </c>
      <c r="AA21" s="1802">
        <f t="shared" si="3"/>
        <v>0.970873786407767</v>
      </c>
      <c r="AB21" s="1802">
        <f t="shared" si="4"/>
        <v>0.970873786407767</v>
      </c>
      <c r="AC21" s="1802">
        <f t="shared" si="5"/>
        <v>0.970873786407767</v>
      </c>
    </row>
    <row r="22" spans="1:29" ht="15">
      <c r="A22" s="428"/>
      <c r="B22" s="1384"/>
      <c r="C22" s="447" t="s">
        <v>3126</v>
      </c>
      <c r="D22" s="450"/>
      <c r="E22" s="2596" t="s">
        <v>3127</v>
      </c>
      <c r="F22" s="448"/>
      <c r="G22" s="2596" t="s">
        <v>3127</v>
      </c>
      <c r="H22" s="448"/>
      <c r="I22" s="2595" t="s">
        <v>3127</v>
      </c>
      <c r="J22" s="448"/>
      <c r="K22" s="672"/>
      <c r="L22" s="1140"/>
      <c r="M22" s="1131"/>
      <c r="N22" s="1131"/>
      <c r="O22" s="1139"/>
      <c r="P22" s="3231"/>
      <c r="Q22" s="1801"/>
      <c r="R22" s="774"/>
      <c r="S22" s="775"/>
      <c r="T22" s="774"/>
      <c r="U22" s="775"/>
      <c r="V22" s="774"/>
      <c r="W22" s="775"/>
      <c r="X22" s="1804"/>
      <c r="Y22" s="3231"/>
      <c r="Z22" s="1805"/>
      <c r="AA22" s="1802">
        <v>1</v>
      </c>
      <c r="AB22" s="1802">
        <v>1</v>
      </c>
      <c r="AC22" s="1802">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1"/>
      <c r="Q23" s="1801" t="str">
        <f t="shared" ref="Q23:Q37" si="8">B23</f>
        <v>区域土地利用方向</v>
      </c>
      <c r="R23" s="774" t="s">
        <v>17</v>
      </c>
      <c r="S23" s="775">
        <f>F23</f>
        <v>100</v>
      </c>
      <c r="T23" s="774" t="s">
        <v>17</v>
      </c>
      <c r="U23" s="775">
        <f>H23</f>
        <v>100</v>
      </c>
      <c r="V23" s="774" t="s">
        <v>17</v>
      </c>
      <c r="W23" s="775">
        <f>J23</f>
        <v>100</v>
      </c>
      <c r="X23" s="1804"/>
      <c r="Y23" s="3231"/>
      <c r="Z23" s="1805" t="str">
        <f>Q23</f>
        <v>区域土地利用方向</v>
      </c>
      <c r="AA23" s="1802">
        <f t="shared" si="3"/>
        <v>1</v>
      </c>
      <c r="AB23" s="1802">
        <f t="shared" si="4"/>
        <v>1</v>
      </c>
      <c r="AC23" s="1802">
        <f t="shared" si="5"/>
        <v>1</v>
      </c>
    </row>
    <row r="24" spans="1:29" ht="15">
      <c r="A24" s="404"/>
      <c r="B24" s="456"/>
      <c r="C24" s="616" t="s">
        <v>3127</v>
      </c>
      <c r="D24" s="448"/>
      <c r="E24" s="616" t="s">
        <v>3127</v>
      </c>
      <c r="F24" s="448"/>
      <c r="G24" s="616" t="s">
        <v>3127</v>
      </c>
      <c r="H24" s="448"/>
      <c r="I24" s="616" t="s">
        <v>3127</v>
      </c>
      <c r="J24" s="448"/>
      <c r="K24" s="812"/>
      <c r="L24" s="1140"/>
      <c r="M24" s="1131"/>
      <c r="N24" s="1131"/>
      <c r="O24" s="1139"/>
      <c r="P24" s="3231"/>
      <c r="Q24" s="1801"/>
      <c r="R24" s="774"/>
      <c r="S24" s="775"/>
      <c r="T24" s="774"/>
      <c r="U24" s="775"/>
      <c r="V24" s="774"/>
      <c r="W24" s="775"/>
      <c r="X24" s="1804"/>
      <c r="Y24" s="3231"/>
      <c r="Z24" s="1805"/>
      <c r="AA24" s="1802"/>
      <c r="AB24" s="1802"/>
      <c r="AC24" s="1802"/>
    </row>
    <row r="25" spans="1:29" ht="55.2">
      <c r="A25" s="404"/>
      <c r="B25" s="1384" t="s">
        <v>2747</v>
      </c>
      <c r="C25" s="2655"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31"/>
      <c r="Q25" s="1801" t="str">
        <f t="shared" si="8"/>
        <v>自然及人文环境状况</v>
      </c>
      <c r="R25" s="774" t="s">
        <v>17</v>
      </c>
      <c r="S25" s="775">
        <f>F25</f>
        <v>102</v>
      </c>
      <c r="T25" s="774" t="s">
        <v>17</v>
      </c>
      <c r="U25" s="775">
        <f>H25</f>
        <v>102</v>
      </c>
      <c r="V25" s="774" t="s">
        <v>17</v>
      </c>
      <c r="W25" s="775">
        <f>J25</f>
        <v>102</v>
      </c>
      <c r="X25" s="1804"/>
      <c r="Y25" s="3231"/>
      <c r="Z25" s="1805" t="str">
        <f>Q25</f>
        <v>自然及人文环境状况</v>
      </c>
      <c r="AA25" s="1802">
        <f t="shared" si="3"/>
        <v>0.98039215686274506</v>
      </c>
      <c r="AB25" s="1802">
        <f t="shared" si="4"/>
        <v>0.98039215686274506</v>
      </c>
      <c r="AC25" s="1802">
        <f t="shared" si="5"/>
        <v>0.98039215686274506</v>
      </c>
    </row>
    <row r="26" spans="1:29" ht="15">
      <c r="A26" s="404"/>
      <c r="B26" s="456"/>
      <c r="C26" s="447" t="s">
        <v>3126</v>
      </c>
      <c r="D26" s="448"/>
      <c r="E26" s="2602" t="s">
        <v>3127</v>
      </c>
      <c r="F26" s="448"/>
      <c r="G26" s="2602" t="s">
        <v>3127</v>
      </c>
      <c r="H26" s="448"/>
      <c r="I26" s="2602" t="s">
        <v>3127</v>
      </c>
      <c r="J26" s="448"/>
      <c r="K26" s="672"/>
      <c r="L26" s="1140"/>
      <c r="M26" s="1131"/>
      <c r="N26" s="1131"/>
      <c r="O26" s="1139"/>
      <c r="P26" s="3231"/>
      <c r="Q26" s="1801"/>
      <c r="R26" s="774"/>
      <c r="S26" s="775"/>
      <c r="T26" s="774"/>
      <c r="U26" s="775"/>
      <c r="V26" s="774"/>
      <c r="W26" s="775"/>
      <c r="X26" s="1804"/>
      <c r="Y26" s="3231"/>
      <c r="Z26" s="1805"/>
      <c r="AA26" s="1802">
        <v>1</v>
      </c>
      <c r="AB26" s="1802">
        <v>1</v>
      </c>
      <c r="AC26" s="1802">
        <v>1</v>
      </c>
    </row>
    <row r="27" spans="1:29" s="117" customFormat="1" ht="41.4">
      <c r="A27" s="649"/>
      <c r="B27" s="1384" t="s">
        <v>2653</v>
      </c>
      <c r="C27" s="2598"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102</v>
      </c>
      <c r="K27" s="673">
        <v>2</v>
      </c>
      <c r="L27" s="1132"/>
      <c r="M27" s="1133"/>
      <c r="N27" s="1133"/>
      <c r="O27" s="1134"/>
      <c r="P27" s="3231"/>
      <c r="Q27" s="1786" t="str">
        <f t="shared" si="8"/>
        <v>公共配套设施</v>
      </c>
      <c r="R27" s="770" t="s">
        <v>17</v>
      </c>
      <c r="S27" s="771">
        <f>F27</f>
        <v>102</v>
      </c>
      <c r="T27" s="770" t="s">
        <v>17</v>
      </c>
      <c r="U27" s="771">
        <f>H27</f>
        <v>102</v>
      </c>
      <c r="V27" s="770" t="s">
        <v>17</v>
      </c>
      <c r="W27" s="771">
        <f>J27</f>
        <v>102</v>
      </c>
      <c r="X27" s="772"/>
      <c r="Y27" s="3231"/>
      <c r="Z27" s="55" t="str">
        <f>Q27</f>
        <v>公共配套设施</v>
      </c>
      <c r="AA27" s="1802">
        <f>D27/F27</f>
        <v>0.98039215686274506</v>
      </c>
      <c r="AB27" s="1802">
        <f>D27/H27</f>
        <v>0.98039215686274506</v>
      </c>
      <c r="AC27" s="1802">
        <f>D27/J27</f>
        <v>0.98039215686274506</v>
      </c>
    </row>
    <row r="28" spans="1:29" s="117" customFormat="1" ht="15">
      <c r="A28" s="649"/>
      <c r="B28" s="456"/>
      <c r="C28" s="2691" t="s">
        <v>3126</v>
      </c>
      <c r="D28" s="448"/>
      <c r="E28" s="2602" t="s">
        <v>3127</v>
      </c>
      <c r="F28" s="448"/>
      <c r="G28" s="2602" t="s">
        <v>3127</v>
      </c>
      <c r="H28" s="448"/>
      <c r="I28" s="2602" t="s">
        <v>3127</v>
      </c>
      <c r="J28" s="448"/>
      <c r="K28" s="672"/>
      <c r="L28" s="1132"/>
      <c r="M28" s="1133"/>
      <c r="N28" s="1133"/>
      <c r="O28" s="1134"/>
      <c r="P28" s="3231"/>
      <c r="Q28" s="1786"/>
      <c r="R28" s="770"/>
      <c r="S28" s="771"/>
      <c r="T28" s="770"/>
      <c r="U28" s="771"/>
      <c r="V28" s="770"/>
      <c r="W28" s="771"/>
      <c r="X28" s="772"/>
      <c r="Y28" s="3231"/>
      <c r="Z28" s="55"/>
      <c r="AA28" s="1802">
        <v>1</v>
      </c>
      <c r="AB28" s="1802">
        <v>1</v>
      </c>
      <c r="AC28" s="1802">
        <v>1</v>
      </c>
    </row>
    <row r="29" spans="1:29" s="117" customFormat="1" ht="41.4">
      <c r="A29" s="649"/>
      <c r="B29" s="1384" t="s">
        <v>2654</v>
      </c>
      <c r="C29" s="259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1"/>
      <c r="Q29" s="1786" t="str">
        <f t="shared" ref="Q29" si="9">B29</f>
        <v>基础设施水平</v>
      </c>
      <c r="R29" s="770" t="s">
        <v>17</v>
      </c>
      <c r="S29" s="771">
        <f>F29</f>
        <v>100</v>
      </c>
      <c r="T29" s="770" t="s">
        <v>17</v>
      </c>
      <c r="U29" s="771">
        <f>H29</f>
        <v>100</v>
      </c>
      <c r="V29" s="770" t="s">
        <v>17</v>
      </c>
      <c r="W29" s="771">
        <f>J29</f>
        <v>100</v>
      </c>
      <c r="X29" s="772"/>
      <c r="Y29" s="3231"/>
      <c r="Z29" s="55" t="str">
        <f>Q29</f>
        <v>基础设施水平</v>
      </c>
      <c r="AA29" s="1802">
        <f>D29/F29</f>
        <v>1</v>
      </c>
      <c r="AB29" s="1802">
        <f>D29/H29</f>
        <v>1</v>
      </c>
      <c r="AC29" s="1802">
        <f>D29/J29</f>
        <v>1</v>
      </c>
    </row>
    <row r="30" spans="1:29" s="117" customFormat="1" ht="15">
      <c r="A30" s="649"/>
      <c r="B30" s="456"/>
      <c r="C30" s="2691" t="s">
        <v>3174</v>
      </c>
      <c r="D30" s="448"/>
      <c r="E30" s="2691" t="s">
        <v>3174</v>
      </c>
      <c r="F30" s="448"/>
      <c r="G30" s="2691" t="s">
        <v>3174</v>
      </c>
      <c r="H30" s="448"/>
      <c r="I30" s="2691" t="s">
        <v>3174</v>
      </c>
      <c r="J30" s="448"/>
      <c r="K30" s="672"/>
      <c r="L30" s="1132"/>
      <c r="M30" s="1133"/>
      <c r="N30" s="1133"/>
      <c r="O30" s="1134"/>
      <c r="P30" s="3231"/>
      <c r="Q30" s="1786"/>
      <c r="R30" s="770"/>
      <c r="S30" s="771"/>
      <c r="T30" s="770"/>
      <c r="U30" s="771"/>
      <c r="V30" s="770"/>
      <c r="W30" s="771"/>
      <c r="X30" s="772"/>
      <c r="Y30" s="3231"/>
      <c r="Z30" s="55"/>
      <c r="AA30" s="1802">
        <v>1</v>
      </c>
      <c r="AB30" s="1802">
        <v>1</v>
      </c>
      <c r="AC30" s="1802">
        <v>1</v>
      </c>
    </row>
    <row r="31" spans="1:29" ht="15">
      <c r="A31" s="428"/>
      <c r="B31" s="456" t="s">
        <v>2655</v>
      </c>
      <c r="C31" s="616" t="s">
        <v>3207</v>
      </c>
      <c r="D31" s="435">
        <v>100</v>
      </c>
      <c r="E31" s="634" t="s">
        <v>3209</v>
      </c>
      <c r="F31" s="435">
        <f>SUMIF(104:104,E31,105:105)-SUMIF(104:104,C31,105:105)+100</f>
        <v>99</v>
      </c>
      <c r="G31" s="634" t="s">
        <v>3208</v>
      </c>
      <c r="H31" s="435">
        <f>SUMIF(104:104,G31,105:105)-SUMIF(104:104,C31,105:105)+100</f>
        <v>98</v>
      </c>
      <c r="I31" s="634" t="s">
        <v>3207</v>
      </c>
      <c r="J31" s="435">
        <f>SUMIF(104:104,I31,105:105)-SUMIF(104:104,C31,105:105)+100</f>
        <v>100</v>
      </c>
      <c r="K31" s="673">
        <v>1</v>
      </c>
      <c r="L31" s="1140"/>
      <c r="M31" s="1131"/>
      <c r="N31" s="1131"/>
      <c r="O31" s="1139"/>
      <c r="P31" s="3231"/>
      <c r="Q31" s="1801" t="str">
        <f t="shared" si="8"/>
        <v>临街状况</v>
      </c>
      <c r="R31" s="774" t="s">
        <v>17</v>
      </c>
      <c r="S31" s="775">
        <f t="shared" ref="S31:S45" si="10">F31</f>
        <v>99</v>
      </c>
      <c r="T31" s="774" t="s">
        <v>17</v>
      </c>
      <c r="U31" s="775">
        <f t="shared" ref="U31:U45" si="11">H31</f>
        <v>98</v>
      </c>
      <c r="V31" s="774" t="s">
        <v>17</v>
      </c>
      <c r="W31" s="775">
        <f t="shared" ref="W31:W45" si="12">J31</f>
        <v>100</v>
      </c>
      <c r="X31" s="1804"/>
      <c r="Y31" s="3231"/>
      <c r="Z31" s="1805" t="str">
        <f t="shared" ref="Z31:Z45" si="13">Q31</f>
        <v>临街状况</v>
      </c>
      <c r="AA31" s="1802">
        <f t="shared" si="3"/>
        <v>1.0101010101010102</v>
      </c>
      <c r="AB31" s="1802">
        <f t="shared" si="4"/>
        <v>1.0204081632653061</v>
      </c>
      <c r="AC31" s="1802">
        <f t="shared" si="5"/>
        <v>1</v>
      </c>
    </row>
    <row r="32" spans="1:29" ht="28.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31"/>
      <c r="Q32" s="1801" t="str">
        <f t="shared" si="8"/>
        <v>毗邻道路的类型与等级</v>
      </c>
      <c r="R32" s="774" t="s">
        <v>17</v>
      </c>
      <c r="S32" s="775">
        <f t="shared" si="10"/>
        <v>100</v>
      </c>
      <c r="T32" s="774" t="s">
        <v>17</v>
      </c>
      <c r="U32" s="775">
        <f t="shared" si="11"/>
        <v>100</v>
      </c>
      <c r="V32" s="774" t="s">
        <v>17</v>
      </c>
      <c r="W32" s="775">
        <f t="shared" si="12"/>
        <v>100</v>
      </c>
      <c r="X32" s="1804"/>
      <c r="Y32" s="3231"/>
      <c r="Z32" s="1805" t="str">
        <f t="shared" si="13"/>
        <v>毗邻道路的类型与等级</v>
      </c>
      <c r="AA32" s="1802">
        <f t="shared" si="3"/>
        <v>1</v>
      </c>
      <c r="AB32" s="1802">
        <f t="shared" si="4"/>
        <v>1</v>
      </c>
      <c r="AC32" s="1802">
        <f t="shared" si="5"/>
        <v>1</v>
      </c>
    </row>
    <row r="33" spans="1:29" ht="15">
      <c r="A33" s="428"/>
      <c r="B33" s="456"/>
      <c r="C33" s="447"/>
      <c r="D33" s="448"/>
      <c r="E33" s="2602"/>
      <c r="F33" s="448"/>
      <c r="G33" s="2602"/>
      <c r="H33" s="448"/>
      <c r="I33" s="447"/>
      <c r="J33" s="448"/>
      <c r="K33" s="613"/>
      <c r="L33" s="1140"/>
      <c r="M33" s="1131"/>
      <c r="N33" s="1131"/>
      <c r="O33" s="1139"/>
      <c r="P33" s="3231"/>
      <c r="Q33" s="1801"/>
      <c r="R33" s="774"/>
      <c r="S33" s="775"/>
      <c r="T33" s="774"/>
      <c r="U33" s="775"/>
      <c r="V33" s="774"/>
      <c r="W33" s="775"/>
      <c r="X33" s="1804"/>
      <c r="Y33" s="3231"/>
      <c r="Z33" s="1805"/>
      <c r="AA33" s="1802">
        <v>1</v>
      </c>
      <c r="AB33" s="1802">
        <v>1</v>
      </c>
      <c r="AC33" s="180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1"/>
      <c r="Q34" s="1801" t="str">
        <f t="shared" si="8"/>
        <v>土地级别</v>
      </c>
      <c r="R34" s="774" t="s">
        <v>17</v>
      </c>
      <c r="S34" s="775">
        <f t="shared" si="10"/>
        <v>100</v>
      </c>
      <c r="T34" s="774" t="s">
        <v>17</v>
      </c>
      <c r="U34" s="775">
        <f t="shared" si="11"/>
        <v>100</v>
      </c>
      <c r="V34" s="774" t="s">
        <v>17</v>
      </c>
      <c r="W34" s="775">
        <f t="shared" si="12"/>
        <v>100</v>
      </c>
      <c r="X34" s="1804"/>
      <c r="Y34" s="3231"/>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1"/>
      <c r="Q35" s="1801">
        <f t="shared" si="8"/>
        <v>111</v>
      </c>
      <c r="R35" s="774" t="s">
        <v>17</v>
      </c>
      <c r="S35" s="775">
        <f t="shared" si="10"/>
        <v>100</v>
      </c>
      <c r="T35" s="774" t="s">
        <v>17</v>
      </c>
      <c r="U35" s="775">
        <f t="shared" si="11"/>
        <v>100</v>
      </c>
      <c r="V35" s="774" t="s">
        <v>17</v>
      </c>
      <c r="W35" s="775">
        <f t="shared" si="12"/>
        <v>100</v>
      </c>
      <c r="X35" s="1804"/>
      <c r="Y35" s="3231"/>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34" t="s">
        <v>2564</v>
      </c>
      <c r="Q36" s="1801">
        <f t="shared" si="8"/>
        <v>111</v>
      </c>
      <c r="R36" s="774" t="s">
        <v>17</v>
      </c>
      <c r="S36" s="775">
        <f t="shared" si="10"/>
        <v>100</v>
      </c>
      <c r="T36" s="774" t="s">
        <v>17</v>
      </c>
      <c r="U36" s="775">
        <f t="shared" si="11"/>
        <v>100</v>
      </c>
      <c r="V36" s="774" t="s">
        <v>17</v>
      </c>
      <c r="W36" s="775">
        <f t="shared" si="12"/>
        <v>100</v>
      </c>
      <c r="X36" s="1804"/>
      <c r="Y36" s="3235" t="s">
        <v>2564</v>
      </c>
      <c r="Z36" s="1805">
        <f t="shared" si="13"/>
        <v>111</v>
      </c>
      <c r="AA36" s="1802">
        <f t="shared" si="3"/>
        <v>1</v>
      </c>
      <c r="AB36" s="1802">
        <f t="shared" si="4"/>
        <v>1</v>
      </c>
      <c r="AC36" s="1802">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5"/>
      <c r="Q37" s="1801">
        <f t="shared" si="8"/>
        <v>111</v>
      </c>
      <c r="R37" s="777" t="s">
        <v>17</v>
      </c>
      <c r="S37" s="778">
        <f t="shared" si="10"/>
        <v>100</v>
      </c>
      <c r="T37" s="777" t="s">
        <v>17</v>
      </c>
      <c r="U37" s="778">
        <f t="shared" si="11"/>
        <v>100</v>
      </c>
      <c r="V37" s="777" t="s">
        <v>17</v>
      </c>
      <c r="W37" s="778">
        <f t="shared" si="12"/>
        <v>100</v>
      </c>
      <c r="X37" s="779"/>
      <c r="Y37" s="3235"/>
      <c r="Z37" s="780">
        <f t="shared" si="13"/>
        <v>111</v>
      </c>
      <c r="AA37" s="1802">
        <f t="shared" si="3"/>
        <v>1</v>
      </c>
      <c r="AB37" s="1802">
        <f t="shared" si="4"/>
        <v>1</v>
      </c>
      <c r="AC37" s="1802">
        <f t="shared" si="5"/>
        <v>1</v>
      </c>
    </row>
    <row r="38" spans="1:29" ht="15.6">
      <c r="A38" s="472" t="s">
        <v>2562</v>
      </c>
      <c r="B38" s="456" t="s">
        <v>2749</v>
      </c>
      <c r="C38" s="679">
        <f>'数据-基础表'!A3</f>
        <v>23247.07</v>
      </c>
      <c r="D38" s="467">
        <v>100</v>
      </c>
      <c r="E38" s="679">
        <f>土地案例!$D$2</f>
        <v>42276.47</v>
      </c>
      <c r="F38" s="467">
        <f>LOOKUP(E38,117:117,118:118)-LOOKUP(C38,117:117,118:118)+100</f>
        <v>101</v>
      </c>
      <c r="G38" s="679">
        <f>土地案例!$D$4</f>
        <v>33071.620000000003</v>
      </c>
      <c r="H38" s="467">
        <f>LOOKUP(G38,117:117,118:118)-LOOKUP(C38,117:117,118:118)+100</f>
        <v>101</v>
      </c>
      <c r="I38" s="530">
        <f>土地案例!$D$5</f>
        <v>66237.2</v>
      </c>
      <c r="J38" s="467">
        <f>LOOKUP(I38,117:117,118:118)-LOOKUP(C38,117:117,118:118)+100</f>
        <v>103</v>
      </c>
      <c r="K38" s="613"/>
      <c r="L38" s="1140"/>
      <c r="M38" s="1131"/>
      <c r="N38" s="1131"/>
      <c r="O38" s="1139"/>
      <c r="P38" s="3235"/>
      <c r="Q38" s="1801" t="str">
        <f>B38</f>
        <v>宗地面积</v>
      </c>
      <c r="R38" s="774" t="s">
        <v>17</v>
      </c>
      <c r="S38" s="775">
        <f t="shared" si="10"/>
        <v>101</v>
      </c>
      <c r="T38" s="774" t="s">
        <v>17</v>
      </c>
      <c r="U38" s="775">
        <f t="shared" si="11"/>
        <v>101</v>
      </c>
      <c r="V38" s="774" t="s">
        <v>17</v>
      </c>
      <c r="W38" s="775">
        <f t="shared" si="12"/>
        <v>103</v>
      </c>
      <c r="X38" s="1804"/>
      <c r="Y38" s="3235"/>
      <c r="Z38" s="1805" t="str">
        <f t="shared" si="13"/>
        <v>宗地面积</v>
      </c>
      <c r="AA38" s="1802">
        <f t="shared" si="3"/>
        <v>0.99009900990099009</v>
      </c>
      <c r="AB38" s="1802">
        <f t="shared" si="4"/>
        <v>0.99009900990099009</v>
      </c>
      <c r="AC38" s="1802">
        <f t="shared" si="5"/>
        <v>0.970873786407767</v>
      </c>
    </row>
    <row r="39" spans="1:29" ht="15">
      <c r="A39" s="472"/>
      <c r="B39" s="422" t="s">
        <v>2750</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40"/>
      <c r="M39" s="1131"/>
      <c r="N39" s="1131"/>
      <c r="O39" s="1139"/>
      <c r="P39" s="3235"/>
      <c r="Q39" s="1801" t="str">
        <f t="shared" ref="Q39:Q45" si="14">B39</f>
        <v>宗地形状</v>
      </c>
      <c r="R39" s="774" t="s">
        <v>17</v>
      </c>
      <c r="S39" s="775">
        <f t="shared" si="10"/>
        <v>100</v>
      </c>
      <c r="T39" s="774" t="s">
        <v>17</v>
      </c>
      <c r="U39" s="775">
        <f t="shared" si="11"/>
        <v>100</v>
      </c>
      <c r="V39" s="774" t="s">
        <v>17</v>
      </c>
      <c r="W39" s="775">
        <f t="shared" si="12"/>
        <v>100</v>
      </c>
      <c r="X39" s="1804"/>
      <c r="Y39" s="3235"/>
      <c r="Z39" s="1805" t="str">
        <f t="shared" si="13"/>
        <v>宗地形状</v>
      </c>
      <c r="AA39" s="1802">
        <f t="shared" si="3"/>
        <v>1</v>
      </c>
      <c r="AB39" s="1802">
        <f t="shared" si="4"/>
        <v>1</v>
      </c>
      <c r="AC39" s="1802">
        <f t="shared" si="5"/>
        <v>1</v>
      </c>
    </row>
    <row r="40" spans="1:29" ht="15">
      <c r="A40" s="472"/>
      <c r="B40" s="422" t="s">
        <v>2751</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40"/>
      <c r="M40" s="1131"/>
      <c r="N40" s="1131"/>
      <c r="O40" s="1139"/>
      <c r="P40" s="3235"/>
      <c r="Q40" s="1801" t="str">
        <f t="shared" si="14"/>
        <v>临街宽度及深度</v>
      </c>
      <c r="R40" s="774" t="s">
        <v>17</v>
      </c>
      <c r="S40" s="775">
        <f t="shared" si="10"/>
        <v>100</v>
      </c>
      <c r="T40" s="774" t="s">
        <v>17</v>
      </c>
      <c r="U40" s="775">
        <f t="shared" si="11"/>
        <v>100</v>
      </c>
      <c r="V40" s="774" t="s">
        <v>17</v>
      </c>
      <c r="W40" s="775">
        <f t="shared" si="12"/>
        <v>100</v>
      </c>
      <c r="X40" s="1804"/>
      <c r="Y40" s="3235"/>
      <c r="Z40" s="1805" t="str">
        <f t="shared" si="13"/>
        <v>临街宽度及深度</v>
      </c>
      <c r="AA40" s="1802">
        <f t="shared" si="3"/>
        <v>1</v>
      </c>
      <c r="AB40" s="1802">
        <f t="shared" si="4"/>
        <v>1</v>
      </c>
      <c r="AC40" s="1802">
        <f t="shared" si="5"/>
        <v>1</v>
      </c>
    </row>
    <row r="41" spans="1:29" s="117" customFormat="1" ht="15">
      <c r="A41" s="473"/>
      <c r="B41" s="422" t="s">
        <v>2752</v>
      </c>
      <c r="C41" s="2693" t="s">
        <v>3174</v>
      </c>
      <c r="D41" s="136">
        <v>100</v>
      </c>
      <c r="E41" s="2693" t="s">
        <v>3176</v>
      </c>
      <c r="F41" s="435">
        <f>SUMIF(123:123,E41,124:124)-SUMIF(123:123,C41,124:124)+100</f>
        <v>99</v>
      </c>
      <c r="G41" s="2693" t="s">
        <v>3174</v>
      </c>
      <c r="H41" s="435">
        <f>SUMIF(123:123,G41,124:124)-SUMIF(123:123,C41,124:124)+100</f>
        <v>100</v>
      </c>
      <c r="I41" s="2693" t="s">
        <v>3174</v>
      </c>
      <c r="J41" s="435">
        <f>SUMIF(123:123,I41,124:124)-SUMIF(123:123,C41,124:124)+100</f>
        <v>100</v>
      </c>
      <c r="K41" s="612">
        <v>1</v>
      </c>
      <c r="L41" s="1132"/>
      <c r="M41" s="1133"/>
      <c r="N41" s="1133"/>
      <c r="O41" s="1134"/>
      <c r="P41" s="3235"/>
      <c r="Q41" s="1801" t="str">
        <f t="shared" si="14"/>
        <v>宗地开发程度</v>
      </c>
      <c r="R41" s="770" t="s">
        <v>17</v>
      </c>
      <c r="S41" s="771">
        <f t="shared" si="10"/>
        <v>99</v>
      </c>
      <c r="T41" s="770" t="s">
        <v>17</v>
      </c>
      <c r="U41" s="771">
        <f t="shared" si="11"/>
        <v>100</v>
      </c>
      <c r="V41" s="770" t="s">
        <v>17</v>
      </c>
      <c r="W41" s="771">
        <f t="shared" si="12"/>
        <v>100</v>
      </c>
      <c r="X41" s="772"/>
      <c r="Y41" s="3235"/>
      <c r="Z41" s="55" t="str">
        <f t="shared" si="13"/>
        <v>宗地开发程度</v>
      </c>
      <c r="AA41" s="773">
        <f t="shared" si="3"/>
        <v>1.0101010101010102</v>
      </c>
      <c r="AB41" s="773">
        <f t="shared" si="4"/>
        <v>1</v>
      </c>
      <c r="AC41" s="773">
        <f t="shared" si="5"/>
        <v>1</v>
      </c>
    </row>
    <row r="42" spans="1:29" ht="15">
      <c r="A42" s="472"/>
      <c r="B42" s="422" t="s">
        <v>2753</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40"/>
      <c r="M42" s="1131"/>
      <c r="N42" s="1131"/>
      <c r="O42" s="1139"/>
      <c r="P42" s="3235" t="s">
        <v>2564</v>
      </c>
      <c r="Q42" s="1801" t="str">
        <f t="shared" si="14"/>
        <v>工程地质条件</v>
      </c>
      <c r="R42" s="774" t="s">
        <v>17</v>
      </c>
      <c r="S42" s="775">
        <f t="shared" si="10"/>
        <v>100</v>
      </c>
      <c r="T42" s="774" t="s">
        <v>17</v>
      </c>
      <c r="U42" s="775">
        <f t="shared" si="11"/>
        <v>100</v>
      </c>
      <c r="V42" s="774" t="s">
        <v>17</v>
      </c>
      <c r="W42" s="775">
        <f t="shared" si="12"/>
        <v>100</v>
      </c>
      <c r="X42" s="1804"/>
      <c r="Y42" s="3235" t="s">
        <v>2564</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5"/>
      <c r="Q43" s="1801">
        <f t="shared" si="14"/>
        <v>111</v>
      </c>
      <c r="R43" s="774" t="s">
        <v>17</v>
      </c>
      <c r="S43" s="775">
        <f t="shared" si="10"/>
        <v>100</v>
      </c>
      <c r="T43" s="774" t="s">
        <v>17</v>
      </c>
      <c r="U43" s="775">
        <f t="shared" si="11"/>
        <v>100</v>
      </c>
      <c r="V43" s="774" t="s">
        <v>17</v>
      </c>
      <c r="W43" s="775">
        <f t="shared" si="12"/>
        <v>100</v>
      </c>
      <c r="X43" s="1804"/>
      <c r="Y43" s="3235"/>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5"/>
      <c r="Q44" s="1801">
        <f t="shared" si="14"/>
        <v>111</v>
      </c>
      <c r="R44" s="774" t="s">
        <v>17</v>
      </c>
      <c r="S44" s="775">
        <f t="shared" si="10"/>
        <v>100</v>
      </c>
      <c r="T44" s="774" t="s">
        <v>17</v>
      </c>
      <c r="U44" s="775">
        <f t="shared" si="11"/>
        <v>100</v>
      </c>
      <c r="V44" s="774" t="s">
        <v>17</v>
      </c>
      <c r="W44" s="775">
        <f t="shared" si="12"/>
        <v>100</v>
      </c>
      <c r="X44" s="1804"/>
      <c r="Y44" s="3235"/>
      <c r="Z44" s="1805">
        <f t="shared" si="13"/>
        <v>111</v>
      </c>
      <c r="AA44" s="1802">
        <f t="shared" si="3"/>
        <v>1</v>
      </c>
      <c r="AB44" s="1802">
        <f t="shared" si="4"/>
        <v>1</v>
      </c>
      <c r="AC44" s="1802">
        <f t="shared" si="5"/>
        <v>1</v>
      </c>
    </row>
    <row r="45" spans="1:29" s="471" customFormat="1" ht="15.6" thickBot="1">
      <c r="A45" s="468"/>
      <c r="B45" s="1387">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5"/>
      <c r="Q45" s="1801">
        <f t="shared" si="14"/>
        <v>111</v>
      </c>
      <c r="R45" s="777" t="s">
        <v>17</v>
      </c>
      <c r="S45" s="778">
        <f t="shared" si="10"/>
        <v>100</v>
      </c>
      <c r="T45" s="777" t="s">
        <v>17</v>
      </c>
      <c r="U45" s="778">
        <f t="shared" si="11"/>
        <v>100</v>
      </c>
      <c r="V45" s="777" t="s">
        <v>17</v>
      </c>
      <c r="W45" s="778">
        <f t="shared" si="12"/>
        <v>100</v>
      </c>
      <c r="X45" s="779"/>
      <c r="Y45" s="3235"/>
      <c r="Z45" s="780">
        <f t="shared" si="13"/>
        <v>111</v>
      </c>
      <c r="AA45" s="1802">
        <f t="shared" si="3"/>
        <v>1</v>
      </c>
      <c r="AB45" s="1802">
        <f t="shared" si="4"/>
        <v>1</v>
      </c>
      <c r="AC45" s="1802">
        <f t="shared" si="5"/>
        <v>1</v>
      </c>
    </row>
    <row r="46" spans="1:29" ht="14.4">
      <c r="A46" s="479" t="s">
        <v>2719</v>
      </c>
      <c r="B46" s="2695" t="s">
        <v>2754</v>
      </c>
      <c r="C46" s="682" t="s">
        <v>1</v>
      </c>
      <c r="D46" s="481"/>
      <c r="E46" s="482">
        <v>11413</v>
      </c>
      <c r="F46" s="483"/>
      <c r="G46" s="484">
        <v>14948</v>
      </c>
      <c r="H46" s="485"/>
      <c r="I46" s="482">
        <v>14580</v>
      </c>
      <c r="J46" s="485"/>
      <c r="K46" s="783"/>
      <c r="L46" s="1143"/>
      <c r="M46" s="1144"/>
      <c r="N46" s="1131"/>
      <c r="O46" s="1144"/>
      <c r="P46" s="3223" t="str">
        <f>A46</f>
        <v>成交单价</v>
      </c>
      <c r="Q46" s="3223"/>
      <c r="R46" s="3257">
        <f>E46</f>
        <v>11413</v>
      </c>
      <c r="S46" s="3257"/>
      <c r="T46" s="3257">
        <f>G46</f>
        <v>14948</v>
      </c>
      <c r="U46" s="3257"/>
      <c r="V46" s="3257">
        <f>I46</f>
        <v>14580</v>
      </c>
      <c r="W46" s="3257"/>
      <c r="X46" s="759"/>
      <c r="Y46" s="781"/>
      <c r="Z46" s="759"/>
      <c r="AA46" s="759"/>
      <c r="AB46" s="759"/>
      <c r="AC46" s="759"/>
    </row>
    <row r="47" spans="1:29" ht="15" thickBot="1">
      <c r="A47" s="486" t="s">
        <v>2668</v>
      </c>
      <c r="B47" s="683"/>
      <c r="C47" s="490">
        <f ca="1">R48</f>
        <v>12532</v>
      </c>
      <c r="D47" s="489"/>
      <c r="E47" s="490">
        <f ca="1">R47</f>
        <v>10224</v>
      </c>
      <c r="F47" s="491"/>
      <c r="G47" s="488">
        <f ca="1">T47</f>
        <v>14022</v>
      </c>
      <c r="H47" s="489"/>
      <c r="I47" s="490">
        <f ca="1">V47</f>
        <v>13351</v>
      </c>
      <c r="J47" s="489"/>
      <c r="K47" s="784"/>
      <c r="L47" s="1143"/>
      <c r="M47" s="1144"/>
      <c r="N47" s="1144"/>
      <c r="O47" s="1144"/>
      <c r="P47" s="3223" t="str">
        <f>A47</f>
        <v>比较价值（元/平方米）</v>
      </c>
      <c r="Q47" s="3223"/>
      <c r="R47" s="3342">
        <f ca="1">ROUND(PRODUCT(R46,AA7:AA45),0)</f>
        <v>10224</v>
      </c>
      <c r="S47" s="3342"/>
      <c r="T47" s="3342">
        <f ca="1">ROUND(PRODUCT(T46,AB7:AB45),0)</f>
        <v>14022</v>
      </c>
      <c r="U47" s="3342"/>
      <c r="V47" s="3342">
        <f ca="1">ROUND(PRODUCT(V46,AC7:AC45),0)</f>
        <v>13351</v>
      </c>
      <c r="W47" s="3342"/>
      <c r="X47" s="759"/>
      <c r="Y47" s="759"/>
      <c r="Z47" s="759"/>
      <c r="AA47" s="759"/>
      <c r="AB47" s="759"/>
      <c r="AC47" s="759"/>
    </row>
    <row r="48" spans="1:29" ht="15" thickBot="1">
      <c r="A48" s="492" t="s">
        <v>2755</v>
      </c>
      <c r="B48" s="493"/>
      <c r="C48" s="494">
        <f ca="1">R48</f>
        <v>12532</v>
      </c>
      <c r="D48" s="494"/>
      <c r="E48" s="494"/>
      <c r="F48" s="494"/>
      <c r="G48" s="494"/>
      <c r="H48" s="494"/>
      <c r="I48" s="494"/>
      <c r="J48" s="494"/>
      <c r="K48" s="785"/>
      <c r="L48" s="1143"/>
      <c r="M48" s="1144"/>
      <c r="N48" s="1144"/>
      <c r="O48" s="1144"/>
      <c r="P48" s="3274" t="str">
        <f>A48</f>
        <v>估价对象XX用房的比较价值（楼面单价，元/平方米）</v>
      </c>
      <c r="Q48" s="3275"/>
      <c r="R48" s="3341">
        <f ca="1">ROUND(AVERAGE(R47:V47),0)</f>
        <v>12532</v>
      </c>
      <c r="S48" s="3341"/>
      <c r="T48" s="3341"/>
      <c r="U48" s="3341"/>
      <c r="V48" s="3341"/>
      <c r="W48" s="334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 ca="1">IF(E46&lt;E47,E47/E46-1,E46/E47-1)</f>
        <v>0.11629499217527384</v>
      </c>
      <c r="F51" s="500" t="str">
        <f ca="1">IF(OR(E51&gt;=0.3,E51&lt;=-0.3),"超过30%","")</f>
        <v/>
      </c>
      <c r="G51" s="499">
        <f ca="1">IF(G46&lt;G47,G47/G46-1,G46/G47-1)</f>
        <v>6.6039081443445946E-2</v>
      </c>
      <c r="H51" s="500" t="str">
        <f ca="1">IF(OR(G51&gt;=0.3,G51&lt;=-0.3),"超过30%","")</f>
        <v/>
      </c>
      <c r="I51" s="499">
        <f ca="1">IF(I46&lt;I47,I47/I46-1,I46/I47-1)</f>
        <v>9.2053029735600367E-2</v>
      </c>
      <c r="J51" s="500" t="str">
        <f ca="1">IF(OR(I51&gt;=0.3,I51&lt;=-0.3),"超过30%","")</f>
        <v/>
      </c>
      <c r="K51" s="1105"/>
      <c r="L51" s="1106"/>
      <c r="M51" s="1144"/>
      <c r="N51" s="1144"/>
      <c r="O51" s="1144"/>
    </row>
    <row r="52" spans="1:15" ht="13.5" customHeight="1">
      <c r="A52" s="1144"/>
      <c r="B52" s="1144"/>
      <c r="C52" s="497" t="s">
        <v>2671</v>
      </c>
      <c r="D52" s="501"/>
      <c r="E52" s="499">
        <f ca="1">IF(E47&lt;G47,G47/E47-1,E47/G47-1)</f>
        <v>0.37147887323943651</v>
      </c>
      <c r="F52" s="500" t="str">
        <f ca="1">IF(OR(E52&gt;=0.2,E52&lt;=-0.2),"超过20%","")</f>
        <v>超过20%</v>
      </c>
      <c r="G52" s="499">
        <f ca="1">IF(G47&lt;I47,I47/G47-1,G47/I47-1)</f>
        <v>5.0258407609916844E-2</v>
      </c>
      <c r="H52" s="500" t="str">
        <f ca="1">IF(OR(G52&gt;=0.2,G52&lt;=-0.2),"超过20%","")</f>
        <v/>
      </c>
      <c r="I52" s="499">
        <f ca="1">IF(I47&lt;E47,E47/I47-1,I47/E47-1)</f>
        <v>0.30584898278560257</v>
      </c>
      <c r="J52" s="500" t="str">
        <f ca="1">IF(OR(I52&gt;=0.2,I52&lt;=-0.2),"超过20%","")</f>
        <v>超过20%</v>
      </c>
      <c r="K52" s="1105"/>
      <c r="L52" s="1106"/>
      <c r="M52" s="1144"/>
      <c r="N52" s="1144"/>
      <c r="O52" s="1144"/>
    </row>
    <row r="53" spans="1:15" s="502" customFormat="1" ht="13.5" customHeight="1">
      <c r="A53" s="1145"/>
      <c r="B53" s="1145"/>
      <c r="C53" s="497" t="s">
        <v>2672</v>
      </c>
      <c r="D53" s="501"/>
      <c r="E53" s="499">
        <f>IF(E46&lt;G46,G46/E46-1,E46/G46-1)</f>
        <v>0.30973451327433632</v>
      </c>
      <c r="F53" s="500" t="str">
        <f>IF(OR(E53&gt;=0.3,E53&lt;=-0.3),"超过30%","")</f>
        <v>超过30%</v>
      </c>
      <c r="G53" s="499">
        <f>IF(G46&lt;I46,I46/G46-1,G46/I46-1)</f>
        <v>2.5240054869684503E-2</v>
      </c>
      <c r="H53" s="500" t="str">
        <f>IF(OR(G53&gt;=0.3,G53&lt;=-0.3),"超过30%","")</f>
        <v/>
      </c>
      <c r="I53" s="499">
        <f>IF(I46&lt;E46,E46/I46-1,I46/E46-1)</f>
        <v>0.2774905809164987</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696" t="s">
        <v>2758</v>
      </c>
      <c r="D55" s="2697" t="s">
        <v>2759</v>
      </c>
      <c r="E55" s="686" t="s">
        <v>2760</v>
      </c>
      <c r="F55" s="1107" t="s">
        <v>2761</v>
      </c>
      <c r="G55" s="3240" t="s">
        <v>2762</v>
      </c>
      <c r="H55" s="3335"/>
      <c r="I55" s="144" t="s">
        <v>2763</v>
      </c>
      <c r="J55" s="2698">
        <f>项目基本情况!F35</f>
        <v>0</v>
      </c>
      <c r="K55" s="2699" t="s">
        <v>2764</v>
      </c>
      <c r="L55" s="1106"/>
      <c r="M55" s="1144"/>
      <c r="N55" s="1144"/>
      <c r="O55" s="1144"/>
    </row>
    <row r="56" spans="1:15" s="692" customFormat="1">
      <c r="A56" s="688" t="s">
        <v>2765</v>
      </c>
      <c r="B56" s="689">
        <f ca="1">C48</f>
        <v>12532</v>
      </c>
      <c r="C56" s="690">
        <v>1</v>
      </c>
      <c r="D56" s="1163">
        <v>1</v>
      </c>
      <c r="E56" s="690">
        <f>'数据-汇总表'!E8+'数据-汇总表'!E9</f>
        <v>49801.36</v>
      </c>
      <c r="F56" s="1103">
        <f t="shared" ref="F56:F65" ca="1" si="15">ROUND(B56*E56/10000,0)</f>
        <v>62411</v>
      </c>
      <c r="G56" s="3222"/>
      <c r="H56" s="3223"/>
      <c r="I56" s="1108">
        <v>1</v>
      </c>
      <c r="J56" s="1111">
        <v>1</v>
      </c>
      <c r="K56" s="1145"/>
      <c r="L56" s="941"/>
      <c r="M56" s="941"/>
      <c r="N56" s="941"/>
      <c r="O56" s="941"/>
    </row>
    <row r="57" spans="1:15" s="692" customFormat="1">
      <c r="A57" s="693" t="s">
        <v>2766</v>
      </c>
      <c r="B57" s="262">
        <f ca="1">ROUND($C$48*C57*D57,0)</f>
        <v>1880</v>
      </c>
      <c r="C57" s="200">
        <f t="shared" ref="C57:C65" si="16">IF($C$55="北京市系数",I57,J57)</f>
        <v>0.6</v>
      </c>
      <c r="D57" s="1164">
        <v>0.25</v>
      </c>
      <c r="E57" s="694"/>
      <c r="F57" s="1103">
        <f t="shared" ca="1" si="15"/>
        <v>0</v>
      </c>
      <c r="G57" s="3336" t="s">
        <v>2767</v>
      </c>
      <c r="H57" s="1104" t="str">
        <f>项目基本情况!B37</f>
        <v>九级</v>
      </c>
      <c r="I57" s="1108">
        <f>SUMIF(修正!A45:A56,H57,修正!B45:B56)</f>
        <v>0.6</v>
      </c>
      <c r="J57" s="1112"/>
      <c r="K57" s="1144"/>
      <c r="L57" s="941"/>
      <c r="M57" s="941"/>
      <c r="N57" s="941"/>
      <c r="O57" s="941"/>
    </row>
    <row r="58" spans="1:15" s="692" customFormat="1">
      <c r="A58" s="693" t="s">
        <v>2768</v>
      </c>
      <c r="B58" s="262">
        <f t="shared" ref="B58:B65" ca="1" si="17">ROUND($C$48*C58*D58,0)</f>
        <v>940</v>
      </c>
      <c r="C58" s="200">
        <f t="shared" si="16"/>
        <v>0.3</v>
      </c>
      <c r="D58" s="1164">
        <v>0.25</v>
      </c>
      <c r="E58" s="694"/>
      <c r="F58" s="1103">
        <f t="shared" ca="1" si="15"/>
        <v>0</v>
      </c>
      <c r="G58" s="3336"/>
      <c r="H58" s="1104" t="str">
        <f>项目基本情况!B37</f>
        <v>九级</v>
      </c>
      <c r="I58" s="1108">
        <f>SUMIF(修正!A45:A56,H58,修正!C45:C56)</f>
        <v>0.3</v>
      </c>
      <c r="J58" s="1112"/>
      <c r="K58" s="1145"/>
      <c r="L58" s="941"/>
      <c r="M58" s="941"/>
      <c r="N58" s="941"/>
      <c r="O58" s="941"/>
    </row>
    <row r="59" spans="1:15" s="692" customFormat="1">
      <c r="A59" s="693" t="s">
        <v>2769</v>
      </c>
      <c r="B59" s="262">
        <f t="shared" ca="1" si="17"/>
        <v>627</v>
      </c>
      <c r="C59" s="200">
        <f t="shared" si="16"/>
        <v>0.2</v>
      </c>
      <c r="D59" s="1164">
        <v>0.25</v>
      </c>
      <c r="E59" s="694"/>
      <c r="F59" s="1103">
        <f t="shared" ca="1" si="15"/>
        <v>0</v>
      </c>
      <c r="G59" s="3336"/>
      <c r="H59" s="1104" t="str">
        <f>项目基本情况!B37</f>
        <v>九级</v>
      </c>
      <c r="I59" s="1108">
        <f>SUMIF(修正!A45:A56,H59,修正!D45:D56)</f>
        <v>0.2</v>
      </c>
      <c r="J59" s="1112"/>
      <c r="K59" s="1144"/>
      <c r="L59" s="941"/>
      <c r="M59" s="941"/>
      <c r="N59" s="941"/>
      <c r="O59" s="941"/>
    </row>
    <row r="60" spans="1:15" s="692" customFormat="1">
      <c r="A60" s="693" t="s">
        <v>2770</v>
      </c>
      <c r="B60" s="262">
        <f t="shared" ca="1" si="17"/>
        <v>627</v>
      </c>
      <c r="C60" s="200">
        <f t="shared" si="16"/>
        <v>0.2</v>
      </c>
      <c r="D60" s="1164">
        <v>0.25</v>
      </c>
      <c r="E60" s="694"/>
      <c r="F60" s="1103">
        <f t="shared" ca="1" si="15"/>
        <v>0</v>
      </c>
      <c r="G60" s="3336"/>
      <c r="H60" s="1104" t="str">
        <f>项目基本情况!B37</f>
        <v>九级</v>
      </c>
      <c r="I60" s="1108">
        <f>SUMIF(修正!A45:A56,H60,修正!E45:E56)</f>
        <v>0.2</v>
      </c>
      <c r="J60" s="1112"/>
      <c r="K60" s="1145"/>
      <c r="L60" s="941"/>
      <c r="M60" s="941"/>
      <c r="N60" s="941"/>
      <c r="O60" s="941"/>
    </row>
    <row r="61" spans="1:15" s="692" customFormat="1">
      <c r="A61" s="693" t="s">
        <v>2771</v>
      </c>
      <c r="B61" s="262">
        <f t="shared" ca="1" si="17"/>
        <v>627</v>
      </c>
      <c r="C61" s="200">
        <f t="shared" si="16"/>
        <v>0.2</v>
      </c>
      <c r="D61" s="1164">
        <v>0.25</v>
      </c>
      <c r="E61" s="261">
        <f>'数据-汇总表'!E11</f>
        <v>0</v>
      </c>
      <c r="F61" s="1103">
        <f t="shared" ca="1" si="15"/>
        <v>0</v>
      </c>
      <c r="G61" s="2700" t="s">
        <v>2772</v>
      </c>
      <c r="H61" s="1104" t="str">
        <f>项目基本情况!C37</f>
        <v>九级</v>
      </c>
      <c r="I61" s="1108">
        <f>SUMIF(修正!A45:A56,H61,修正!F45:F56)</f>
        <v>0.2</v>
      </c>
      <c r="J61" s="1112"/>
      <c r="K61" s="1144"/>
      <c r="L61" s="941"/>
      <c r="M61" s="941"/>
      <c r="N61" s="941"/>
      <c r="O61" s="941"/>
    </row>
    <row r="62" spans="1:15" s="692" customFormat="1">
      <c r="A62" s="693" t="s">
        <v>2773</v>
      </c>
      <c r="B62" s="262">
        <f t="shared" ca="1" si="17"/>
        <v>627</v>
      </c>
      <c r="C62" s="200">
        <f t="shared" si="16"/>
        <v>0.2</v>
      </c>
      <c r="D62" s="1164">
        <v>0.25</v>
      </c>
      <c r="E62" s="261">
        <f>'数据-汇总表'!E12</f>
        <v>21293.83</v>
      </c>
      <c r="F62" s="1103">
        <f t="shared" ca="1" si="15"/>
        <v>1335</v>
      </c>
      <c r="G62" s="1109" t="s">
        <v>2774</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2775</v>
      </c>
      <c r="B63" s="262">
        <f t="shared" ca="1" si="17"/>
        <v>0</v>
      </c>
      <c r="C63" s="200">
        <f t="shared" si="16"/>
        <v>0</v>
      </c>
      <c r="D63" s="1164">
        <v>0.25</v>
      </c>
      <c r="E63" s="261">
        <f>'数据-汇总表'!E13</f>
        <v>0</v>
      </c>
      <c r="F63" s="1103">
        <f t="shared" ca="1"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ca="1" si="17"/>
        <v>470</v>
      </c>
      <c r="C64" s="200">
        <f t="shared" si="16"/>
        <v>0.15</v>
      </c>
      <c r="D64" s="1164">
        <v>0.25</v>
      </c>
      <c r="E64" s="261">
        <f>'数据-汇总表'!E14</f>
        <v>0</v>
      </c>
      <c r="F64" s="1103">
        <f t="shared" ca="1" si="15"/>
        <v>0</v>
      </c>
      <c r="G64" s="2700" t="s">
        <v>2767</v>
      </c>
      <c r="H64" s="1104" t="str">
        <f>项目基本情况!B37</f>
        <v>九级</v>
      </c>
      <c r="I64" s="1108">
        <f>SUMIF(修正!A45:A56,H64,修正!H45:H56)</f>
        <v>0.15</v>
      </c>
      <c r="J64" s="1112"/>
      <c r="K64" s="1145"/>
      <c r="L64" s="941"/>
      <c r="M64" s="941"/>
      <c r="N64" s="941"/>
      <c r="O64" s="941"/>
    </row>
    <row r="65" spans="1:17" s="692" customFormat="1" ht="14.4" thickBot="1">
      <c r="A65" s="693" t="s">
        <v>2778</v>
      </c>
      <c r="B65" s="262">
        <f t="shared" ca="1" si="17"/>
        <v>470</v>
      </c>
      <c r="C65" s="200">
        <f t="shared" si="16"/>
        <v>0.15</v>
      </c>
      <c r="D65" s="1164">
        <v>0.25</v>
      </c>
      <c r="E65" s="261">
        <f>'数据-汇总表'!E15</f>
        <v>13539.749999999998</v>
      </c>
      <c r="F65" s="1103">
        <f t="shared" ca="1" si="15"/>
        <v>636</v>
      </c>
      <c r="G65" s="2701" t="s">
        <v>2772</v>
      </c>
      <c r="H65" s="1114" t="str">
        <f>项目基本情况!C37</f>
        <v>九级</v>
      </c>
      <c r="I65" s="1110">
        <f>SUMIF(修正!A45:A56,H65,修正!H45:H56)</f>
        <v>0.15</v>
      </c>
      <c r="J65" s="1113"/>
      <c r="K65" s="1144"/>
      <c r="L65" s="941"/>
      <c r="M65" s="941"/>
      <c r="N65" s="941"/>
      <c r="O65" s="941"/>
    </row>
    <row r="66" spans="1:17" s="692" customFormat="1" thickBot="1">
      <c r="A66" s="695" t="s">
        <v>2779</v>
      </c>
      <c r="B66" s="696" t="s">
        <v>28</v>
      </c>
      <c r="C66" s="696" t="s">
        <v>29</v>
      </c>
      <c r="D66" s="696" t="s">
        <v>1025</v>
      </c>
      <c r="E66" s="696">
        <f>IF(B46="楼面地价",SUM(E56:E65),'数据-汇总表'!D3)</f>
        <v>84634.94</v>
      </c>
      <c r="F66" s="697">
        <f ca="1">IF(B46="楼面地价",SUM(F56:F65),ROUND(C48*E66/10000,0))</f>
        <v>64382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2.2" thickBot="1">
      <c r="A69" s="763" t="s">
        <v>2673</v>
      </c>
      <c r="B69" s="759"/>
      <c r="C69" s="764"/>
      <c r="D69" s="764"/>
      <c r="E69" s="764"/>
      <c r="F69" s="765"/>
      <c r="G69" s="765"/>
      <c r="H69" s="764"/>
      <c r="I69" s="764"/>
      <c r="J69" s="1159"/>
      <c r="K69" s="1160"/>
      <c r="L69" s="1161"/>
      <c r="M69" s="1159"/>
      <c r="N69" s="1159"/>
      <c r="O69" s="1159"/>
      <c r="P69" s="503"/>
      <c r="Q69" s="504"/>
    </row>
    <row r="70" spans="1:17" s="508" customFormat="1" ht="14.4">
      <c r="A70" s="2702" t="s">
        <v>2780</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3" t="s">
        <v>2781</v>
      </c>
      <c r="B71" s="332" t="str">
        <f>"北京市平均增长率"&amp;TEXT(SUMIF(基准地价修正!N21:N25,A71,基准地价修正!P21:P25),"0.00%")</f>
        <v>北京市平均增长率2.03%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2584</v>
      </c>
      <c r="B72" s="516"/>
      <c r="C72" s="517">
        <v>0.5</v>
      </c>
      <c r="D72" s="518"/>
      <c r="E72" s="518"/>
      <c r="F72" s="518"/>
      <c r="G72" s="518"/>
      <c r="H72" s="518"/>
      <c r="I72" s="518"/>
      <c r="J72" s="518"/>
      <c r="K72" s="518"/>
      <c r="L72" s="518"/>
      <c r="M72" s="519"/>
      <c r="N72" s="518"/>
      <c r="O72" s="1162"/>
      <c r="P72" s="504"/>
      <c r="Q72" s="504"/>
    </row>
    <row r="73" spans="1:17" s="117" customFormat="1" ht="14.4">
      <c r="A73" s="521" t="s">
        <v>2549</v>
      </c>
      <c r="B73" s="510"/>
      <c r="C73" s="522" t="s">
        <v>2651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2587</v>
      </c>
      <c r="B75" s="528" t="s">
        <v>2553</v>
      </c>
      <c r="C75" s="2974" t="s">
        <v>3173</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2556</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 thickTop="1">
      <c r="A82" s="553"/>
      <c r="B82" s="538" t="str">
        <f>B12</f>
        <v>自持</v>
      </c>
      <c r="C82" s="2975" t="s">
        <v>3204</v>
      </c>
      <c r="D82" s="2975" t="s">
        <v>3205</v>
      </c>
      <c r="E82" s="554"/>
      <c r="F82" s="554"/>
      <c r="G82" s="554"/>
      <c r="H82" s="555"/>
      <c r="I82" s="555"/>
      <c r="J82" s="555"/>
      <c r="K82" s="555"/>
      <c r="L82" s="556"/>
      <c r="M82" s="557"/>
      <c r="N82" s="1154"/>
      <c r="O82" s="1154"/>
      <c r="P82" s="558"/>
      <c r="Q82" s="559"/>
    </row>
    <row r="83" spans="1:17" s="471" customFormat="1" ht="14.4" thickBot="1">
      <c r="A83" s="553"/>
      <c r="B83" s="543"/>
      <c r="C83" s="560">
        <v>100</v>
      </c>
      <c r="D83" s="536">
        <v>105</v>
      </c>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4"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29.4" thickTop="1">
      <c r="A96" s="579"/>
      <c r="B96" s="538" t="s">
        <v>2783</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2784</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9.4" thickTop="1">
      <c r="A106" s="534"/>
      <c r="B106" s="538" t="s">
        <v>2690</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2562</v>
      </c>
      <c r="B116" s="528" t="s">
        <v>2789</v>
      </c>
      <c r="C116" s="529" t="str">
        <f>C117&amp;"(含)"&amp;"-"&amp;D117</f>
        <v>0(含)-15000</v>
      </c>
      <c r="D116" s="529" t="str">
        <f t="shared" ref="D116:M116" si="26">D117&amp;"(含)"&amp;"-"&amp;E117</f>
        <v>15000(含)-30000</v>
      </c>
      <c r="E116" s="529" t="str">
        <f t="shared" si="26"/>
        <v>30000(含)-45000</v>
      </c>
      <c r="F116" s="529" t="str">
        <f t="shared" si="26"/>
        <v>45000(含)-60000</v>
      </c>
      <c r="G116" s="529" t="str">
        <f t="shared" si="26"/>
        <v>60000(含)-75000</v>
      </c>
      <c r="H116" s="529" t="str">
        <f t="shared" si="26"/>
        <v>75000(含)-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15000</v>
      </c>
      <c r="E117" s="595">
        <v>30000</v>
      </c>
      <c r="F117" s="595">
        <v>45000</v>
      </c>
      <c r="G117" s="595">
        <v>60000</v>
      </c>
      <c r="H117" s="595">
        <v>75000</v>
      </c>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2792</v>
      </c>
      <c r="C123" s="2975" t="s">
        <v>3175</v>
      </c>
      <c r="D123" s="2975" t="s">
        <v>3177</v>
      </c>
      <c r="E123" s="2975" t="s">
        <v>3178</v>
      </c>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2793</v>
      </c>
      <c r="C125" s="2975" t="s">
        <v>3179</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5"/>
  <sheetViews>
    <sheetView topLeftCell="A19" workbookViewId="0">
      <selection activeCell="A18" sqref="A18"/>
    </sheetView>
  </sheetViews>
  <sheetFormatPr defaultRowHeight="13.2"/>
  <cols>
    <col min="1" max="1" width="50.88671875" style="2973" customWidth="1"/>
    <col min="2" max="2" width="6.21875" style="2973" customWidth="1"/>
    <col min="3" max="3" width="11.77734375" style="2973" customWidth="1"/>
    <col min="4" max="5" width="13.88671875" style="2973" customWidth="1"/>
    <col min="6" max="6" width="8.77734375" style="2973" customWidth="1"/>
    <col min="7" max="7" width="7.88671875" style="2973" customWidth="1"/>
    <col min="8" max="8" width="38.88671875" style="2973" customWidth="1"/>
    <col min="9" max="10" width="9" style="2973" customWidth="1"/>
    <col min="11" max="12" width="10.6640625" style="2973" customWidth="1"/>
    <col min="13" max="13" width="14.33203125" style="2973" customWidth="1"/>
    <col min="14" max="14" width="6.21875" style="2973" customWidth="1"/>
    <col min="15" max="15" width="47.6640625" style="2973" customWidth="1"/>
    <col min="16" max="16" width="7.88671875" style="2973" customWidth="1"/>
    <col min="17" max="256" width="9" style="2973"/>
    <col min="257" max="257" width="50.88671875" style="2973" customWidth="1"/>
    <col min="258" max="258" width="6.21875" style="2973" customWidth="1"/>
    <col min="259" max="259" width="11.77734375" style="2973" customWidth="1"/>
    <col min="260" max="261" width="13.88671875" style="2973" customWidth="1"/>
    <col min="262" max="262" width="8.77734375" style="2973" customWidth="1"/>
    <col min="263" max="263" width="7.88671875" style="2973" customWidth="1"/>
    <col min="264" max="264" width="38.88671875" style="2973" customWidth="1"/>
    <col min="265" max="266" width="9" style="2973" customWidth="1"/>
    <col min="267" max="268" width="10.6640625" style="2973" customWidth="1"/>
    <col min="269" max="269" width="14.33203125" style="2973" customWidth="1"/>
    <col min="270" max="270" width="6.21875" style="2973" customWidth="1"/>
    <col min="271" max="271" width="47.6640625" style="2973" customWidth="1"/>
    <col min="272" max="272" width="7.88671875" style="2973" customWidth="1"/>
    <col min="273" max="512" width="9" style="2973"/>
    <col min="513" max="513" width="50.88671875" style="2973" customWidth="1"/>
    <col min="514" max="514" width="6.21875" style="2973" customWidth="1"/>
    <col min="515" max="515" width="11.77734375" style="2973" customWidth="1"/>
    <col min="516" max="517" width="13.88671875" style="2973" customWidth="1"/>
    <col min="518" max="518" width="8.77734375" style="2973" customWidth="1"/>
    <col min="519" max="519" width="7.88671875" style="2973" customWidth="1"/>
    <col min="520" max="520" width="38.88671875" style="2973" customWidth="1"/>
    <col min="521" max="522" width="9" style="2973" customWidth="1"/>
    <col min="523" max="524" width="10.6640625" style="2973" customWidth="1"/>
    <col min="525" max="525" width="14.33203125" style="2973" customWidth="1"/>
    <col min="526" max="526" width="6.21875" style="2973" customWidth="1"/>
    <col min="527" max="527" width="47.6640625" style="2973" customWidth="1"/>
    <col min="528" max="528" width="7.88671875" style="2973" customWidth="1"/>
    <col min="529" max="768" width="9" style="2973"/>
    <col min="769" max="769" width="50.88671875" style="2973" customWidth="1"/>
    <col min="770" max="770" width="6.21875" style="2973" customWidth="1"/>
    <col min="771" max="771" width="11.77734375" style="2973" customWidth="1"/>
    <col min="772" max="773" width="13.88671875" style="2973" customWidth="1"/>
    <col min="774" max="774" width="8.77734375" style="2973" customWidth="1"/>
    <col min="775" max="775" width="7.88671875" style="2973" customWidth="1"/>
    <col min="776" max="776" width="38.88671875" style="2973" customWidth="1"/>
    <col min="777" max="778" width="9" style="2973" customWidth="1"/>
    <col min="779" max="780" width="10.6640625" style="2973" customWidth="1"/>
    <col min="781" max="781" width="14.33203125" style="2973" customWidth="1"/>
    <col min="782" max="782" width="6.21875" style="2973" customWidth="1"/>
    <col min="783" max="783" width="47.6640625" style="2973" customWidth="1"/>
    <col min="784" max="784" width="7.88671875" style="2973" customWidth="1"/>
    <col min="785" max="1024" width="9" style="2973"/>
    <col min="1025" max="1025" width="50.88671875" style="2973" customWidth="1"/>
    <col min="1026" max="1026" width="6.21875" style="2973" customWidth="1"/>
    <col min="1027" max="1027" width="11.77734375" style="2973" customWidth="1"/>
    <col min="1028" max="1029" width="13.88671875" style="2973" customWidth="1"/>
    <col min="1030" max="1030" width="8.77734375" style="2973" customWidth="1"/>
    <col min="1031" max="1031" width="7.88671875" style="2973" customWidth="1"/>
    <col min="1032" max="1032" width="38.88671875" style="2973" customWidth="1"/>
    <col min="1033" max="1034" width="9" style="2973" customWidth="1"/>
    <col min="1035" max="1036" width="10.6640625" style="2973" customWidth="1"/>
    <col min="1037" max="1037" width="14.33203125" style="2973" customWidth="1"/>
    <col min="1038" max="1038" width="6.21875" style="2973" customWidth="1"/>
    <col min="1039" max="1039" width="47.6640625" style="2973" customWidth="1"/>
    <col min="1040" max="1040" width="7.88671875" style="2973" customWidth="1"/>
    <col min="1041" max="1280" width="9" style="2973"/>
    <col min="1281" max="1281" width="50.88671875" style="2973" customWidth="1"/>
    <col min="1282" max="1282" width="6.21875" style="2973" customWidth="1"/>
    <col min="1283" max="1283" width="11.77734375" style="2973" customWidth="1"/>
    <col min="1284" max="1285" width="13.88671875" style="2973" customWidth="1"/>
    <col min="1286" max="1286" width="8.77734375" style="2973" customWidth="1"/>
    <col min="1287" max="1287" width="7.88671875" style="2973" customWidth="1"/>
    <col min="1288" max="1288" width="38.88671875" style="2973" customWidth="1"/>
    <col min="1289" max="1290" width="9" style="2973" customWidth="1"/>
    <col min="1291" max="1292" width="10.6640625" style="2973" customWidth="1"/>
    <col min="1293" max="1293" width="14.33203125" style="2973" customWidth="1"/>
    <col min="1294" max="1294" width="6.21875" style="2973" customWidth="1"/>
    <col min="1295" max="1295" width="47.6640625" style="2973" customWidth="1"/>
    <col min="1296" max="1296" width="7.88671875" style="2973" customWidth="1"/>
    <col min="1297" max="1536" width="9" style="2973"/>
    <col min="1537" max="1537" width="50.88671875" style="2973" customWidth="1"/>
    <col min="1538" max="1538" width="6.21875" style="2973" customWidth="1"/>
    <col min="1539" max="1539" width="11.77734375" style="2973" customWidth="1"/>
    <col min="1540" max="1541" width="13.88671875" style="2973" customWidth="1"/>
    <col min="1542" max="1542" width="8.77734375" style="2973" customWidth="1"/>
    <col min="1543" max="1543" width="7.88671875" style="2973" customWidth="1"/>
    <col min="1544" max="1544" width="38.88671875" style="2973" customWidth="1"/>
    <col min="1545" max="1546" width="9" style="2973" customWidth="1"/>
    <col min="1547" max="1548" width="10.6640625" style="2973" customWidth="1"/>
    <col min="1549" max="1549" width="14.33203125" style="2973" customWidth="1"/>
    <col min="1550" max="1550" width="6.21875" style="2973" customWidth="1"/>
    <col min="1551" max="1551" width="47.6640625" style="2973" customWidth="1"/>
    <col min="1552" max="1552" width="7.88671875" style="2973" customWidth="1"/>
    <col min="1553" max="1792" width="9" style="2973"/>
    <col min="1793" max="1793" width="50.88671875" style="2973" customWidth="1"/>
    <col min="1794" max="1794" width="6.21875" style="2973" customWidth="1"/>
    <col min="1795" max="1795" width="11.77734375" style="2973" customWidth="1"/>
    <col min="1796" max="1797" width="13.88671875" style="2973" customWidth="1"/>
    <col min="1798" max="1798" width="8.77734375" style="2973" customWidth="1"/>
    <col min="1799" max="1799" width="7.88671875" style="2973" customWidth="1"/>
    <col min="1800" max="1800" width="38.88671875" style="2973" customWidth="1"/>
    <col min="1801" max="1802" width="9" style="2973" customWidth="1"/>
    <col min="1803" max="1804" width="10.6640625" style="2973" customWidth="1"/>
    <col min="1805" max="1805" width="14.33203125" style="2973" customWidth="1"/>
    <col min="1806" max="1806" width="6.21875" style="2973" customWidth="1"/>
    <col min="1807" max="1807" width="47.6640625" style="2973" customWidth="1"/>
    <col min="1808" max="1808" width="7.88671875" style="2973" customWidth="1"/>
    <col min="1809" max="2048" width="9" style="2973"/>
    <col min="2049" max="2049" width="50.88671875" style="2973" customWidth="1"/>
    <col min="2050" max="2050" width="6.21875" style="2973" customWidth="1"/>
    <col min="2051" max="2051" width="11.77734375" style="2973" customWidth="1"/>
    <col min="2052" max="2053" width="13.88671875" style="2973" customWidth="1"/>
    <col min="2054" max="2054" width="8.77734375" style="2973" customWidth="1"/>
    <col min="2055" max="2055" width="7.88671875" style="2973" customWidth="1"/>
    <col min="2056" max="2056" width="38.88671875" style="2973" customWidth="1"/>
    <col min="2057" max="2058" width="9" style="2973" customWidth="1"/>
    <col min="2059" max="2060" width="10.6640625" style="2973" customWidth="1"/>
    <col min="2061" max="2061" width="14.33203125" style="2973" customWidth="1"/>
    <col min="2062" max="2062" width="6.21875" style="2973" customWidth="1"/>
    <col min="2063" max="2063" width="47.6640625" style="2973" customWidth="1"/>
    <col min="2064" max="2064" width="7.88671875" style="2973" customWidth="1"/>
    <col min="2065" max="2304" width="9" style="2973"/>
    <col min="2305" max="2305" width="50.88671875" style="2973" customWidth="1"/>
    <col min="2306" max="2306" width="6.21875" style="2973" customWidth="1"/>
    <col min="2307" max="2307" width="11.77734375" style="2973" customWidth="1"/>
    <col min="2308" max="2309" width="13.88671875" style="2973" customWidth="1"/>
    <col min="2310" max="2310" width="8.77734375" style="2973" customWidth="1"/>
    <col min="2311" max="2311" width="7.88671875" style="2973" customWidth="1"/>
    <col min="2312" max="2312" width="38.88671875" style="2973" customWidth="1"/>
    <col min="2313" max="2314" width="9" style="2973" customWidth="1"/>
    <col min="2315" max="2316" width="10.6640625" style="2973" customWidth="1"/>
    <col min="2317" max="2317" width="14.33203125" style="2973" customWidth="1"/>
    <col min="2318" max="2318" width="6.21875" style="2973" customWidth="1"/>
    <col min="2319" max="2319" width="47.6640625" style="2973" customWidth="1"/>
    <col min="2320" max="2320" width="7.88671875" style="2973" customWidth="1"/>
    <col min="2321" max="2560" width="9" style="2973"/>
    <col min="2561" max="2561" width="50.88671875" style="2973" customWidth="1"/>
    <col min="2562" max="2562" width="6.21875" style="2973" customWidth="1"/>
    <col min="2563" max="2563" width="11.77734375" style="2973" customWidth="1"/>
    <col min="2564" max="2565" width="13.88671875" style="2973" customWidth="1"/>
    <col min="2566" max="2566" width="8.77734375" style="2973" customWidth="1"/>
    <col min="2567" max="2567" width="7.88671875" style="2973" customWidth="1"/>
    <col min="2568" max="2568" width="38.88671875" style="2973" customWidth="1"/>
    <col min="2569" max="2570" width="9" style="2973" customWidth="1"/>
    <col min="2571" max="2572" width="10.6640625" style="2973" customWidth="1"/>
    <col min="2573" max="2573" width="14.33203125" style="2973" customWidth="1"/>
    <col min="2574" max="2574" width="6.21875" style="2973" customWidth="1"/>
    <col min="2575" max="2575" width="47.6640625" style="2973" customWidth="1"/>
    <col min="2576" max="2576" width="7.88671875" style="2973" customWidth="1"/>
    <col min="2577" max="2816" width="9" style="2973"/>
    <col min="2817" max="2817" width="50.88671875" style="2973" customWidth="1"/>
    <col min="2818" max="2818" width="6.21875" style="2973" customWidth="1"/>
    <col min="2819" max="2819" width="11.77734375" style="2973" customWidth="1"/>
    <col min="2820" max="2821" width="13.88671875" style="2973" customWidth="1"/>
    <col min="2822" max="2822" width="8.77734375" style="2973" customWidth="1"/>
    <col min="2823" max="2823" width="7.88671875" style="2973" customWidth="1"/>
    <col min="2824" max="2824" width="38.88671875" style="2973" customWidth="1"/>
    <col min="2825" max="2826" width="9" style="2973" customWidth="1"/>
    <col min="2827" max="2828" width="10.6640625" style="2973" customWidth="1"/>
    <col min="2829" max="2829" width="14.33203125" style="2973" customWidth="1"/>
    <col min="2830" max="2830" width="6.21875" style="2973" customWidth="1"/>
    <col min="2831" max="2831" width="47.6640625" style="2973" customWidth="1"/>
    <col min="2832" max="2832" width="7.88671875" style="2973" customWidth="1"/>
    <col min="2833" max="3072" width="9" style="2973"/>
    <col min="3073" max="3073" width="50.88671875" style="2973" customWidth="1"/>
    <col min="3074" max="3074" width="6.21875" style="2973" customWidth="1"/>
    <col min="3075" max="3075" width="11.77734375" style="2973" customWidth="1"/>
    <col min="3076" max="3077" width="13.88671875" style="2973" customWidth="1"/>
    <col min="3078" max="3078" width="8.77734375" style="2973" customWidth="1"/>
    <col min="3079" max="3079" width="7.88671875" style="2973" customWidth="1"/>
    <col min="3080" max="3080" width="38.88671875" style="2973" customWidth="1"/>
    <col min="3081" max="3082" width="9" style="2973" customWidth="1"/>
    <col min="3083" max="3084" width="10.6640625" style="2973" customWidth="1"/>
    <col min="3085" max="3085" width="14.33203125" style="2973" customWidth="1"/>
    <col min="3086" max="3086" width="6.21875" style="2973" customWidth="1"/>
    <col min="3087" max="3087" width="47.6640625" style="2973" customWidth="1"/>
    <col min="3088" max="3088" width="7.88671875" style="2973" customWidth="1"/>
    <col min="3089" max="3328" width="9" style="2973"/>
    <col min="3329" max="3329" width="50.88671875" style="2973" customWidth="1"/>
    <col min="3330" max="3330" width="6.21875" style="2973" customWidth="1"/>
    <col min="3331" max="3331" width="11.77734375" style="2973" customWidth="1"/>
    <col min="3332" max="3333" width="13.88671875" style="2973" customWidth="1"/>
    <col min="3334" max="3334" width="8.77734375" style="2973" customWidth="1"/>
    <col min="3335" max="3335" width="7.88671875" style="2973" customWidth="1"/>
    <col min="3336" max="3336" width="38.88671875" style="2973" customWidth="1"/>
    <col min="3337" max="3338" width="9" style="2973" customWidth="1"/>
    <col min="3339" max="3340" width="10.6640625" style="2973" customWidth="1"/>
    <col min="3341" max="3341" width="14.33203125" style="2973" customWidth="1"/>
    <col min="3342" max="3342" width="6.21875" style="2973" customWidth="1"/>
    <col min="3343" max="3343" width="47.6640625" style="2973" customWidth="1"/>
    <col min="3344" max="3344" width="7.88671875" style="2973" customWidth="1"/>
    <col min="3345" max="3584" width="9" style="2973"/>
    <col min="3585" max="3585" width="50.88671875" style="2973" customWidth="1"/>
    <col min="3586" max="3586" width="6.21875" style="2973" customWidth="1"/>
    <col min="3587" max="3587" width="11.77734375" style="2973" customWidth="1"/>
    <col min="3588" max="3589" width="13.88671875" style="2973" customWidth="1"/>
    <col min="3590" max="3590" width="8.77734375" style="2973" customWidth="1"/>
    <col min="3591" max="3591" width="7.88671875" style="2973" customWidth="1"/>
    <col min="3592" max="3592" width="38.88671875" style="2973" customWidth="1"/>
    <col min="3593" max="3594" width="9" style="2973" customWidth="1"/>
    <col min="3595" max="3596" width="10.6640625" style="2973" customWidth="1"/>
    <col min="3597" max="3597" width="14.33203125" style="2973" customWidth="1"/>
    <col min="3598" max="3598" width="6.21875" style="2973" customWidth="1"/>
    <col min="3599" max="3599" width="47.6640625" style="2973" customWidth="1"/>
    <col min="3600" max="3600" width="7.88671875" style="2973" customWidth="1"/>
    <col min="3601" max="3840" width="9" style="2973"/>
    <col min="3841" max="3841" width="50.88671875" style="2973" customWidth="1"/>
    <col min="3842" max="3842" width="6.21875" style="2973" customWidth="1"/>
    <col min="3843" max="3843" width="11.77734375" style="2973" customWidth="1"/>
    <col min="3844" max="3845" width="13.88671875" style="2973" customWidth="1"/>
    <col min="3846" max="3846" width="8.77734375" style="2973" customWidth="1"/>
    <col min="3847" max="3847" width="7.88671875" style="2973" customWidth="1"/>
    <col min="3848" max="3848" width="38.88671875" style="2973" customWidth="1"/>
    <col min="3849" max="3850" width="9" style="2973" customWidth="1"/>
    <col min="3851" max="3852" width="10.6640625" style="2973" customWidth="1"/>
    <col min="3853" max="3853" width="14.33203125" style="2973" customWidth="1"/>
    <col min="3854" max="3854" width="6.21875" style="2973" customWidth="1"/>
    <col min="3855" max="3855" width="47.6640625" style="2973" customWidth="1"/>
    <col min="3856" max="3856" width="7.88671875" style="2973" customWidth="1"/>
    <col min="3857" max="4096" width="9" style="2973"/>
    <col min="4097" max="4097" width="50.88671875" style="2973" customWidth="1"/>
    <col min="4098" max="4098" width="6.21875" style="2973" customWidth="1"/>
    <col min="4099" max="4099" width="11.77734375" style="2973" customWidth="1"/>
    <col min="4100" max="4101" width="13.88671875" style="2973" customWidth="1"/>
    <col min="4102" max="4102" width="8.77734375" style="2973" customWidth="1"/>
    <col min="4103" max="4103" width="7.88671875" style="2973" customWidth="1"/>
    <col min="4104" max="4104" width="38.88671875" style="2973" customWidth="1"/>
    <col min="4105" max="4106" width="9" style="2973" customWidth="1"/>
    <col min="4107" max="4108" width="10.6640625" style="2973" customWidth="1"/>
    <col min="4109" max="4109" width="14.33203125" style="2973" customWidth="1"/>
    <col min="4110" max="4110" width="6.21875" style="2973" customWidth="1"/>
    <col min="4111" max="4111" width="47.6640625" style="2973" customWidth="1"/>
    <col min="4112" max="4112" width="7.88671875" style="2973" customWidth="1"/>
    <col min="4113" max="4352" width="9" style="2973"/>
    <col min="4353" max="4353" width="50.88671875" style="2973" customWidth="1"/>
    <col min="4354" max="4354" width="6.21875" style="2973" customWidth="1"/>
    <col min="4355" max="4355" width="11.77734375" style="2973" customWidth="1"/>
    <col min="4356" max="4357" width="13.88671875" style="2973" customWidth="1"/>
    <col min="4358" max="4358" width="8.77734375" style="2973" customWidth="1"/>
    <col min="4359" max="4359" width="7.88671875" style="2973" customWidth="1"/>
    <col min="4360" max="4360" width="38.88671875" style="2973" customWidth="1"/>
    <col min="4361" max="4362" width="9" style="2973" customWidth="1"/>
    <col min="4363" max="4364" width="10.6640625" style="2973" customWidth="1"/>
    <col min="4365" max="4365" width="14.33203125" style="2973" customWidth="1"/>
    <col min="4366" max="4366" width="6.21875" style="2973" customWidth="1"/>
    <col min="4367" max="4367" width="47.6640625" style="2973" customWidth="1"/>
    <col min="4368" max="4368" width="7.88671875" style="2973" customWidth="1"/>
    <col min="4369" max="4608" width="9" style="2973"/>
    <col min="4609" max="4609" width="50.88671875" style="2973" customWidth="1"/>
    <col min="4610" max="4610" width="6.21875" style="2973" customWidth="1"/>
    <col min="4611" max="4611" width="11.77734375" style="2973" customWidth="1"/>
    <col min="4612" max="4613" width="13.88671875" style="2973" customWidth="1"/>
    <col min="4614" max="4614" width="8.77734375" style="2973" customWidth="1"/>
    <col min="4615" max="4615" width="7.88671875" style="2973" customWidth="1"/>
    <col min="4616" max="4616" width="38.88671875" style="2973" customWidth="1"/>
    <col min="4617" max="4618" width="9" style="2973" customWidth="1"/>
    <col min="4619" max="4620" width="10.6640625" style="2973" customWidth="1"/>
    <col min="4621" max="4621" width="14.33203125" style="2973" customWidth="1"/>
    <col min="4622" max="4622" width="6.21875" style="2973" customWidth="1"/>
    <col min="4623" max="4623" width="47.6640625" style="2973" customWidth="1"/>
    <col min="4624" max="4624" width="7.88671875" style="2973" customWidth="1"/>
    <col min="4625" max="4864" width="9" style="2973"/>
    <col min="4865" max="4865" width="50.88671875" style="2973" customWidth="1"/>
    <col min="4866" max="4866" width="6.21875" style="2973" customWidth="1"/>
    <col min="4867" max="4867" width="11.77734375" style="2973" customWidth="1"/>
    <col min="4868" max="4869" width="13.88671875" style="2973" customWidth="1"/>
    <col min="4870" max="4870" width="8.77734375" style="2973" customWidth="1"/>
    <col min="4871" max="4871" width="7.88671875" style="2973" customWidth="1"/>
    <col min="4872" max="4872" width="38.88671875" style="2973" customWidth="1"/>
    <col min="4873" max="4874" width="9" style="2973" customWidth="1"/>
    <col min="4875" max="4876" width="10.6640625" style="2973" customWidth="1"/>
    <col min="4877" max="4877" width="14.33203125" style="2973" customWidth="1"/>
    <col min="4878" max="4878" width="6.21875" style="2973" customWidth="1"/>
    <col min="4879" max="4879" width="47.6640625" style="2973" customWidth="1"/>
    <col min="4880" max="4880" width="7.88671875" style="2973" customWidth="1"/>
    <col min="4881" max="5120" width="9" style="2973"/>
    <col min="5121" max="5121" width="50.88671875" style="2973" customWidth="1"/>
    <col min="5122" max="5122" width="6.21875" style="2973" customWidth="1"/>
    <col min="5123" max="5123" width="11.77734375" style="2973" customWidth="1"/>
    <col min="5124" max="5125" width="13.88671875" style="2973" customWidth="1"/>
    <col min="5126" max="5126" width="8.77734375" style="2973" customWidth="1"/>
    <col min="5127" max="5127" width="7.88671875" style="2973" customWidth="1"/>
    <col min="5128" max="5128" width="38.88671875" style="2973" customWidth="1"/>
    <col min="5129" max="5130" width="9" style="2973" customWidth="1"/>
    <col min="5131" max="5132" width="10.6640625" style="2973" customWidth="1"/>
    <col min="5133" max="5133" width="14.33203125" style="2973" customWidth="1"/>
    <col min="5134" max="5134" width="6.21875" style="2973" customWidth="1"/>
    <col min="5135" max="5135" width="47.6640625" style="2973" customWidth="1"/>
    <col min="5136" max="5136" width="7.88671875" style="2973" customWidth="1"/>
    <col min="5137" max="5376" width="9" style="2973"/>
    <col min="5377" max="5377" width="50.88671875" style="2973" customWidth="1"/>
    <col min="5378" max="5378" width="6.21875" style="2973" customWidth="1"/>
    <col min="5379" max="5379" width="11.77734375" style="2973" customWidth="1"/>
    <col min="5380" max="5381" width="13.88671875" style="2973" customWidth="1"/>
    <col min="5382" max="5382" width="8.77734375" style="2973" customWidth="1"/>
    <col min="5383" max="5383" width="7.88671875" style="2973" customWidth="1"/>
    <col min="5384" max="5384" width="38.88671875" style="2973" customWidth="1"/>
    <col min="5385" max="5386" width="9" style="2973" customWidth="1"/>
    <col min="5387" max="5388" width="10.6640625" style="2973" customWidth="1"/>
    <col min="5389" max="5389" width="14.33203125" style="2973" customWidth="1"/>
    <col min="5390" max="5390" width="6.21875" style="2973" customWidth="1"/>
    <col min="5391" max="5391" width="47.6640625" style="2973" customWidth="1"/>
    <col min="5392" max="5392" width="7.88671875" style="2973" customWidth="1"/>
    <col min="5393" max="5632" width="9" style="2973"/>
    <col min="5633" max="5633" width="50.88671875" style="2973" customWidth="1"/>
    <col min="5634" max="5634" width="6.21875" style="2973" customWidth="1"/>
    <col min="5635" max="5635" width="11.77734375" style="2973" customWidth="1"/>
    <col min="5636" max="5637" width="13.88671875" style="2973" customWidth="1"/>
    <col min="5638" max="5638" width="8.77734375" style="2973" customWidth="1"/>
    <col min="5639" max="5639" width="7.88671875" style="2973" customWidth="1"/>
    <col min="5640" max="5640" width="38.88671875" style="2973" customWidth="1"/>
    <col min="5641" max="5642" width="9" style="2973" customWidth="1"/>
    <col min="5643" max="5644" width="10.6640625" style="2973" customWidth="1"/>
    <col min="5645" max="5645" width="14.33203125" style="2973" customWidth="1"/>
    <col min="5646" max="5646" width="6.21875" style="2973" customWidth="1"/>
    <col min="5647" max="5647" width="47.6640625" style="2973" customWidth="1"/>
    <col min="5648" max="5648" width="7.88671875" style="2973" customWidth="1"/>
    <col min="5649" max="5888" width="9" style="2973"/>
    <col min="5889" max="5889" width="50.88671875" style="2973" customWidth="1"/>
    <col min="5890" max="5890" width="6.21875" style="2973" customWidth="1"/>
    <col min="5891" max="5891" width="11.77734375" style="2973" customWidth="1"/>
    <col min="5892" max="5893" width="13.88671875" style="2973" customWidth="1"/>
    <col min="5894" max="5894" width="8.77734375" style="2973" customWidth="1"/>
    <col min="5895" max="5895" width="7.88671875" style="2973" customWidth="1"/>
    <col min="5896" max="5896" width="38.88671875" style="2973" customWidth="1"/>
    <col min="5897" max="5898" width="9" style="2973" customWidth="1"/>
    <col min="5899" max="5900" width="10.6640625" style="2973" customWidth="1"/>
    <col min="5901" max="5901" width="14.33203125" style="2973" customWidth="1"/>
    <col min="5902" max="5902" width="6.21875" style="2973" customWidth="1"/>
    <col min="5903" max="5903" width="47.6640625" style="2973" customWidth="1"/>
    <col min="5904" max="5904" width="7.88671875" style="2973" customWidth="1"/>
    <col min="5905" max="6144" width="9" style="2973"/>
    <col min="6145" max="6145" width="50.88671875" style="2973" customWidth="1"/>
    <col min="6146" max="6146" width="6.21875" style="2973" customWidth="1"/>
    <col min="6147" max="6147" width="11.77734375" style="2973" customWidth="1"/>
    <col min="6148" max="6149" width="13.88671875" style="2973" customWidth="1"/>
    <col min="6150" max="6150" width="8.77734375" style="2973" customWidth="1"/>
    <col min="6151" max="6151" width="7.88671875" style="2973" customWidth="1"/>
    <col min="6152" max="6152" width="38.88671875" style="2973" customWidth="1"/>
    <col min="6153" max="6154" width="9" style="2973" customWidth="1"/>
    <col min="6155" max="6156" width="10.6640625" style="2973" customWidth="1"/>
    <col min="6157" max="6157" width="14.33203125" style="2973" customWidth="1"/>
    <col min="6158" max="6158" width="6.21875" style="2973" customWidth="1"/>
    <col min="6159" max="6159" width="47.6640625" style="2973" customWidth="1"/>
    <col min="6160" max="6160" width="7.88671875" style="2973" customWidth="1"/>
    <col min="6161" max="6400" width="9" style="2973"/>
    <col min="6401" max="6401" width="50.88671875" style="2973" customWidth="1"/>
    <col min="6402" max="6402" width="6.21875" style="2973" customWidth="1"/>
    <col min="6403" max="6403" width="11.77734375" style="2973" customWidth="1"/>
    <col min="6404" max="6405" width="13.88671875" style="2973" customWidth="1"/>
    <col min="6406" max="6406" width="8.77734375" style="2973" customWidth="1"/>
    <col min="6407" max="6407" width="7.88671875" style="2973" customWidth="1"/>
    <col min="6408" max="6408" width="38.88671875" style="2973" customWidth="1"/>
    <col min="6409" max="6410" width="9" style="2973" customWidth="1"/>
    <col min="6411" max="6412" width="10.6640625" style="2973" customWidth="1"/>
    <col min="6413" max="6413" width="14.33203125" style="2973" customWidth="1"/>
    <col min="6414" max="6414" width="6.21875" style="2973" customWidth="1"/>
    <col min="6415" max="6415" width="47.6640625" style="2973" customWidth="1"/>
    <col min="6416" max="6416" width="7.88671875" style="2973" customWidth="1"/>
    <col min="6417" max="6656" width="9" style="2973"/>
    <col min="6657" max="6657" width="50.88671875" style="2973" customWidth="1"/>
    <col min="6658" max="6658" width="6.21875" style="2973" customWidth="1"/>
    <col min="6659" max="6659" width="11.77734375" style="2973" customWidth="1"/>
    <col min="6660" max="6661" width="13.88671875" style="2973" customWidth="1"/>
    <col min="6662" max="6662" width="8.77734375" style="2973" customWidth="1"/>
    <col min="6663" max="6663" width="7.88671875" style="2973" customWidth="1"/>
    <col min="6664" max="6664" width="38.88671875" style="2973" customWidth="1"/>
    <col min="6665" max="6666" width="9" style="2973" customWidth="1"/>
    <col min="6667" max="6668" width="10.6640625" style="2973" customWidth="1"/>
    <col min="6669" max="6669" width="14.33203125" style="2973" customWidth="1"/>
    <col min="6670" max="6670" width="6.21875" style="2973" customWidth="1"/>
    <col min="6671" max="6671" width="47.6640625" style="2973" customWidth="1"/>
    <col min="6672" max="6672" width="7.88671875" style="2973" customWidth="1"/>
    <col min="6673" max="6912" width="9" style="2973"/>
    <col min="6913" max="6913" width="50.88671875" style="2973" customWidth="1"/>
    <col min="6914" max="6914" width="6.21875" style="2973" customWidth="1"/>
    <col min="6915" max="6915" width="11.77734375" style="2973" customWidth="1"/>
    <col min="6916" max="6917" width="13.88671875" style="2973" customWidth="1"/>
    <col min="6918" max="6918" width="8.77734375" style="2973" customWidth="1"/>
    <col min="6919" max="6919" width="7.88671875" style="2973" customWidth="1"/>
    <col min="6920" max="6920" width="38.88671875" style="2973" customWidth="1"/>
    <col min="6921" max="6922" width="9" style="2973" customWidth="1"/>
    <col min="6923" max="6924" width="10.6640625" style="2973" customWidth="1"/>
    <col min="6925" max="6925" width="14.33203125" style="2973" customWidth="1"/>
    <col min="6926" max="6926" width="6.21875" style="2973" customWidth="1"/>
    <col min="6927" max="6927" width="47.6640625" style="2973" customWidth="1"/>
    <col min="6928" max="6928" width="7.88671875" style="2973" customWidth="1"/>
    <col min="6929" max="7168" width="9" style="2973"/>
    <col min="7169" max="7169" width="50.88671875" style="2973" customWidth="1"/>
    <col min="7170" max="7170" width="6.21875" style="2973" customWidth="1"/>
    <col min="7171" max="7171" width="11.77734375" style="2973" customWidth="1"/>
    <col min="7172" max="7173" width="13.88671875" style="2973" customWidth="1"/>
    <col min="7174" max="7174" width="8.77734375" style="2973" customWidth="1"/>
    <col min="7175" max="7175" width="7.88671875" style="2973" customWidth="1"/>
    <col min="7176" max="7176" width="38.88671875" style="2973" customWidth="1"/>
    <col min="7177" max="7178" width="9" style="2973" customWidth="1"/>
    <col min="7179" max="7180" width="10.6640625" style="2973" customWidth="1"/>
    <col min="7181" max="7181" width="14.33203125" style="2973" customWidth="1"/>
    <col min="7182" max="7182" width="6.21875" style="2973" customWidth="1"/>
    <col min="7183" max="7183" width="47.6640625" style="2973" customWidth="1"/>
    <col min="7184" max="7184" width="7.88671875" style="2973" customWidth="1"/>
    <col min="7185" max="7424" width="9" style="2973"/>
    <col min="7425" max="7425" width="50.88671875" style="2973" customWidth="1"/>
    <col min="7426" max="7426" width="6.21875" style="2973" customWidth="1"/>
    <col min="7427" max="7427" width="11.77734375" style="2973" customWidth="1"/>
    <col min="7428" max="7429" width="13.88671875" style="2973" customWidth="1"/>
    <col min="7430" max="7430" width="8.77734375" style="2973" customWidth="1"/>
    <col min="7431" max="7431" width="7.88671875" style="2973" customWidth="1"/>
    <col min="7432" max="7432" width="38.88671875" style="2973" customWidth="1"/>
    <col min="7433" max="7434" width="9" style="2973" customWidth="1"/>
    <col min="7435" max="7436" width="10.6640625" style="2973" customWidth="1"/>
    <col min="7437" max="7437" width="14.33203125" style="2973" customWidth="1"/>
    <col min="7438" max="7438" width="6.21875" style="2973" customWidth="1"/>
    <col min="7439" max="7439" width="47.6640625" style="2973" customWidth="1"/>
    <col min="7440" max="7440" width="7.88671875" style="2973" customWidth="1"/>
    <col min="7441" max="7680" width="9" style="2973"/>
    <col min="7681" max="7681" width="50.88671875" style="2973" customWidth="1"/>
    <col min="7682" max="7682" width="6.21875" style="2973" customWidth="1"/>
    <col min="7683" max="7683" width="11.77734375" style="2973" customWidth="1"/>
    <col min="7684" max="7685" width="13.88671875" style="2973" customWidth="1"/>
    <col min="7686" max="7686" width="8.77734375" style="2973" customWidth="1"/>
    <col min="7687" max="7687" width="7.88671875" style="2973" customWidth="1"/>
    <col min="7688" max="7688" width="38.88671875" style="2973" customWidth="1"/>
    <col min="7689" max="7690" width="9" style="2973" customWidth="1"/>
    <col min="7691" max="7692" width="10.6640625" style="2973" customWidth="1"/>
    <col min="7693" max="7693" width="14.33203125" style="2973" customWidth="1"/>
    <col min="7694" max="7694" width="6.21875" style="2973" customWidth="1"/>
    <col min="7695" max="7695" width="47.6640625" style="2973" customWidth="1"/>
    <col min="7696" max="7696" width="7.88671875" style="2973" customWidth="1"/>
    <col min="7697" max="7936" width="9" style="2973"/>
    <col min="7937" max="7937" width="50.88671875" style="2973" customWidth="1"/>
    <col min="7938" max="7938" width="6.21875" style="2973" customWidth="1"/>
    <col min="7939" max="7939" width="11.77734375" style="2973" customWidth="1"/>
    <col min="7940" max="7941" width="13.88671875" style="2973" customWidth="1"/>
    <col min="7942" max="7942" width="8.77734375" style="2973" customWidth="1"/>
    <col min="7943" max="7943" width="7.88671875" style="2973" customWidth="1"/>
    <col min="7944" max="7944" width="38.88671875" style="2973" customWidth="1"/>
    <col min="7945" max="7946" width="9" style="2973" customWidth="1"/>
    <col min="7947" max="7948" width="10.6640625" style="2973" customWidth="1"/>
    <col min="7949" max="7949" width="14.33203125" style="2973" customWidth="1"/>
    <col min="7950" max="7950" width="6.21875" style="2973" customWidth="1"/>
    <col min="7951" max="7951" width="47.6640625" style="2973" customWidth="1"/>
    <col min="7952" max="7952" width="7.88671875" style="2973" customWidth="1"/>
    <col min="7953" max="8192" width="9" style="2973"/>
    <col min="8193" max="8193" width="50.88671875" style="2973" customWidth="1"/>
    <col min="8194" max="8194" width="6.21875" style="2973" customWidth="1"/>
    <col min="8195" max="8195" width="11.77734375" style="2973" customWidth="1"/>
    <col min="8196" max="8197" width="13.88671875" style="2973" customWidth="1"/>
    <col min="8198" max="8198" width="8.77734375" style="2973" customWidth="1"/>
    <col min="8199" max="8199" width="7.88671875" style="2973" customWidth="1"/>
    <col min="8200" max="8200" width="38.88671875" style="2973" customWidth="1"/>
    <col min="8201" max="8202" width="9" style="2973" customWidth="1"/>
    <col min="8203" max="8204" width="10.6640625" style="2973" customWidth="1"/>
    <col min="8205" max="8205" width="14.33203125" style="2973" customWidth="1"/>
    <col min="8206" max="8206" width="6.21875" style="2973" customWidth="1"/>
    <col min="8207" max="8207" width="47.6640625" style="2973" customWidth="1"/>
    <col min="8208" max="8208" width="7.88671875" style="2973" customWidth="1"/>
    <col min="8209" max="8448" width="9" style="2973"/>
    <col min="8449" max="8449" width="50.88671875" style="2973" customWidth="1"/>
    <col min="8450" max="8450" width="6.21875" style="2973" customWidth="1"/>
    <col min="8451" max="8451" width="11.77734375" style="2973" customWidth="1"/>
    <col min="8452" max="8453" width="13.88671875" style="2973" customWidth="1"/>
    <col min="8454" max="8454" width="8.77734375" style="2973" customWidth="1"/>
    <col min="8455" max="8455" width="7.88671875" style="2973" customWidth="1"/>
    <col min="8456" max="8456" width="38.88671875" style="2973" customWidth="1"/>
    <col min="8457" max="8458" width="9" style="2973" customWidth="1"/>
    <col min="8459" max="8460" width="10.6640625" style="2973" customWidth="1"/>
    <col min="8461" max="8461" width="14.33203125" style="2973" customWidth="1"/>
    <col min="8462" max="8462" width="6.21875" style="2973" customWidth="1"/>
    <col min="8463" max="8463" width="47.6640625" style="2973" customWidth="1"/>
    <col min="8464" max="8464" width="7.88671875" style="2973" customWidth="1"/>
    <col min="8465" max="8704" width="9" style="2973"/>
    <col min="8705" max="8705" width="50.88671875" style="2973" customWidth="1"/>
    <col min="8706" max="8706" width="6.21875" style="2973" customWidth="1"/>
    <col min="8707" max="8707" width="11.77734375" style="2973" customWidth="1"/>
    <col min="8708" max="8709" width="13.88671875" style="2973" customWidth="1"/>
    <col min="8710" max="8710" width="8.77734375" style="2973" customWidth="1"/>
    <col min="8711" max="8711" width="7.88671875" style="2973" customWidth="1"/>
    <col min="8712" max="8712" width="38.88671875" style="2973" customWidth="1"/>
    <col min="8713" max="8714" width="9" style="2973" customWidth="1"/>
    <col min="8715" max="8716" width="10.6640625" style="2973" customWidth="1"/>
    <col min="8717" max="8717" width="14.33203125" style="2973" customWidth="1"/>
    <col min="8718" max="8718" width="6.21875" style="2973" customWidth="1"/>
    <col min="8719" max="8719" width="47.6640625" style="2973" customWidth="1"/>
    <col min="8720" max="8720" width="7.88671875" style="2973" customWidth="1"/>
    <col min="8721" max="8960" width="9" style="2973"/>
    <col min="8961" max="8961" width="50.88671875" style="2973" customWidth="1"/>
    <col min="8962" max="8962" width="6.21875" style="2973" customWidth="1"/>
    <col min="8963" max="8963" width="11.77734375" style="2973" customWidth="1"/>
    <col min="8964" max="8965" width="13.88671875" style="2973" customWidth="1"/>
    <col min="8966" max="8966" width="8.77734375" style="2973" customWidth="1"/>
    <col min="8967" max="8967" width="7.88671875" style="2973" customWidth="1"/>
    <col min="8968" max="8968" width="38.88671875" style="2973" customWidth="1"/>
    <col min="8969" max="8970" width="9" style="2973" customWidth="1"/>
    <col min="8971" max="8972" width="10.6640625" style="2973" customWidth="1"/>
    <col min="8973" max="8973" width="14.33203125" style="2973" customWidth="1"/>
    <col min="8974" max="8974" width="6.21875" style="2973" customWidth="1"/>
    <col min="8975" max="8975" width="47.6640625" style="2973" customWidth="1"/>
    <col min="8976" max="8976" width="7.88671875" style="2973" customWidth="1"/>
    <col min="8977" max="9216" width="9" style="2973"/>
    <col min="9217" max="9217" width="50.88671875" style="2973" customWidth="1"/>
    <col min="9218" max="9218" width="6.21875" style="2973" customWidth="1"/>
    <col min="9219" max="9219" width="11.77734375" style="2973" customWidth="1"/>
    <col min="9220" max="9221" width="13.88671875" style="2973" customWidth="1"/>
    <col min="9222" max="9222" width="8.77734375" style="2973" customWidth="1"/>
    <col min="9223" max="9223" width="7.88671875" style="2973" customWidth="1"/>
    <col min="9224" max="9224" width="38.88671875" style="2973" customWidth="1"/>
    <col min="9225" max="9226" width="9" style="2973" customWidth="1"/>
    <col min="9227" max="9228" width="10.6640625" style="2973" customWidth="1"/>
    <col min="9229" max="9229" width="14.33203125" style="2973" customWidth="1"/>
    <col min="9230" max="9230" width="6.21875" style="2973" customWidth="1"/>
    <col min="9231" max="9231" width="47.6640625" style="2973" customWidth="1"/>
    <col min="9232" max="9232" width="7.88671875" style="2973" customWidth="1"/>
    <col min="9233" max="9472" width="9" style="2973"/>
    <col min="9473" max="9473" width="50.88671875" style="2973" customWidth="1"/>
    <col min="9474" max="9474" width="6.21875" style="2973" customWidth="1"/>
    <col min="9475" max="9475" width="11.77734375" style="2973" customWidth="1"/>
    <col min="9476" max="9477" width="13.88671875" style="2973" customWidth="1"/>
    <col min="9478" max="9478" width="8.77734375" style="2973" customWidth="1"/>
    <col min="9479" max="9479" width="7.88671875" style="2973" customWidth="1"/>
    <col min="9480" max="9480" width="38.88671875" style="2973" customWidth="1"/>
    <col min="9481" max="9482" width="9" style="2973" customWidth="1"/>
    <col min="9483" max="9484" width="10.6640625" style="2973" customWidth="1"/>
    <col min="9485" max="9485" width="14.33203125" style="2973" customWidth="1"/>
    <col min="9486" max="9486" width="6.21875" style="2973" customWidth="1"/>
    <col min="9487" max="9487" width="47.6640625" style="2973" customWidth="1"/>
    <col min="9488" max="9488" width="7.88671875" style="2973" customWidth="1"/>
    <col min="9489" max="9728" width="9" style="2973"/>
    <col min="9729" max="9729" width="50.88671875" style="2973" customWidth="1"/>
    <col min="9730" max="9730" width="6.21875" style="2973" customWidth="1"/>
    <col min="9731" max="9731" width="11.77734375" style="2973" customWidth="1"/>
    <col min="9732" max="9733" width="13.88671875" style="2973" customWidth="1"/>
    <col min="9734" max="9734" width="8.77734375" style="2973" customWidth="1"/>
    <col min="9735" max="9735" width="7.88671875" style="2973" customWidth="1"/>
    <col min="9736" max="9736" width="38.88671875" style="2973" customWidth="1"/>
    <col min="9737" max="9738" width="9" style="2973" customWidth="1"/>
    <col min="9739" max="9740" width="10.6640625" style="2973" customWidth="1"/>
    <col min="9741" max="9741" width="14.33203125" style="2973" customWidth="1"/>
    <col min="9742" max="9742" width="6.21875" style="2973" customWidth="1"/>
    <col min="9743" max="9743" width="47.6640625" style="2973" customWidth="1"/>
    <col min="9744" max="9744" width="7.88671875" style="2973" customWidth="1"/>
    <col min="9745" max="9984" width="9" style="2973"/>
    <col min="9985" max="9985" width="50.88671875" style="2973" customWidth="1"/>
    <col min="9986" max="9986" width="6.21875" style="2973" customWidth="1"/>
    <col min="9987" max="9987" width="11.77734375" style="2973" customWidth="1"/>
    <col min="9988" max="9989" width="13.88671875" style="2973" customWidth="1"/>
    <col min="9990" max="9990" width="8.77734375" style="2973" customWidth="1"/>
    <col min="9991" max="9991" width="7.88671875" style="2973" customWidth="1"/>
    <col min="9992" max="9992" width="38.88671875" style="2973" customWidth="1"/>
    <col min="9993" max="9994" width="9" style="2973" customWidth="1"/>
    <col min="9995" max="9996" width="10.6640625" style="2973" customWidth="1"/>
    <col min="9997" max="9997" width="14.33203125" style="2973" customWidth="1"/>
    <col min="9998" max="9998" width="6.21875" style="2973" customWidth="1"/>
    <col min="9999" max="9999" width="47.6640625" style="2973" customWidth="1"/>
    <col min="10000" max="10000" width="7.88671875" style="2973" customWidth="1"/>
    <col min="10001" max="10240" width="9" style="2973"/>
    <col min="10241" max="10241" width="50.88671875" style="2973" customWidth="1"/>
    <col min="10242" max="10242" width="6.21875" style="2973" customWidth="1"/>
    <col min="10243" max="10243" width="11.77734375" style="2973" customWidth="1"/>
    <col min="10244" max="10245" width="13.88671875" style="2973" customWidth="1"/>
    <col min="10246" max="10246" width="8.77734375" style="2973" customWidth="1"/>
    <col min="10247" max="10247" width="7.88671875" style="2973" customWidth="1"/>
    <col min="10248" max="10248" width="38.88671875" style="2973" customWidth="1"/>
    <col min="10249" max="10250" width="9" style="2973" customWidth="1"/>
    <col min="10251" max="10252" width="10.6640625" style="2973" customWidth="1"/>
    <col min="10253" max="10253" width="14.33203125" style="2973" customWidth="1"/>
    <col min="10254" max="10254" width="6.21875" style="2973" customWidth="1"/>
    <col min="10255" max="10255" width="47.6640625" style="2973" customWidth="1"/>
    <col min="10256" max="10256" width="7.88671875" style="2973" customWidth="1"/>
    <col min="10257" max="10496" width="9" style="2973"/>
    <col min="10497" max="10497" width="50.88671875" style="2973" customWidth="1"/>
    <col min="10498" max="10498" width="6.21875" style="2973" customWidth="1"/>
    <col min="10499" max="10499" width="11.77734375" style="2973" customWidth="1"/>
    <col min="10500" max="10501" width="13.88671875" style="2973" customWidth="1"/>
    <col min="10502" max="10502" width="8.77734375" style="2973" customWidth="1"/>
    <col min="10503" max="10503" width="7.88671875" style="2973" customWidth="1"/>
    <col min="10504" max="10504" width="38.88671875" style="2973" customWidth="1"/>
    <col min="10505" max="10506" width="9" style="2973" customWidth="1"/>
    <col min="10507" max="10508" width="10.6640625" style="2973" customWidth="1"/>
    <col min="10509" max="10509" width="14.33203125" style="2973" customWidth="1"/>
    <col min="10510" max="10510" width="6.21875" style="2973" customWidth="1"/>
    <col min="10511" max="10511" width="47.6640625" style="2973" customWidth="1"/>
    <col min="10512" max="10512" width="7.88671875" style="2973" customWidth="1"/>
    <col min="10513" max="10752" width="9" style="2973"/>
    <col min="10753" max="10753" width="50.88671875" style="2973" customWidth="1"/>
    <col min="10754" max="10754" width="6.21875" style="2973" customWidth="1"/>
    <col min="10755" max="10755" width="11.77734375" style="2973" customWidth="1"/>
    <col min="10756" max="10757" width="13.88671875" style="2973" customWidth="1"/>
    <col min="10758" max="10758" width="8.77734375" style="2973" customWidth="1"/>
    <col min="10759" max="10759" width="7.88671875" style="2973" customWidth="1"/>
    <col min="10760" max="10760" width="38.88671875" style="2973" customWidth="1"/>
    <col min="10761" max="10762" width="9" style="2973" customWidth="1"/>
    <col min="10763" max="10764" width="10.6640625" style="2973" customWidth="1"/>
    <col min="10765" max="10765" width="14.33203125" style="2973" customWidth="1"/>
    <col min="10766" max="10766" width="6.21875" style="2973" customWidth="1"/>
    <col min="10767" max="10767" width="47.6640625" style="2973" customWidth="1"/>
    <col min="10768" max="10768" width="7.88671875" style="2973" customWidth="1"/>
    <col min="10769" max="11008" width="9" style="2973"/>
    <col min="11009" max="11009" width="50.88671875" style="2973" customWidth="1"/>
    <col min="11010" max="11010" width="6.21875" style="2973" customWidth="1"/>
    <col min="11011" max="11011" width="11.77734375" style="2973" customWidth="1"/>
    <col min="11012" max="11013" width="13.88671875" style="2973" customWidth="1"/>
    <col min="11014" max="11014" width="8.77734375" style="2973" customWidth="1"/>
    <col min="11015" max="11015" width="7.88671875" style="2973" customWidth="1"/>
    <col min="11016" max="11016" width="38.88671875" style="2973" customWidth="1"/>
    <col min="11017" max="11018" width="9" style="2973" customWidth="1"/>
    <col min="11019" max="11020" width="10.6640625" style="2973" customWidth="1"/>
    <col min="11021" max="11021" width="14.33203125" style="2973" customWidth="1"/>
    <col min="11022" max="11022" width="6.21875" style="2973" customWidth="1"/>
    <col min="11023" max="11023" width="47.6640625" style="2973" customWidth="1"/>
    <col min="11024" max="11024" width="7.88671875" style="2973" customWidth="1"/>
    <col min="11025" max="11264" width="9" style="2973"/>
    <col min="11265" max="11265" width="50.88671875" style="2973" customWidth="1"/>
    <col min="11266" max="11266" width="6.21875" style="2973" customWidth="1"/>
    <col min="11267" max="11267" width="11.77734375" style="2973" customWidth="1"/>
    <col min="11268" max="11269" width="13.88671875" style="2973" customWidth="1"/>
    <col min="11270" max="11270" width="8.77734375" style="2973" customWidth="1"/>
    <col min="11271" max="11271" width="7.88671875" style="2973" customWidth="1"/>
    <col min="11272" max="11272" width="38.88671875" style="2973" customWidth="1"/>
    <col min="11273" max="11274" width="9" style="2973" customWidth="1"/>
    <col min="11275" max="11276" width="10.6640625" style="2973" customWidth="1"/>
    <col min="11277" max="11277" width="14.33203125" style="2973" customWidth="1"/>
    <col min="11278" max="11278" width="6.21875" style="2973" customWidth="1"/>
    <col min="11279" max="11279" width="47.6640625" style="2973" customWidth="1"/>
    <col min="11280" max="11280" width="7.88671875" style="2973" customWidth="1"/>
    <col min="11281" max="11520" width="9" style="2973"/>
    <col min="11521" max="11521" width="50.88671875" style="2973" customWidth="1"/>
    <col min="11522" max="11522" width="6.21875" style="2973" customWidth="1"/>
    <col min="11523" max="11523" width="11.77734375" style="2973" customWidth="1"/>
    <col min="11524" max="11525" width="13.88671875" style="2973" customWidth="1"/>
    <col min="11526" max="11526" width="8.77734375" style="2973" customWidth="1"/>
    <col min="11527" max="11527" width="7.88671875" style="2973" customWidth="1"/>
    <col min="11528" max="11528" width="38.88671875" style="2973" customWidth="1"/>
    <col min="11529" max="11530" width="9" style="2973" customWidth="1"/>
    <col min="11531" max="11532" width="10.6640625" style="2973" customWidth="1"/>
    <col min="11533" max="11533" width="14.33203125" style="2973" customWidth="1"/>
    <col min="11534" max="11534" width="6.21875" style="2973" customWidth="1"/>
    <col min="11535" max="11535" width="47.6640625" style="2973" customWidth="1"/>
    <col min="11536" max="11536" width="7.88671875" style="2973" customWidth="1"/>
    <col min="11537" max="11776" width="9" style="2973"/>
    <col min="11777" max="11777" width="50.88671875" style="2973" customWidth="1"/>
    <col min="11778" max="11778" width="6.21875" style="2973" customWidth="1"/>
    <col min="11779" max="11779" width="11.77734375" style="2973" customWidth="1"/>
    <col min="11780" max="11781" width="13.88671875" style="2973" customWidth="1"/>
    <col min="11782" max="11782" width="8.77734375" style="2973" customWidth="1"/>
    <col min="11783" max="11783" width="7.88671875" style="2973" customWidth="1"/>
    <col min="11784" max="11784" width="38.88671875" style="2973" customWidth="1"/>
    <col min="11785" max="11786" width="9" style="2973" customWidth="1"/>
    <col min="11787" max="11788" width="10.6640625" style="2973" customWidth="1"/>
    <col min="11789" max="11789" width="14.33203125" style="2973" customWidth="1"/>
    <col min="11790" max="11790" width="6.21875" style="2973" customWidth="1"/>
    <col min="11791" max="11791" width="47.6640625" style="2973" customWidth="1"/>
    <col min="11792" max="11792" width="7.88671875" style="2973" customWidth="1"/>
    <col min="11793" max="12032" width="9" style="2973"/>
    <col min="12033" max="12033" width="50.88671875" style="2973" customWidth="1"/>
    <col min="12034" max="12034" width="6.21875" style="2973" customWidth="1"/>
    <col min="12035" max="12035" width="11.77734375" style="2973" customWidth="1"/>
    <col min="12036" max="12037" width="13.88671875" style="2973" customWidth="1"/>
    <col min="12038" max="12038" width="8.77734375" style="2973" customWidth="1"/>
    <col min="12039" max="12039" width="7.88671875" style="2973" customWidth="1"/>
    <col min="12040" max="12040" width="38.88671875" style="2973" customWidth="1"/>
    <col min="12041" max="12042" width="9" style="2973" customWidth="1"/>
    <col min="12043" max="12044" width="10.6640625" style="2973" customWidth="1"/>
    <col min="12045" max="12045" width="14.33203125" style="2973" customWidth="1"/>
    <col min="12046" max="12046" width="6.21875" style="2973" customWidth="1"/>
    <col min="12047" max="12047" width="47.6640625" style="2973" customWidth="1"/>
    <col min="12048" max="12048" width="7.88671875" style="2973" customWidth="1"/>
    <col min="12049" max="12288" width="9" style="2973"/>
    <col min="12289" max="12289" width="50.88671875" style="2973" customWidth="1"/>
    <col min="12290" max="12290" width="6.21875" style="2973" customWidth="1"/>
    <col min="12291" max="12291" width="11.77734375" style="2973" customWidth="1"/>
    <col min="12292" max="12293" width="13.88671875" style="2973" customWidth="1"/>
    <col min="12294" max="12294" width="8.77734375" style="2973" customWidth="1"/>
    <col min="12295" max="12295" width="7.88671875" style="2973" customWidth="1"/>
    <col min="12296" max="12296" width="38.88671875" style="2973" customWidth="1"/>
    <col min="12297" max="12298" width="9" style="2973" customWidth="1"/>
    <col min="12299" max="12300" width="10.6640625" style="2973" customWidth="1"/>
    <col min="12301" max="12301" width="14.33203125" style="2973" customWidth="1"/>
    <col min="12302" max="12302" width="6.21875" style="2973" customWidth="1"/>
    <col min="12303" max="12303" width="47.6640625" style="2973" customWidth="1"/>
    <col min="12304" max="12304" width="7.88671875" style="2973" customWidth="1"/>
    <col min="12305" max="12544" width="9" style="2973"/>
    <col min="12545" max="12545" width="50.88671875" style="2973" customWidth="1"/>
    <col min="12546" max="12546" width="6.21875" style="2973" customWidth="1"/>
    <col min="12547" max="12547" width="11.77734375" style="2973" customWidth="1"/>
    <col min="12548" max="12549" width="13.88671875" style="2973" customWidth="1"/>
    <col min="12550" max="12550" width="8.77734375" style="2973" customWidth="1"/>
    <col min="12551" max="12551" width="7.88671875" style="2973" customWidth="1"/>
    <col min="12552" max="12552" width="38.88671875" style="2973" customWidth="1"/>
    <col min="12553" max="12554" width="9" style="2973" customWidth="1"/>
    <col min="12555" max="12556" width="10.6640625" style="2973" customWidth="1"/>
    <col min="12557" max="12557" width="14.33203125" style="2973" customWidth="1"/>
    <col min="12558" max="12558" width="6.21875" style="2973" customWidth="1"/>
    <col min="12559" max="12559" width="47.6640625" style="2973" customWidth="1"/>
    <col min="12560" max="12560" width="7.88671875" style="2973" customWidth="1"/>
    <col min="12561" max="12800" width="9" style="2973"/>
    <col min="12801" max="12801" width="50.88671875" style="2973" customWidth="1"/>
    <col min="12802" max="12802" width="6.21875" style="2973" customWidth="1"/>
    <col min="12803" max="12803" width="11.77734375" style="2973" customWidth="1"/>
    <col min="12804" max="12805" width="13.88671875" style="2973" customWidth="1"/>
    <col min="12806" max="12806" width="8.77734375" style="2973" customWidth="1"/>
    <col min="12807" max="12807" width="7.88671875" style="2973" customWidth="1"/>
    <col min="12808" max="12808" width="38.88671875" style="2973" customWidth="1"/>
    <col min="12809" max="12810" width="9" style="2973" customWidth="1"/>
    <col min="12811" max="12812" width="10.6640625" style="2973" customWidth="1"/>
    <col min="12813" max="12813" width="14.33203125" style="2973" customWidth="1"/>
    <col min="12814" max="12814" width="6.21875" style="2973" customWidth="1"/>
    <col min="12815" max="12815" width="47.6640625" style="2973" customWidth="1"/>
    <col min="12816" max="12816" width="7.88671875" style="2973" customWidth="1"/>
    <col min="12817" max="13056" width="9" style="2973"/>
    <col min="13057" max="13057" width="50.88671875" style="2973" customWidth="1"/>
    <col min="13058" max="13058" width="6.21875" style="2973" customWidth="1"/>
    <col min="13059" max="13059" width="11.77734375" style="2973" customWidth="1"/>
    <col min="13060" max="13061" width="13.88671875" style="2973" customWidth="1"/>
    <col min="13062" max="13062" width="8.77734375" style="2973" customWidth="1"/>
    <col min="13063" max="13063" width="7.88671875" style="2973" customWidth="1"/>
    <col min="13064" max="13064" width="38.88671875" style="2973" customWidth="1"/>
    <col min="13065" max="13066" width="9" style="2973" customWidth="1"/>
    <col min="13067" max="13068" width="10.6640625" style="2973" customWidth="1"/>
    <col min="13069" max="13069" width="14.33203125" style="2973" customWidth="1"/>
    <col min="13070" max="13070" width="6.21875" style="2973" customWidth="1"/>
    <col min="13071" max="13071" width="47.6640625" style="2973" customWidth="1"/>
    <col min="13072" max="13072" width="7.88671875" style="2973" customWidth="1"/>
    <col min="13073" max="13312" width="9" style="2973"/>
    <col min="13313" max="13313" width="50.88671875" style="2973" customWidth="1"/>
    <col min="13314" max="13314" width="6.21875" style="2973" customWidth="1"/>
    <col min="13315" max="13315" width="11.77734375" style="2973" customWidth="1"/>
    <col min="13316" max="13317" width="13.88671875" style="2973" customWidth="1"/>
    <col min="13318" max="13318" width="8.77734375" style="2973" customWidth="1"/>
    <col min="13319" max="13319" width="7.88671875" style="2973" customWidth="1"/>
    <col min="13320" max="13320" width="38.88671875" style="2973" customWidth="1"/>
    <col min="13321" max="13322" width="9" style="2973" customWidth="1"/>
    <col min="13323" max="13324" width="10.6640625" style="2973" customWidth="1"/>
    <col min="13325" max="13325" width="14.33203125" style="2973" customWidth="1"/>
    <col min="13326" max="13326" width="6.21875" style="2973" customWidth="1"/>
    <col min="13327" max="13327" width="47.6640625" style="2973" customWidth="1"/>
    <col min="13328" max="13328" width="7.88671875" style="2973" customWidth="1"/>
    <col min="13329" max="13568" width="9" style="2973"/>
    <col min="13569" max="13569" width="50.88671875" style="2973" customWidth="1"/>
    <col min="13570" max="13570" width="6.21875" style="2973" customWidth="1"/>
    <col min="13571" max="13571" width="11.77734375" style="2973" customWidth="1"/>
    <col min="13572" max="13573" width="13.88671875" style="2973" customWidth="1"/>
    <col min="13574" max="13574" width="8.77734375" style="2973" customWidth="1"/>
    <col min="13575" max="13575" width="7.88671875" style="2973" customWidth="1"/>
    <col min="13576" max="13576" width="38.88671875" style="2973" customWidth="1"/>
    <col min="13577" max="13578" width="9" style="2973" customWidth="1"/>
    <col min="13579" max="13580" width="10.6640625" style="2973" customWidth="1"/>
    <col min="13581" max="13581" width="14.33203125" style="2973" customWidth="1"/>
    <col min="13582" max="13582" width="6.21875" style="2973" customWidth="1"/>
    <col min="13583" max="13583" width="47.6640625" style="2973" customWidth="1"/>
    <col min="13584" max="13584" width="7.88671875" style="2973" customWidth="1"/>
    <col min="13585" max="13824" width="9" style="2973"/>
    <col min="13825" max="13825" width="50.88671875" style="2973" customWidth="1"/>
    <col min="13826" max="13826" width="6.21875" style="2973" customWidth="1"/>
    <col min="13827" max="13827" width="11.77734375" style="2973" customWidth="1"/>
    <col min="13828" max="13829" width="13.88671875" style="2973" customWidth="1"/>
    <col min="13830" max="13830" width="8.77734375" style="2973" customWidth="1"/>
    <col min="13831" max="13831" width="7.88671875" style="2973" customWidth="1"/>
    <col min="13832" max="13832" width="38.88671875" style="2973" customWidth="1"/>
    <col min="13833" max="13834" width="9" style="2973" customWidth="1"/>
    <col min="13835" max="13836" width="10.6640625" style="2973" customWidth="1"/>
    <col min="13837" max="13837" width="14.33203125" style="2973" customWidth="1"/>
    <col min="13838" max="13838" width="6.21875" style="2973" customWidth="1"/>
    <col min="13839" max="13839" width="47.6640625" style="2973" customWidth="1"/>
    <col min="13840" max="13840" width="7.88671875" style="2973" customWidth="1"/>
    <col min="13841" max="14080" width="9" style="2973"/>
    <col min="14081" max="14081" width="50.88671875" style="2973" customWidth="1"/>
    <col min="14082" max="14082" width="6.21875" style="2973" customWidth="1"/>
    <col min="14083" max="14083" width="11.77734375" style="2973" customWidth="1"/>
    <col min="14084" max="14085" width="13.88671875" style="2973" customWidth="1"/>
    <col min="14086" max="14086" width="8.77734375" style="2973" customWidth="1"/>
    <col min="14087" max="14087" width="7.88671875" style="2973" customWidth="1"/>
    <col min="14088" max="14088" width="38.88671875" style="2973" customWidth="1"/>
    <col min="14089" max="14090" width="9" style="2973" customWidth="1"/>
    <col min="14091" max="14092" width="10.6640625" style="2973" customWidth="1"/>
    <col min="14093" max="14093" width="14.33203125" style="2973" customWidth="1"/>
    <col min="14094" max="14094" width="6.21875" style="2973" customWidth="1"/>
    <col min="14095" max="14095" width="47.6640625" style="2973" customWidth="1"/>
    <col min="14096" max="14096" width="7.88671875" style="2973" customWidth="1"/>
    <col min="14097" max="14336" width="9" style="2973"/>
    <col min="14337" max="14337" width="50.88671875" style="2973" customWidth="1"/>
    <col min="14338" max="14338" width="6.21875" style="2973" customWidth="1"/>
    <col min="14339" max="14339" width="11.77734375" style="2973" customWidth="1"/>
    <col min="14340" max="14341" width="13.88671875" style="2973" customWidth="1"/>
    <col min="14342" max="14342" width="8.77734375" style="2973" customWidth="1"/>
    <col min="14343" max="14343" width="7.88671875" style="2973" customWidth="1"/>
    <col min="14344" max="14344" width="38.88671875" style="2973" customWidth="1"/>
    <col min="14345" max="14346" width="9" style="2973" customWidth="1"/>
    <col min="14347" max="14348" width="10.6640625" style="2973" customWidth="1"/>
    <col min="14349" max="14349" width="14.33203125" style="2973" customWidth="1"/>
    <col min="14350" max="14350" width="6.21875" style="2973" customWidth="1"/>
    <col min="14351" max="14351" width="47.6640625" style="2973" customWidth="1"/>
    <col min="14352" max="14352" width="7.88671875" style="2973" customWidth="1"/>
    <col min="14353" max="14592" width="9" style="2973"/>
    <col min="14593" max="14593" width="50.88671875" style="2973" customWidth="1"/>
    <col min="14594" max="14594" width="6.21875" style="2973" customWidth="1"/>
    <col min="14595" max="14595" width="11.77734375" style="2973" customWidth="1"/>
    <col min="14596" max="14597" width="13.88671875" style="2973" customWidth="1"/>
    <col min="14598" max="14598" width="8.77734375" style="2973" customWidth="1"/>
    <col min="14599" max="14599" width="7.88671875" style="2973" customWidth="1"/>
    <col min="14600" max="14600" width="38.88671875" style="2973" customWidth="1"/>
    <col min="14601" max="14602" width="9" style="2973" customWidth="1"/>
    <col min="14603" max="14604" width="10.6640625" style="2973" customWidth="1"/>
    <col min="14605" max="14605" width="14.33203125" style="2973" customWidth="1"/>
    <col min="14606" max="14606" width="6.21875" style="2973" customWidth="1"/>
    <col min="14607" max="14607" width="47.6640625" style="2973" customWidth="1"/>
    <col min="14608" max="14608" width="7.88671875" style="2973" customWidth="1"/>
    <col min="14609" max="14848" width="9" style="2973"/>
    <col min="14849" max="14849" width="50.88671875" style="2973" customWidth="1"/>
    <col min="14850" max="14850" width="6.21875" style="2973" customWidth="1"/>
    <col min="14851" max="14851" width="11.77734375" style="2973" customWidth="1"/>
    <col min="14852" max="14853" width="13.88671875" style="2973" customWidth="1"/>
    <col min="14854" max="14854" width="8.77734375" style="2973" customWidth="1"/>
    <col min="14855" max="14855" width="7.88671875" style="2973" customWidth="1"/>
    <col min="14856" max="14856" width="38.88671875" style="2973" customWidth="1"/>
    <col min="14857" max="14858" width="9" style="2973" customWidth="1"/>
    <col min="14859" max="14860" width="10.6640625" style="2973" customWidth="1"/>
    <col min="14861" max="14861" width="14.33203125" style="2973" customWidth="1"/>
    <col min="14862" max="14862" width="6.21875" style="2973" customWidth="1"/>
    <col min="14863" max="14863" width="47.6640625" style="2973" customWidth="1"/>
    <col min="14864" max="14864" width="7.88671875" style="2973" customWidth="1"/>
    <col min="14865" max="15104" width="9" style="2973"/>
    <col min="15105" max="15105" width="50.88671875" style="2973" customWidth="1"/>
    <col min="15106" max="15106" width="6.21875" style="2973" customWidth="1"/>
    <col min="15107" max="15107" width="11.77734375" style="2973" customWidth="1"/>
    <col min="15108" max="15109" width="13.88671875" style="2973" customWidth="1"/>
    <col min="15110" max="15110" width="8.77734375" style="2973" customWidth="1"/>
    <col min="15111" max="15111" width="7.88671875" style="2973" customWidth="1"/>
    <col min="15112" max="15112" width="38.88671875" style="2973" customWidth="1"/>
    <col min="15113" max="15114" width="9" style="2973" customWidth="1"/>
    <col min="15115" max="15116" width="10.6640625" style="2973" customWidth="1"/>
    <col min="15117" max="15117" width="14.33203125" style="2973" customWidth="1"/>
    <col min="15118" max="15118" width="6.21875" style="2973" customWidth="1"/>
    <col min="15119" max="15119" width="47.6640625" style="2973" customWidth="1"/>
    <col min="15120" max="15120" width="7.88671875" style="2973" customWidth="1"/>
    <col min="15121" max="15360" width="9" style="2973"/>
    <col min="15361" max="15361" width="50.88671875" style="2973" customWidth="1"/>
    <col min="15362" max="15362" width="6.21875" style="2973" customWidth="1"/>
    <col min="15363" max="15363" width="11.77734375" style="2973" customWidth="1"/>
    <col min="15364" max="15365" width="13.88671875" style="2973" customWidth="1"/>
    <col min="15366" max="15366" width="8.77734375" style="2973" customWidth="1"/>
    <col min="15367" max="15367" width="7.88671875" style="2973" customWidth="1"/>
    <col min="15368" max="15368" width="38.88671875" style="2973" customWidth="1"/>
    <col min="15369" max="15370" width="9" style="2973" customWidth="1"/>
    <col min="15371" max="15372" width="10.6640625" style="2973" customWidth="1"/>
    <col min="15373" max="15373" width="14.33203125" style="2973" customWidth="1"/>
    <col min="15374" max="15374" width="6.21875" style="2973" customWidth="1"/>
    <col min="15375" max="15375" width="47.6640625" style="2973" customWidth="1"/>
    <col min="15376" max="15376" width="7.88671875" style="2973" customWidth="1"/>
    <col min="15377" max="15616" width="9" style="2973"/>
    <col min="15617" max="15617" width="50.88671875" style="2973" customWidth="1"/>
    <col min="15618" max="15618" width="6.21875" style="2973" customWidth="1"/>
    <col min="15619" max="15619" width="11.77734375" style="2973" customWidth="1"/>
    <col min="15620" max="15621" width="13.88671875" style="2973" customWidth="1"/>
    <col min="15622" max="15622" width="8.77734375" style="2973" customWidth="1"/>
    <col min="15623" max="15623" width="7.88671875" style="2973" customWidth="1"/>
    <col min="15624" max="15624" width="38.88671875" style="2973" customWidth="1"/>
    <col min="15625" max="15626" width="9" style="2973" customWidth="1"/>
    <col min="15627" max="15628" width="10.6640625" style="2973" customWidth="1"/>
    <col min="15629" max="15629" width="14.33203125" style="2973" customWidth="1"/>
    <col min="15630" max="15630" width="6.21875" style="2973" customWidth="1"/>
    <col min="15631" max="15631" width="47.6640625" style="2973" customWidth="1"/>
    <col min="15632" max="15632" width="7.88671875" style="2973" customWidth="1"/>
    <col min="15633" max="15872" width="9" style="2973"/>
    <col min="15873" max="15873" width="50.88671875" style="2973" customWidth="1"/>
    <col min="15874" max="15874" width="6.21875" style="2973" customWidth="1"/>
    <col min="15875" max="15875" width="11.77734375" style="2973" customWidth="1"/>
    <col min="15876" max="15877" width="13.88671875" style="2973" customWidth="1"/>
    <col min="15878" max="15878" width="8.77734375" style="2973" customWidth="1"/>
    <col min="15879" max="15879" width="7.88671875" style="2973" customWidth="1"/>
    <col min="15880" max="15880" width="38.88671875" style="2973" customWidth="1"/>
    <col min="15881" max="15882" width="9" style="2973" customWidth="1"/>
    <col min="15883" max="15884" width="10.6640625" style="2973" customWidth="1"/>
    <col min="15885" max="15885" width="14.33203125" style="2973" customWidth="1"/>
    <col min="15886" max="15886" width="6.21875" style="2973" customWidth="1"/>
    <col min="15887" max="15887" width="47.6640625" style="2973" customWidth="1"/>
    <col min="15888" max="15888" width="7.88671875" style="2973" customWidth="1"/>
    <col min="15889" max="16128" width="9" style="2973"/>
    <col min="16129" max="16129" width="50.88671875" style="2973" customWidth="1"/>
    <col min="16130" max="16130" width="6.21875" style="2973" customWidth="1"/>
    <col min="16131" max="16131" width="11.77734375" style="2973" customWidth="1"/>
    <col min="16132" max="16133" width="13.88671875" style="2973" customWidth="1"/>
    <col min="16134" max="16134" width="8.77734375" style="2973" customWidth="1"/>
    <col min="16135" max="16135" width="7.88671875" style="2973" customWidth="1"/>
    <col min="16136" max="16136" width="38.88671875" style="2973" customWidth="1"/>
    <col min="16137" max="16138" width="9" style="2973" customWidth="1"/>
    <col min="16139" max="16140" width="10.6640625" style="2973" customWidth="1"/>
    <col min="16141" max="16141" width="14.33203125" style="2973" customWidth="1"/>
    <col min="16142" max="16142" width="6.21875" style="2973" customWidth="1"/>
    <col min="16143" max="16143" width="47.6640625" style="2973" customWidth="1"/>
    <col min="16144" max="16144" width="7.88671875" style="2973" customWidth="1"/>
    <col min="16145" max="16384" width="9" style="2973"/>
  </cols>
  <sheetData>
    <row r="1" spans="1:16" s="1634" customFormat="1" ht="14.4">
      <c r="A1" s="1634" t="s">
        <v>3128</v>
      </c>
      <c r="B1" s="1634" t="s">
        <v>3129</v>
      </c>
      <c r="C1" s="1634" t="s">
        <v>3130</v>
      </c>
      <c r="D1" s="1634" t="s">
        <v>3131</v>
      </c>
      <c r="E1" s="1634" t="s">
        <v>3132</v>
      </c>
      <c r="F1" s="1634" t="s">
        <v>3133</v>
      </c>
      <c r="G1" s="1634" t="s">
        <v>3134</v>
      </c>
      <c r="H1" s="1634" t="s">
        <v>3135</v>
      </c>
      <c r="I1" s="1634" t="s">
        <v>3136</v>
      </c>
      <c r="J1" s="1634" t="s">
        <v>3137</v>
      </c>
      <c r="K1" s="1634" t="s">
        <v>3138</v>
      </c>
      <c r="L1" s="1634" t="s">
        <v>3139</v>
      </c>
      <c r="M1" s="1634" t="s">
        <v>3140</v>
      </c>
      <c r="N1" s="1634" t="s">
        <v>3141</v>
      </c>
      <c r="O1" s="1634" t="s">
        <v>3142</v>
      </c>
      <c r="P1" s="1634" t="s">
        <v>3143</v>
      </c>
    </row>
    <row r="2" spans="1:16" s="2976" customFormat="1" ht="14.4">
      <c r="A2" s="2976" t="s">
        <v>3144</v>
      </c>
      <c r="B2" s="2976" t="s">
        <v>3058</v>
      </c>
      <c r="C2" s="2976" t="s">
        <v>3145</v>
      </c>
      <c r="D2" s="2976">
        <v>42276.47</v>
      </c>
      <c r="E2" s="2976">
        <v>84552.93</v>
      </c>
      <c r="F2" s="2976" t="s">
        <v>3146</v>
      </c>
      <c r="G2" s="2976" t="s">
        <v>3147</v>
      </c>
      <c r="H2" s="2976" t="s">
        <v>3148</v>
      </c>
      <c r="I2" s="2976" t="s">
        <v>3149</v>
      </c>
      <c r="J2" s="2976" t="s">
        <v>3149</v>
      </c>
      <c r="K2" s="2976">
        <v>95000</v>
      </c>
      <c r="L2" s="2976">
        <v>96500</v>
      </c>
      <c r="M2" s="2976">
        <v>11412.96</v>
      </c>
      <c r="N2" s="2976">
        <v>1.58</v>
      </c>
      <c r="O2" s="2976" t="s">
        <v>3150</v>
      </c>
      <c r="P2" s="2976" t="s">
        <v>3151</v>
      </c>
    </row>
    <row r="3" spans="1:16" s="1634" customFormat="1" ht="14.4">
      <c r="A3" s="1634" t="s">
        <v>3152</v>
      </c>
      <c r="B3" s="1634" t="s">
        <v>3058</v>
      </c>
      <c r="C3" s="1634" t="s">
        <v>3145</v>
      </c>
      <c r="D3" s="1634">
        <v>51736.9</v>
      </c>
      <c r="E3" s="1634">
        <v>81600.05</v>
      </c>
      <c r="F3" s="1634" t="s">
        <v>3153</v>
      </c>
      <c r="G3" s="1634" t="s">
        <v>3147</v>
      </c>
      <c r="H3" s="1634" t="s">
        <v>3154</v>
      </c>
      <c r="I3" s="1634" t="s">
        <v>3155</v>
      </c>
      <c r="J3" s="1634" t="s">
        <v>3155</v>
      </c>
      <c r="K3" s="1634">
        <v>150000</v>
      </c>
      <c r="L3" s="1634">
        <v>150000</v>
      </c>
      <c r="M3" s="1634">
        <v>18382.34</v>
      </c>
      <c r="N3" s="1634">
        <v>0</v>
      </c>
      <c r="O3" s="1634" t="s">
        <v>3156</v>
      </c>
      <c r="P3" s="1634" t="s">
        <v>3151</v>
      </c>
    </row>
    <row r="4" spans="1:16" s="2976" customFormat="1" ht="14.4">
      <c r="A4" s="2976" t="s">
        <v>3157</v>
      </c>
      <c r="B4" s="2976" t="s">
        <v>3058</v>
      </c>
      <c r="C4" s="2976" t="s">
        <v>3145</v>
      </c>
      <c r="D4" s="2976">
        <v>33071.620000000003</v>
      </c>
      <c r="E4" s="2976">
        <v>122423.9</v>
      </c>
      <c r="F4" s="2976">
        <v>3.7</v>
      </c>
      <c r="G4" s="2976" t="s">
        <v>3147</v>
      </c>
      <c r="H4" s="2976" t="s">
        <v>3158</v>
      </c>
      <c r="I4" s="2976" t="s">
        <v>3159</v>
      </c>
      <c r="J4" s="2976" t="s">
        <v>3159</v>
      </c>
      <c r="K4" s="2976">
        <v>183000</v>
      </c>
      <c r="L4" s="2976">
        <v>183000</v>
      </c>
      <c r="M4" s="2976">
        <v>14948.05</v>
      </c>
      <c r="N4" s="2976">
        <v>0</v>
      </c>
      <c r="O4" s="2976" t="s">
        <v>3160</v>
      </c>
      <c r="P4" s="2976" t="s">
        <v>3161</v>
      </c>
    </row>
    <row r="5" spans="1:16" s="2976" customFormat="1" ht="14.4">
      <c r="A5" s="2976" t="s">
        <v>3162</v>
      </c>
      <c r="B5" s="2976" t="s">
        <v>3058</v>
      </c>
      <c r="C5" s="2976" t="s">
        <v>3145</v>
      </c>
      <c r="D5" s="2976">
        <v>66237.2</v>
      </c>
      <c r="E5" s="2976">
        <v>264058.7</v>
      </c>
      <c r="F5" s="2976">
        <v>3.99</v>
      </c>
      <c r="G5" s="2976" t="s">
        <v>3147</v>
      </c>
      <c r="H5" s="2976" t="s">
        <v>3158</v>
      </c>
      <c r="I5" s="2976" t="s">
        <v>3163</v>
      </c>
      <c r="J5" s="2976" t="s">
        <v>3163</v>
      </c>
      <c r="K5" s="2976">
        <v>385000</v>
      </c>
      <c r="L5" s="2976">
        <v>385000</v>
      </c>
      <c r="M5" s="2976">
        <v>14580.09</v>
      </c>
      <c r="N5" s="2976">
        <v>0</v>
      </c>
      <c r="O5" s="2976" t="s">
        <v>3164</v>
      </c>
      <c r="P5" s="2976" t="s">
        <v>3161</v>
      </c>
    </row>
    <row r="6" spans="1:16" s="1634" customFormat="1" ht="14.4">
      <c r="A6" s="1634" t="s">
        <v>3165</v>
      </c>
      <c r="B6" s="1634" t="s">
        <v>3058</v>
      </c>
      <c r="C6" s="1634" t="s">
        <v>3145</v>
      </c>
      <c r="D6" s="1634">
        <v>18303.330000000002</v>
      </c>
      <c r="E6" s="1634">
        <v>58571</v>
      </c>
      <c r="F6" s="1634">
        <v>3.2</v>
      </c>
      <c r="G6" s="1634" t="s">
        <v>3147</v>
      </c>
      <c r="H6" s="1634" t="s">
        <v>3154</v>
      </c>
      <c r="I6" s="1634" t="s">
        <v>3166</v>
      </c>
      <c r="J6" s="1634" t="s">
        <v>3166</v>
      </c>
      <c r="K6" s="1634">
        <v>79600</v>
      </c>
      <c r="L6" s="1634">
        <v>129000</v>
      </c>
      <c r="M6" s="1634">
        <v>22024.54</v>
      </c>
      <c r="N6" s="1634">
        <v>62.06</v>
      </c>
      <c r="O6" s="1634" t="s">
        <v>3167</v>
      </c>
      <c r="P6" s="1634" t="s">
        <v>3161</v>
      </c>
    </row>
    <row r="7" spans="1:16" s="1634" customFormat="1" ht="14.4">
      <c r="A7" s="1634" t="s">
        <v>3168</v>
      </c>
      <c r="B7" s="1634" t="s">
        <v>3058</v>
      </c>
      <c r="C7" s="1634" t="s">
        <v>3145</v>
      </c>
      <c r="D7" s="1634">
        <v>29183.54</v>
      </c>
      <c r="E7" s="1634">
        <v>72959</v>
      </c>
      <c r="F7" s="1634">
        <v>2.5</v>
      </c>
      <c r="G7" s="1634" t="s">
        <v>3147</v>
      </c>
      <c r="H7" s="1634" t="s">
        <v>3154</v>
      </c>
      <c r="I7" s="1634" t="s">
        <v>3169</v>
      </c>
      <c r="J7" s="1634" t="s">
        <v>3169</v>
      </c>
      <c r="K7" s="1634">
        <v>83000</v>
      </c>
      <c r="L7" s="1634">
        <v>106000</v>
      </c>
      <c r="M7" s="1634">
        <v>14528.7</v>
      </c>
      <c r="N7" s="1634">
        <v>27.71</v>
      </c>
      <c r="O7" s="1634" t="s">
        <v>3170</v>
      </c>
      <c r="P7" s="1634" t="s">
        <v>3161</v>
      </c>
    </row>
    <row r="8" spans="1:16" s="1634" customFormat="1" ht="14.4">
      <c r="A8" s="1634" t="s">
        <v>3182</v>
      </c>
      <c r="B8" s="1634" t="s">
        <v>3058</v>
      </c>
      <c r="C8" s="1634" t="s">
        <v>3145</v>
      </c>
      <c r="D8" s="1634">
        <v>23639.39</v>
      </c>
      <c r="E8" s="1634">
        <v>75646</v>
      </c>
      <c r="F8" s="1634">
        <v>3.2</v>
      </c>
      <c r="G8" s="1634" t="s">
        <v>3147</v>
      </c>
      <c r="H8" s="1634" t="s">
        <v>3154</v>
      </c>
      <c r="I8" s="1634" t="s">
        <v>3183</v>
      </c>
      <c r="J8" s="1634" t="s">
        <v>3183</v>
      </c>
      <c r="K8" s="1634">
        <v>102000</v>
      </c>
      <c r="L8" s="1634">
        <v>103020</v>
      </c>
      <c r="M8" s="1634">
        <v>13618.7</v>
      </c>
      <c r="N8" s="1634">
        <v>1</v>
      </c>
      <c r="O8" s="1634" t="s">
        <v>3184</v>
      </c>
      <c r="P8" s="1634" t="s">
        <v>3161</v>
      </c>
    </row>
    <row r="9" spans="1:16" s="1634" customFormat="1" ht="14.4">
      <c r="A9" s="1634" t="s">
        <v>3185</v>
      </c>
      <c r="B9" s="1634" t="s">
        <v>3058</v>
      </c>
      <c r="C9" s="1634" t="s">
        <v>3145</v>
      </c>
      <c r="D9" s="1634">
        <v>33619.79</v>
      </c>
      <c r="E9" s="1634">
        <v>134479</v>
      </c>
      <c r="F9" s="1634">
        <v>4</v>
      </c>
      <c r="G9" s="1634" t="s">
        <v>3147</v>
      </c>
      <c r="H9" s="1634" t="s">
        <v>3148</v>
      </c>
      <c r="I9" s="1634" t="s">
        <v>3186</v>
      </c>
      <c r="J9" s="1634" t="s">
        <v>3186</v>
      </c>
      <c r="K9" s="1634">
        <v>153000</v>
      </c>
      <c r="L9" s="1634">
        <v>334000</v>
      </c>
      <c r="M9" s="1634">
        <v>24836.59</v>
      </c>
      <c r="N9" s="1634">
        <v>118.3</v>
      </c>
      <c r="O9" s="1634" t="s">
        <v>3187</v>
      </c>
      <c r="P9" s="1634" t="s">
        <v>3161</v>
      </c>
    </row>
    <row r="10" spans="1:16" s="1634" customFormat="1" ht="14.4">
      <c r="A10" s="1634" t="s">
        <v>3188</v>
      </c>
      <c r="B10" s="1634" t="s">
        <v>3058</v>
      </c>
      <c r="C10" s="1634" t="s">
        <v>3145</v>
      </c>
      <c r="D10" s="1634">
        <v>71916.58</v>
      </c>
      <c r="E10" s="1634">
        <v>107875</v>
      </c>
      <c r="F10" s="1634">
        <v>1.5</v>
      </c>
      <c r="G10" s="1634" t="s">
        <v>3147</v>
      </c>
      <c r="H10" s="1634" t="s">
        <v>3154</v>
      </c>
      <c r="I10" s="1634" t="s">
        <v>3189</v>
      </c>
      <c r="J10" s="1634" t="s">
        <v>3189</v>
      </c>
      <c r="K10" s="1634">
        <v>90000</v>
      </c>
      <c r="L10" s="1634">
        <v>181000</v>
      </c>
      <c r="M10" s="1634">
        <v>16778.68</v>
      </c>
      <c r="N10" s="1634">
        <v>101.11</v>
      </c>
      <c r="O10" s="1634" t="s">
        <v>3190</v>
      </c>
      <c r="P10" s="1634" t="s">
        <v>3151</v>
      </c>
    </row>
    <row r="11" spans="1:16" s="1634" customFormat="1" ht="14.4">
      <c r="A11" s="1634" t="s">
        <v>3191</v>
      </c>
      <c r="B11" s="1634" t="s">
        <v>3058</v>
      </c>
      <c r="C11" s="1634" t="s">
        <v>3145</v>
      </c>
      <c r="D11" s="1634">
        <v>47919.26</v>
      </c>
      <c r="E11" s="1634">
        <v>143758</v>
      </c>
      <c r="F11" s="1634">
        <v>3</v>
      </c>
      <c r="G11" s="1634" t="s">
        <v>3147</v>
      </c>
      <c r="H11" s="1634" t="s">
        <v>3154</v>
      </c>
      <c r="I11" s="1634" t="s">
        <v>3192</v>
      </c>
      <c r="J11" s="1634" t="s">
        <v>3192</v>
      </c>
      <c r="K11" s="1634">
        <v>120000</v>
      </c>
      <c r="L11" s="1634">
        <v>130000</v>
      </c>
      <c r="M11" s="1634">
        <v>9042.9599999999991</v>
      </c>
      <c r="N11" s="1634">
        <v>8.33</v>
      </c>
      <c r="O11" s="1634" t="s">
        <v>3190</v>
      </c>
      <c r="P11" s="1634" t="s">
        <v>3161</v>
      </c>
    </row>
    <row r="12" spans="1:16" s="1634" customFormat="1" ht="14.4">
      <c r="A12" s="1634" t="s">
        <v>3193</v>
      </c>
      <c r="B12" s="1634" t="s">
        <v>3058</v>
      </c>
      <c r="C12" s="1634" t="s">
        <v>3145</v>
      </c>
      <c r="D12" s="1634">
        <v>61900.3</v>
      </c>
      <c r="E12" s="1634">
        <v>111421</v>
      </c>
      <c r="F12" s="1634">
        <v>1.8</v>
      </c>
      <c r="G12" s="1634" t="s">
        <v>3147</v>
      </c>
      <c r="H12" s="1634" t="s">
        <v>3154</v>
      </c>
      <c r="I12" s="1634" t="s">
        <v>3194</v>
      </c>
      <c r="J12" s="1634" t="s">
        <v>3194</v>
      </c>
      <c r="K12" s="1634">
        <v>89500</v>
      </c>
      <c r="L12" s="1634">
        <v>197000</v>
      </c>
      <c r="M12" s="1634">
        <v>17680.68</v>
      </c>
      <c r="N12" s="1634">
        <v>120.11</v>
      </c>
      <c r="O12" s="1634" t="s">
        <v>3190</v>
      </c>
      <c r="P12" s="1634" t="s">
        <v>3151</v>
      </c>
    </row>
    <row r="13" spans="1:16" s="1634" customFormat="1" ht="14.4">
      <c r="A13" s="1634" t="s">
        <v>3195</v>
      </c>
      <c r="B13" s="1634" t="s">
        <v>3058</v>
      </c>
      <c r="C13" s="1634" t="s">
        <v>3145</v>
      </c>
      <c r="D13" s="1634">
        <v>66594.820000000007</v>
      </c>
      <c r="E13" s="1634">
        <v>119871</v>
      </c>
      <c r="F13" s="1634">
        <v>1.8</v>
      </c>
      <c r="G13" s="1634" t="s">
        <v>3147</v>
      </c>
      <c r="H13" s="1634" t="s">
        <v>3154</v>
      </c>
      <c r="I13" s="1634" t="s">
        <v>3194</v>
      </c>
      <c r="J13" s="1634" t="s">
        <v>3194</v>
      </c>
      <c r="K13" s="1634">
        <v>96000</v>
      </c>
      <c r="L13" s="1634">
        <v>196000</v>
      </c>
      <c r="M13" s="1634">
        <v>16350.9</v>
      </c>
      <c r="N13" s="1634">
        <v>104.17</v>
      </c>
      <c r="O13" s="1634" t="s">
        <v>3190</v>
      </c>
      <c r="P13" s="1634" t="s">
        <v>3151</v>
      </c>
    </row>
    <row r="14" spans="1:16" s="2977" customFormat="1" ht="14.4">
      <c r="A14" s="2977" t="s">
        <v>3196</v>
      </c>
      <c r="B14" s="2977" t="s">
        <v>3058</v>
      </c>
      <c r="C14" s="2977" t="s">
        <v>3145</v>
      </c>
      <c r="D14" s="2977">
        <v>24464</v>
      </c>
      <c r="E14" s="2977">
        <v>48928</v>
      </c>
      <c r="F14" s="2977">
        <v>2</v>
      </c>
      <c r="G14" s="2977" t="s">
        <v>3147</v>
      </c>
      <c r="H14" s="2977" t="s">
        <v>3148</v>
      </c>
      <c r="I14" s="2977" t="s">
        <v>3197</v>
      </c>
      <c r="J14" s="2977" t="s">
        <v>3197</v>
      </c>
      <c r="K14" s="2977">
        <v>28200</v>
      </c>
      <c r="L14" s="2977">
        <v>46800</v>
      </c>
      <c r="M14" s="2977">
        <v>9565.07</v>
      </c>
      <c r="N14" s="2977">
        <v>65.959999999999994</v>
      </c>
      <c r="O14" s="2977" t="s">
        <v>3198</v>
      </c>
      <c r="P14" s="2977" t="s">
        <v>3151</v>
      </c>
    </row>
    <row r="15" spans="1:16" s="1634" customFormat="1" ht="14.4">
      <c r="A15" s="1634" t="s">
        <v>3199</v>
      </c>
      <c r="B15" s="1634" t="s">
        <v>3058</v>
      </c>
      <c r="C15" s="1634" t="s">
        <v>3145</v>
      </c>
      <c r="D15" s="1634">
        <v>38024.39</v>
      </c>
      <c r="E15" s="1634">
        <v>106468</v>
      </c>
      <c r="F15" s="1634">
        <v>2.8</v>
      </c>
      <c r="G15" s="1634" t="s">
        <v>3147</v>
      </c>
      <c r="H15" s="1634" t="s">
        <v>3200</v>
      </c>
      <c r="I15" s="1634" t="s">
        <v>3201</v>
      </c>
      <c r="J15" s="1634" t="s">
        <v>3201</v>
      </c>
      <c r="K15" s="1634">
        <v>87000</v>
      </c>
      <c r="L15" s="1634">
        <v>97000</v>
      </c>
      <c r="M15" s="1634">
        <v>9110.7099999999991</v>
      </c>
      <c r="N15" s="1634">
        <v>11.49</v>
      </c>
      <c r="O15" s="1634" t="s">
        <v>3202</v>
      </c>
      <c r="P15" s="1634" t="s">
        <v>3161</v>
      </c>
    </row>
  </sheetData>
  <phoneticPr fontId="143" type="noConversion"/>
  <pageMargins left="0.75" right="0.75" top="1" bottom="1" header="0.5" footer="0.5"/>
  <pageSetup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43" t="s">
        <v>183</v>
      </c>
      <c r="B18" s="882" t="s">
        <v>560</v>
      </c>
      <c r="C18" s="883" t="s">
        <v>561</v>
      </c>
      <c r="D18" s="884"/>
      <c r="E18" s="882">
        <v>1</v>
      </c>
      <c r="F18" s="885" t="s">
        <v>562</v>
      </c>
      <c r="G18" s="886"/>
      <c r="H18" s="878"/>
      <c r="I18" s="878"/>
    </row>
    <row r="19" spans="1:9" s="887" customFormat="1" ht="19.5" customHeight="1">
      <c r="A19" s="3343"/>
      <c r="B19" s="3343" t="s">
        <v>563</v>
      </c>
      <c r="C19" s="883" t="s">
        <v>564</v>
      </c>
      <c r="D19" s="884"/>
      <c r="E19" s="882">
        <v>0.9</v>
      </c>
      <c r="F19" s="885" t="s">
        <v>565</v>
      </c>
      <c r="G19" s="886"/>
      <c r="H19" s="878"/>
      <c r="I19" s="878"/>
    </row>
    <row r="20" spans="1:9" s="887" customFormat="1" ht="19.5" customHeight="1">
      <c r="A20" s="3343"/>
      <c r="B20" s="3343"/>
      <c r="C20" s="883" t="s">
        <v>566</v>
      </c>
      <c r="D20" s="884"/>
      <c r="E20" s="882">
        <v>1.1000000000000001</v>
      </c>
      <c r="F20" s="885" t="s">
        <v>567</v>
      </c>
      <c r="G20" s="886"/>
      <c r="H20" s="878"/>
      <c r="I20" s="878"/>
    </row>
    <row r="21" spans="1:9" s="887" customFormat="1" ht="19.5" customHeight="1">
      <c r="A21" s="3343"/>
      <c r="B21" s="3343"/>
      <c r="C21" s="883" t="s">
        <v>568</v>
      </c>
      <c r="D21" s="884"/>
      <c r="E21" s="882">
        <v>0.8</v>
      </c>
      <c r="F21" s="885" t="s">
        <v>569</v>
      </c>
      <c r="G21" s="886"/>
      <c r="H21" s="878"/>
      <c r="I21" s="878"/>
    </row>
    <row r="22" spans="1:9" s="887" customFormat="1" ht="19.5" customHeight="1">
      <c r="A22" s="3343"/>
      <c r="B22" s="3343"/>
      <c r="C22" s="883" t="s">
        <v>570</v>
      </c>
      <c r="D22" s="884"/>
      <c r="E22" s="882">
        <v>0.5</v>
      </c>
      <c r="F22" s="885"/>
      <c r="G22" s="886"/>
      <c r="H22" s="878"/>
      <c r="I22" s="878"/>
    </row>
    <row r="23" spans="1:9" s="887" customFormat="1" ht="19.5" customHeight="1">
      <c r="A23" s="3343" t="s">
        <v>184</v>
      </c>
      <c r="B23" s="882" t="s">
        <v>560</v>
      </c>
      <c r="C23" s="883" t="s">
        <v>571</v>
      </c>
      <c r="D23" s="884"/>
      <c r="E23" s="882">
        <v>1</v>
      </c>
      <c r="F23" s="885" t="s">
        <v>572</v>
      </c>
      <c r="G23" s="886"/>
      <c r="H23" s="878"/>
      <c r="I23" s="878"/>
    </row>
    <row r="24" spans="1:9" s="887" customFormat="1" ht="19.5" customHeight="1">
      <c r="A24" s="3343"/>
      <c r="B24" s="3343" t="s">
        <v>563</v>
      </c>
      <c r="C24" s="883" t="s">
        <v>573</v>
      </c>
      <c r="D24" s="884"/>
      <c r="E24" s="882">
        <v>0.5</v>
      </c>
      <c r="F24" s="885"/>
      <c r="G24" s="886"/>
      <c r="H24" s="878"/>
      <c r="I24" s="878"/>
    </row>
    <row r="25" spans="1:9" s="887" customFormat="1" ht="19.5" customHeight="1">
      <c r="A25" s="3343"/>
      <c r="B25" s="3343"/>
      <c r="C25" s="883" t="s">
        <v>574</v>
      </c>
      <c r="D25" s="884"/>
      <c r="E25" s="882">
        <v>1.1000000000000001</v>
      </c>
      <c r="F25" s="885"/>
      <c r="G25" s="886"/>
      <c r="H25" s="878"/>
      <c r="I25" s="878"/>
    </row>
    <row r="26" spans="1:9" s="887" customFormat="1" ht="19.5" customHeight="1">
      <c r="A26" s="3343"/>
      <c r="B26" s="3343"/>
      <c r="C26" s="883" t="s">
        <v>575</v>
      </c>
      <c r="D26" s="884"/>
      <c r="E26" s="882">
        <v>1.1000000000000001</v>
      </c>
      <c r="F26" s="885"/>
      <c r="G26" s="886"/>
      <c r="H26" s="878"/>
      <c r="I26" s="878"/>
    </row>
    <row r="27" spans="1:9" s="887" customFormat="1" ht="19.5" customHeight="1">
      <c r="A27" s="3343"/>
      <c r="B27" s="3343"/>
      <c r="C27" s="883" t="s">
        <v>576</v>
      </c>
      <c r="D27" s="884"/>
      <c r="E27" s="882">
        <v>0.9</v>
      </c>
      <c r="F27" s="885" t="s">
        <v>577</v>
      </c>
      <c r="G27" s="886"/>
      <c r="H27" s="878"/>
      <c r="I27" s="878"/>
    </row>
    <row r="28" spans="1:9" s="887" customFormat="1" ht="19.5" customHeight="1">
      <c r="A28" s="3343"/>
      <c r="B28" s="3343"/>
      <c r="C28" s="883" t="s">
        <v>578</v>
      </c>
      <c r="D28" s="884"/>
      <c r="E28" s="882">
        <v>0.9</v>
      </c>
      <c r="F28" s="885" t="s">
        <v>579</v>
      </c>
      <c r="G28" s="886"/>
      <c r="H28" s="878"/>
      <c r="I28" s="878"/>
    </row>
    <row r="29" spans="1:9" s="887" customFormat="1" ht="19.5" customHeight="1">
      <c r="A29" s="3343"/>
      <c r="B29" s="3343"/>
      <c r="C29" s="883" t="s">
        <v>580</v>
      </c>
      <c r="D29" s="884"/>
      <c r="E29" s="882">
        <v>0.9</v>
      </c>
      <c r="F29" s="885" t="s">
        <v>581</v>
      </c>
      <c r="G29" s="886"/>
      <c r="H29" s="878"/>
      <c r="I29" s="878"/>
    </row>
    <row r="30" spans="1:9" s="887" customFormat="1" ht="19.5" customHeight="1">
      <c r="A30" s="3343"/>
      <c r="B30" s="3343"/>
      <c r="C30" s="883" t="s">
        <v>582</v>
      </c>
      <c r="D30" s="884"/>
      <c r="E30" s="882">
        <v>0.9</v>
      </c>
      <c r="F30" s="885" t="s">
        <v>583</v>
      </c>
      <c r="G30" s="886"/>
      <c r="H30" s="878"/>
      <c r="I30" s="878"/>
    </row>
    <row r="31" spans="1:9" s="887" customFormat="1" ht="19.5" customHeight="1">
      <c r="A31" s="3343"/>
      <c r="B31" s="3343"/>
      <c r="C31" s="883" t="s">
        <v>584</v>
      </c>
      <c r="D31" s="884"/>
      <c r="E31" s="882">
        <v>0.8</v>
      </c>
      <c r="F31" s="885" t="s">
        <v>585</v>
      </c>
      <c r="G31" s="886"/>
      <c r="H31" s="878"/>
      <c r="I31" s="878"/>
    </row>
    <row r="32" spans="1:9" s="887" customFormat="1" ht="19.5" customHeight="1">
      <c r="A32" s="3343"/>
      <c r="B32" s="3343"/>
      <c r="C32" s="883" t="s">
        <v>586</v>
      </c>
      <c r="D32" s="884"/>
      <c r="E32" s="882">
        <v>0.8</v>
      </c>
      <c r="F32" s="885" t="s">
        <v>587</v>
      </c>
      <c r="G32" s="886"/>
      <c r="H32" s="878"/>
      <c r="I32" s="878"/>
    </row>
    <row r="33" spans="1:9" s="887" customFormat="1" ht="19.5" customHeight="1">
      <c r="A33" s="3343" t="s">
        <v>185</v>
      </c>
      <c r="B33" s="882" t="s">
        <v>560</v>
      </c>
      <c r="C33" s="883" t="s">
        <v>588</v>
      </c>
      <c r="D33" s="884"/>
      <c r="E33" s="882">
        <v>1</v>
      </c>
      <c r="F33" s="885" t="s">
        <v>589</v>
      </c>
      <c r="G33" s="886"/>
      <c r="H33" s="878"/>
      <c r="I33" s="878"/>
    </row>
    <row r="34" spans="1:9" s="887" customFormat="1" ht="19.5" customHeight="1">
      <c r="A34" s="3343"/>
      <c r="B34" s="882" t="s">
        <v>563</v>
      </c>
      <c r="C34" s="883" t="s">
        <v>590</v>
      </c>
      <c r="D34" s="884"/>
      <c r="E34" s="882">
        <v>1.5</v>
      </c>
      <c r="F34" s="885" t="s">
        <v>591</v>
      </c>
      <c r="G34" s="886"/>
      <c r="H34" s="878"/>
      <c r="I34" s="878"/>
    </row>
    <row r="35" spans="1:9" s="887" customFormat="1" ht="19.5" customHeight="1">
      <c r="A35" s="3343" t="s">
        <v>186</v>
      </c>
      <c r="B35" s="882" t="s">
        <v>560</v>
      </c>
      <c r="C35" s="883" t="s">
        <v>592</v>
      </c>
      <c r="D35" s="884"/>
      <c r="E35" s="882">
        <v>1</v>
      </c>
      <c r="F35" s="885" t="s">
        <v>593</v>
      </c>
      <c r="G35" s="886"/>
      <c r="H35" s="878"/>
      <c r="I35" s="878"/>
    </row>
    <row r="36" spans="1:9" s="887" customFormat="1" ht="19.5" customHeight="1">
      <c r="A36" s="3343"/>
      <c r="B36" s="3343" t="s">
        <v>563</v>
      </c>
      <c r="C36" s="883" t="s">
        <v>594</v>
      </c>
      <c r="D36" s="884"/>
      <c r="E36" s="882">
        <v>1</v>
      </c>
      <c r="F36" s="885" t="s">
        <v>595</v>
      </c>
      <c r="G36" s="886"/>
      <c r="H36" s="878"/>
      <c r="I36" s="878"/>
    </row>
    <row r="37" spans="1:9" s="887" customFormat="1" ht="19.5" customHeight="1">
      <c r="A37" s="3343"/>
      <c r="B37" s="3343"/>
      <c r="C37" s="883" t="s">
        <v>596</v>
      </c>
      <c r="D37" s="884"/>
      <c r="E37" s="882">
        <v>1.5</v>
      </c>
      <c r="F37" s="885" t="s">
        <v>597</v>
      </c>
      <c r="G37" s="886"/>
      <c r="H37" s="878"/>
      <c r="I37" s="878"/>
    </row>
    <row r="38" spans="1:9" s="887" customFormat="1" ht="19.5" customHeight="1">
      <c r="A38" s="3343"/>
      <c r="B38" s="3343"/>
      <c r="C38" s="883" t="s">
        <v>598</v>
      </c>
      <c r="D38" s="884"/>
      <c r="E38" s="882">
        <v>1</v>
      </c>
      <c r="F38" s="885" t="s">
        <v>599</v>
      </c>
      <c r="G38" s="886"/>
      <c r="H38" s="878"/>
      <c r="I38" s="878"/>
    </row>
    <row r="39" spans="1:9" s="887" customFormat="1" ht="19.5" customHeight="1">
      <c r="A39" s="3343"/>
      <c r="B39" s="33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43" t="s">
        <v>614</v>
      </c>
      <c r="C61" s="818" t="s">
        <v>615</v>
      </c>
      <c r="D61" s="818" t="s">
        <v>616</v>
      </c>
      <c r="E61" s="895">
        <v>0.5</v>
      </c>
      <c r="F61" s="882">
        <v>80</v>
      </c>
    </row>
    <row r="62" spans="1:8" s="878" customFormat="1" ht="36">
      <c r="A62" s="882">
        <v>2</v>
      </c>
      <c r="B62" s="3343"/>
      <c r="C62" s="818" t="s">
        <v>617</v>
      </c>
      <c r="D62" s="818" t="s">
        <v>618</v>
      </c>
      <c r="E62" s="895">
        <v>0.5</v>
      </c>
      <c r="F62" s="882">
        <v>80</v>
      </c>
    </row>
    <row r="63" spans="1:8" s="878" customFormat="1" ht="48">
      <c r="A63" s="882">
        <v>3</v>
      </c>
      <c r="B63" s="3343"/>
      <c r="C63" s="818" t="s">
        <v>619</v>
      </c>
      <c r="D63" s="818" t="s">
        <v>620</v>
      </c>
      <c r="E63" s="895">
        <v>0.5</v>
      </c>
      <c r="F63" s="882">
        <v>80</v>
      </c>
    </row>
    <row r="64" spans="1:8" s="878" customFormat="1" ht="48">
      <c r="A64" s="882">
        <v>4</v>
      </c>
      <c r="B64" s="3343"/>
      <c r="C64" s="818" t="s">
        <v>621</v>
      </c>
      <c r="D64" s="818" t="s">
        <v>622</v>
      </c>
      <c r="E64" s="895">
        <v>0.4</v>
      </c>
      <c r="F64" s="882">
        <v>60</v>
      </c>
    </row>
    <row r="65" spans="1:6" s="878" customFormat="1" ht="48">
      <c r="A65" s="882">
        <v>5</v>
      </c>
      <c r="B65" s="3343"/>
      <c r="C65" s="818" t="s">
        <v>623</v>
      </c>
      <c r="D65" s="818" t="s">
        <v>624</v>
      </c>
      <c r="E65" s="895">
        <v>0.2</v>
      </c>
      <c r="F65" s="882">
        <v>30</v>
      </c>
    </row>
    <row r="66" spans="1:6" s="878" customFormat="1" ht="48">
      <c r="A66" s="882">
        <v>6</v>
      </c>
      <c r="B66" s="3343"/>
      <c r="C66" s="818" t="s">
        <v>625</v>
      </c>
      <c r="D66" s="818" t="s">
        <v>626</v>
      </c>
      <c r="E66" s="895">
        <v>0.3</v>
      </c>
      <c r="F66" s="882">
        <v>50</v>
      </c>
    </row>
    <row r="67" spans="1:6" s="878" customFormat="1" ht="48">
      <c r="A67" s="882">
        <v>7</v>
      </c>
      <c r="B67" s="3343"/>
      <c r="C67" s="818" t="s">
        <v>627</v>
      </c>
      <c r="D67" s="818" t="s">
        <v>628</v>
      </c>
      <c r="E67" s="895">
        <v>0.2</v>
      </c>
      <c r="F67" s="882">
        <v>30</v>
      </c>
    </row>
    <row r="68" spans="1:6" s="878" customFormat="1" ht="48">
      <c r="A68" s="882">
        <v>8</v>
      </c>
      <c r="B68" s="3343"/>
      <c r="C68" s="818" t="s">
        <v>629</v>
      </c>
      <c r="D68" s="818" t="s">
        <v>630</v>
      </c>
      <c r="E68" s="895">
        <v>0.2</v>
      </c>
      <c r="F68" s="882">
        <v>30</v>
      </c>
    </row>
    <row r="69" spans="1:6" s="878" customFormat="1" ht="48">
      <c r="A69" s="882">
        <v>9</v>
      </c>
      <c r="B69" s="3343"/>
      <c r="C69" s="818" t="s">
        <v>631</v>
      </c>
      <c r="D69" s="818" t="s">
        <v>632</v>
      </c>
      <c r="E69" s="895">
        <v>0.2</v>
      </c>
      <c r="F69" s="882">
        <v>30</v>
      </c>
    </row>
    <row r="70" spans="1:6" s="878" customFormat="1" ht="60">
      <c r="A70" s="882">
        <v>10</v>
      </c>
      <c r="B70" s="3343"/>
      <c r="C70" s="818" t="s">
        <v>633</v>
      </c>
      <c r="D70" s="818" t="s">
        <v>634</v>
      </c>
      <c r="E70" s="895">
        <v>0.2</v>
      </c>
      <c r="F70" s="882">
        <v>30</v>
      </c>
    </row>
    <row r="71" spans="1:6" s="878" customFormat="1" ht="60">
      <c r="A71" s="882">
        <v>11</v>
      </c>
      <c r="B71" s="3343"/>
      <c r="C71" s="818" t="s">
        <v>635</v>
      </c>
      <c r="D71" s="818" t="s">
        <v>636</v>
      </c>
      <c r="E71" s="895">
        <v>0.2</v>
      </c>
      <c r="F71" s="882">
        <v>30</v>
      </c>
    </row>
    <row r="72" spans="1:6" s="878" customFormat="1" ht="36">
      <c r="A72" s="882">
        <v>12</v>
      </c>
      <c r="B72" s="3343"/>
      <c r="C72" s="818" t="s">
        <v>637</v>
      </c>
      <c r="D72" s="818" t="s">
        <v>638</v>
      </c>
      <c r="E72" s="895">
        <v>0.5</v>
      </c>
      <c r="F72" s="882">
        <v>80</v>
      </c>
    </row>
    <row r="73" spans="1:6" s="878" customFormat="1" ht="36">
      <c r="A73" s="882">
        <v>13</v>
      </c>
      <c r="B73" s="3343"/>
      <c r="C73" s="818" t="s">
        <v>639</v>
      </c>
      <c r="D73" s="818" t="s">
        <v>640</v>
      </c>
      <c r="E73" s="895">
        <v>0.4</v>
      </c>
      <c r="F73" s="882">
        <v>60</v>
      </c>
    </row>
    <row r="74" spans="1:6" s="878" customFormat="1" ht="36">
      <c r="A74" s="882">
        <v>14</v>
      </c>
      <c r="B74" s="3343"/>
      <c r="C74" s="818" t="s">
        <v>641</v>
      </c>
      <c r="D74" s="818" t="s">
        <v>642</v>
      </c>
      <c r="E74" s="895">
        <v>0.2</v>
      </c>
      <c r="F74" s="882">
        <v>30</v>
      </c>
    </row>
    <row r="75" spans="1:6" s="878" customFormat="1" ht="36">
      <c r="A75" s="882">
        <v>15</v>
      </c>
      <c r="B75" s="3343"/>
      <c r="C75" s="818" t="s">
        <v>643</v>
      </c>
      <c r="D75" s="818" t="s">
        <v>644</v>
      </c>
      <c r="E75" s="895">
        <v>0.2</v>
      </c>
      <c r="F75" s="882">
        <v>30</v>
      </c>
    </row>
    <row r="76" spans="1:6" s="878" customFormat="1" ht="36">
      <c r="A76" s="882">
        <v>16</v>
      </c>
      <c r="B76" s="3343" t="s">
        <v>645</v>
      </c>
      <c r="C76" s="818" t="s">
        <v>646</v>
      </c>
      <c r="D76" s="818" t="s">
        <v>647</v>
      </c>
      <c r="E76" s="895">
        <v>0.5</v>
      </c>
      <c r="F76" s="882">
        <v>80</v>
      </c>
    </row>
    <row r="77" spans="1:6" s="878" customFormat="1" ht="36">
      <c r="A77" s="882">
        <v>17</v>
      </c>
      <c r="B77" s="3343"/>
      <c r="C77" s="818" t="s">
        <v>648</v>
      </c>
      <c r="D77" s="818" t="s">
        <v>649</v>
      </c>
      <c r="E77" s="895">
        <v>0.5</v>
      </c>
      <c r="F77" s="882">
        <v>80</v>
      </c>
    </row>
    <row r="78" spans="1:6" s="878" customFormat="1" ht="36">
      <c r="A78" s="882">
        <v>18</v>
      </c>
      <c r="B78" s="3343"/>
      <c r="C78" s="818" t="s">
        <v>650</v>
      </c>
      <c r="D78" s="818" t="s">
        <v>651</v>
      </c>
      <c r="E78" s="895">
        <v>0.2</v>
      </c>
      <c r="F78" s="882">
        <v>30</v>
      </c>
    </row>
    <row r="79" spans="1:6" s="878" customFormat="1" ht="36">
      <c r="A79" s="882">
        <v>19</v>
      </c>
      <c r="B79" s="3343"/>
      <c r="C79" s="818" t="s">
        <v>652</v>
      </c>
      <c r="D79" s="818" t="s">
        <v>653</v>
      </c>
      <c r="E79" s="895">
        <v>0.5</v>
      </c>
      <c r="F79" s="882">
        <v>80</v>
      </c>
    </row>
    <row r="80" spans="1:6" s="878" customFormat="1" ht="36">
      <c r="A80" s="882">
        <v>20</v>
      </c>
      <c r="B80" s="3343"/>
      <c r="C80" s="818" t="s">
        <v>654</v>
      </c>
      <c r="D80" s="818" t="s">
        <v>655</v>
      </c>
      <c r="E80" s="895">
        <v>0.2</v>
      </c>
      <c r="F80" s="882">
        <v>30</v>
      </c>
    </row>
    <row r="81" spans="1:6" s="878" customFormat="1" ht="36">
      <c r="A81" s="882">
        <v>21</v>
      </c>
      <c r="B81" s="3343"/>
      <c r="C81" s="818" t="s">
        <v>656</v>
      </c>
      <c r="D81" s="818" t="s">
        <v>657</v>
      </c>
      <c r="E81" s="895">
        <v>0.2</v>
      </c>
      <c r="F81" s="882">
        <v>30</v>
      </c>
    </row>
    <row r="82" spans="1:6" s="878" customFormat="1" ht="60">
      <c r="A82" s="882">
        <v>22</v>
      </c>
      <c r="B82" s="3343"/>
      <c r="C82" s="818" t="s">
        <v>658</v>
      </c>
      <c r="D82" s="818" t="s">
        <v>659</v>
      </c>
      <c r="E82" s="895">
        <v>0.2</v>
      </c>
      <c r="F82" s="882">
        <v>30</v>
      </c>
    </row>
    <row r="83" spans="1:6" s="878" customFormat="1" ht="60">
      <c r="A83" s="882">
        <v>23</v>
      </c>
      <c r="B83" s="3343"/>
      <c r="C83" s="818" t="s">
        <v>660</v>
      </c>
      <c r="D83" s="818" t="s">
        <v>661</v>
      </c>
      <c r="E83" s="895">
        <v>0.2</v>
      </c>
      <c r="F83" s="882">
        <v>30</v>
      </c>
    </row>
    <row r="84" spans="1:6" s="878" customFormat="1" ht="48">
      <c r="A84" s="882">
        <v>24</v>
      </c>
      <c r="B84" s="3343"/>
      <c r="C84" s="818" t="s">
        <v>662</v>
      </c>
      <c r="D84" s="818" t="s">
        <v>663</v>
      </c>
      <c r="E84" s="895">
        <v>0.2</v>
      </c>
      <c r="F84" s="882">
        <v>30</v>
      </c>
    </row>
    <row r="85" spans="1:6" s="878" customFormat="1" ht="36">
      <c r="A85" s="882">
        <v>25</v>
      </c>
      <c r="B85" s="3343"/>
      <c r="C85" s="818" t="s">
        <v>664</v>
      </c>
      <c r="D85" s="818" t="s">
        <v>665</v>
      </c>
      <c r="E85" s="895">
        <v>0.5</v>
      </c>
      <c r="F85" s="882">
        <v>80</v>
      </c>
    </row>
    <row r="86" spans="1:6" s="878" customFormat="1" ht="36">
      <c r="A86" s="882">
        <v>26</v>
      </c>
      <c r="B86" s="3343"/>
      <c r="C86" s="818" t="s">
        <v>666</v>
      </c>
      <c r="D86" s="818" t="s">
        <v>667</v>
      </c>
      <c r="E86" s="895">
        <v>0.2</v>
      </c>
      <c r="F86" s="882">
        <v>30</v>
      </c>
    </row>
    <row r="87" spans="1:6" s="878" customFormat="1" ht="36">
      <c r="A87" s="882">
        <v>27</v>
      </c>
      <c r="B87" s="3343"/>
      <c r="C87" s="818" t="s">
        <v>668</v>
      </c>
      <c r="D87" s="818" t="s">
        <v>669</v>
      </c>
      <c r="E87" s="895">
        <v>0.2</v>
      </c>
      <c r="F87" s="882">
        <v>30</v>
      </c>
    </row>
    <row r="88" spans="1:6" s="878" customFormat="1" ht="36">
      <c r="A88" s="882">
        <v>28</v>
      </c>
      <c r="B88" s="3343"/>
      <c r="C88" s="818" t="s">
        <v>670</v>
      </c>
      <c r="D88" s="818" t="s">
        <v>671</v>
      </c>
      <c r="E88" s="895">
        <v>0.2</v>
      </c>
      <c r="F88" s="882">
        <v>30</v>
      </c>
    </row>
    <row r="89" spans="1:6" s="878" customFormat="1" ht="36">
      <c r="A89" s="882">
        <v>29</v>
      </c>
      <c r="B89" s="3343"/>
      <c r="C89" s="818" t="s">
        <v>672</v>
      </c>
      <c r="D89" s="818" t="s">
        <v>673</v>
      </c>
      <c r="E89" s="895">
        <v>0.2</v>
      </c>
      <c r="F89" s="882">
        <v>30</v>
      </c>
    </row>
    <row r="90" spans="1:6" s="878" customFormat="1" ht="36">
      <c r="A90" s="882">
        <v>30</v>
      </c>
      <c r="B90" s="3343"/>
      <c r="C90" s="818" t="s">
        <v>674</v>
      </c>
      <c r="D90" s="818" t="s">
        <v>675</v>
      </c>
      <c r="E90" s="895">
        <v>0.2</v>
      </c>
      <c r="F90" s="882">
        <v>30</v>
      </c>
    </row>
    <row r="91" spans="1:6" s="878" customFormat="1" ht="48">
      <c r="A91" s="882">
        <v>31</v>
      </c>
      <c r="B91" s="3343"/>
      <c r="C91" s="818" t="s">
        <v>676</v>
      </c>
      <c r="D91" s="818" t="s">
        <v>677</v>
      </c>
      <c r="E91" s="895">
        <v>0.2</v>
      </c>
      <c r="F91" s="882">
        <v>30</v>
      </c>
    </row>
    <row r="92" spans="1:6" s="878" customFormat="1" ht="36">
      <c r="A92" s="882">
        <v>32</v>
      </c>
      <c r="B92" s="3343" t="s">
        <v>678</v>
      </c>
      <c r="C92" s="882" t="s">
        <v>679</v>
      </c>
      <c r="D92" s="818" t="s">
        <v>680</v>
      </c>
      <c r="E92" s="895">
        <v>0.2</v>
      </c>
      <c r="F92" s="882">
        <v>30</v>
      </c>
    </row>
    <row r="93" spans="1:6" s="878" customFormat="1" ht="36">
      <c r="A93" s="882">
        <v>33</v>
      </c>
      <c r="B93" s="3343"/>
      <c r="C93" s="882" t="s">
        <v>681</v>
      </c>
      <c r="D93" s="818" t="s">
        <v>682</v>
      </c>
      <c r="E93" s="895">
        <v>0.2</v>
      </c>
      <c r="F93" s="882">
        <v>30</v>
      </c>
    </row>
    <row r="94" spans="1:6" s="878" customFormat="1" ht="60">
      <c r="A94" s="882">
        <v>34</v>
      </c>
      <c r="B94" s="3343"/>
      <c r="C94" s="882" t="s">
        <v>683</v>
      </c>
      <c r="D94" s="818" t="s">
        <v>684</v>
      </c>
      <c r="E94" s="895">
        <v>0.2</v>
      </c>
      <c r="F94" s="882">
        <v>30</v>
      </c>
    </row>
    <row r="95" spans="1:6" s="878" customFormat="1" ht="48">
      <c r="A95" s="882">
        <v>35</v>
      </c>
      <c r="B95" s="3343"/>
      <c r="C95" s="882" t="s">
        <v>685</v>
      </c>
      <c r="D95" s="818" t="s">
        <v>686</v>
      </c>
      <c r="E95" s="895">
        <v>0.2</v>
      </c>
      <c r="F95" s="882">
        <v>30</v>
      </c>
    </row>
    <row r="96" spans="1:6" s="878" customFormat="1" ht="72">
      <c r="A96" s="882">
        <v>36</v>
      </c>
      <c r="B96" s="3343"/>
      <c r="C96" s="818" t="s">
        <v>687</v>
      </c>
      <c r="D96" s="818" t="s">
        <v>688</v>
      </c>
      <c r="E96" s="895">
        <v>0.2</v>
      </c>
      <c r="F96" s="882">
        <v>30</v>
      </c>
    </row>
    <row r="97" spans="1:6" s="878" customFormat="1" ht="36">
      <c r="A97" s="882">
        <v>37</v>
      </c>
      <c r="B97" s="3343"/>
      <c r="C97" s="882" t="s">
        <v>689</v>
      </c>
      <c r="D97" s="818" t="s">
        <v>690</v>
      </c>
      <c r="E97" s="895">
        <v>0.2</v>
      </c>
      <c r="F97" s="882">
        <v>30</v>
      </c>
    </row>
    <row r="98" spans="1:6" s="878" customFormat="1" ht="36">
      <c r="A98" s="882">
        <v>38</v>
      </c>
      <c r="B98" s="3343"/>
      <c r="C98" s="882" t="s">
        <v>691</v>
      </c>
      <c r="D98" s="818" t="s">
        <v>692</v>
      </c>
      <c r="E98" s="895">
        <v>0.2</v>
      </c>
      <c r="F98" s="882">
        <v>30</v>
      </c>
    </row>
    <row r="99" spans="1:6" s="878" customFormat="1" ht="36">
      <c r="A99" s="882">
        <v>39</v>
      </c>
      <c r="B99" s="3343" t="s">
        <v>693</v>
      </c>
      <c r="C99" s="882" t="s">
        <v>694</v>
      </c>
      <c r="D99" s="818" t="s">
        <v>695</v>
      </c>
      <c r="E99" s="895">
        <v>0.3</v>
      </c>
      <c r="F99" s="882">
        <v>50</v>
      </c>
    </row>
    <row r="100" spans="1:6" s="878" customFormat="1" ht="36">
      <c r="A100" s="882">
        <v>40</v>
      </c>
      <c r="B100" s="3343"/>
      <c r="C100" s="882" t="s">
        <v>696</v>
      </c>
      <c r="D100" s="818" t="s">
        <v>697</v>
      </c>
      <c r="E100" s="895">
        <v>0.2</v>
      </c>
      <c r="F100" s="882">
        <v>30</v>
      </c>
    </row>
    <row r="101" spans="1:6" s="878" customFormat="1" ht="36">
      <c r="A101" s="882">
        <v>41</v>
      </c>
      <c r="B101" s="334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43" t="s">
        <v>708</v>
      </c>
      <c r="C105" s="882" t="s">
        <v>709</v>
      </c>
      <c r="D105" s="818" t="s">
        <v>710</v>
      </c>
      <c r="E105" s="895">
        <v>0.2</v>
      </c>
      <c r="F105" s="882">
        <v>30</v>
      </c>
    </row>
    <row r="106" spans="1:6" s="878" customFormat="1" ht="48">
      <c r="A106" s="882">
        <v>46</v>
      </c>
      <c r="B106" s="3343"/>
      <c r="C106" s="882" t="s">
        <v>711</v>
      </c>
      <c r="D106" s="818" t="s">
        <v>712</v>
      </c>
      <c r="E106" s="895">
        <v>0.2</v>
      </c>
      <c r="F106" s="882">
        <v>30</v>
      </c>
    </row>
    <row r="107" spans="1:6" s="878" customFormat="1" ht="36">
      <c r="A107" s="882">
        <v>47</v>
      </c>
      <c r="B107" s="3343" t="s">
        <v>713</v>
      </c>
      <c r="C107" s="882" t="s">
        <v>714</v>
      </c>
      <c r="D107" s="818" t="s">
        <v>715</v>
      </c>
      <c r="E107" s="895">
        <v>0.3</v>
      </c>
      <c r="F107" s="882">
        <v>50</v>
      </c>
    </row>
    <row r="108" spans="1:6" s="878" customFormat="1" ht="48">
      <c r="A108" s="882">
        <v>48</v>
      </c>
      <c r="B108" s="33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43" t="s">
        <v>724</v>
      </c>
      <c r="C111" s="882" t="s">
        <v>725</v>
      </c>
      <c r="D111" s="818" t="s">
        <v>726</v>
      </c>
      <c r="E111" s="895">
        <v>0.2</v>
      </c>
      <c r="F111" s="882">
        <v>30</v>
      </c>
    </row>
    <row r="112" spans="1:6" s="878" customFormat="1" ht="36">
      <c r="A112" s="882">
        <v>52</v>
      </c>
      <c r="B112" s="3343"/>
      <c r="C112" s="882" t="s">
        <v>727</v>
      </c>
      <c r="D112" s="818" t="s">
        <v>728</v>
      </c>
      <c r="E112" s="895">
        <v>0.2</v>
      </c>
      <c r="F112" s="882">
        <v>30</v>
      </c>
    </row>
    <row r="113" spans="1:6" s="878" customFormat="1" ht="36">
      <c r="A113" s="882">
        <v>53</v>
      </c>
      <c r="B113" s="334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43" t="s">
        <v>737</v>
      </c>
      <c r="C116" s="882" t="s">
        <v>738</v>
      </c>
      <c r="D116" s="818" t="s">
        <v>739</v>
      </c>
      <c r="E116" s="895">
        <v>0.2</v>
      </c>
      <c r="F116" s="882">
        <v>30</v>
      </c>
    </row>
    <row r="117" spans="1:6" ht="36">
      <c r="A117" s="882">
        <v>57</v>
      </c>
      <c r="B117" s="334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0.98409999999999997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49" t="s">
        <v>1145</v>
      </c>
      <c r="C1" s="3349"/>
      <c r="D1" s="3349"/>
      <c r="E1" s="3349"/>
      <c r="F1" s="3349"/>
      <c r="G1" s="3348" t="s">
        <v>1146</v>
      </c>
      <c r="H1" s="3348"/>
      <c r="I1" s="3348"/>
      <c r="J1" s="3348"/>
      <c r="K1" s="3348"/>
      <c r="L1" s="3348"/>
      <c r="N1" s="3348" t="s">
        <v>1147</v>
      </c>
      <c r="O1" s="3348"/>
      <c r="P1" s="3348"/>
      <c r="Q1" s="3348"/>
      <c r="R1" s="1446"/>
      <c r="S1" s="3348" t="s">
        <v>1148</v>
      </c>
      <c r="T1" s="3348"/>
      <c r="U1" s="3348"/>
      <c r="V1" s="3348"/>
      <c r="X1" s="3347" t="s">
        <v>1149</v>
      </c>
      <c r="Y1" s="3348"/>
      <c r="Z1" s="3348"/>
      <c r="AA1" s="3348"/>
      <c r="AB1" s="3348"/>
      <c r="AD1" s="3347" t="s">
        <v>1150</v>
      </c>
      <c r="AE1" s="3348"/>
      <c r="AF1" s="3348"/>
      <c r="AG1" s="3348"/>
      <c r="AH1" s="3348"/>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9" customFormat="1" ht="14.4">
      <c r="A3" s="2918" t="s">
        <v>3033</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3" customFormat="1" ht="14.4">
      <c r="B4" s="1454"/>
      <c r="C4" s="1454"/>
      <c r="D4" s="1455"/>
      <c r="E4" s="1455"/>
      <c r="F4" s="1454"/>
      <c r="G4" s="1456"/>
      <c r="H4" s="1457"/>
      <c r="I4" s="2904"/>
      <c r="J4" s="2904"/>
      <c r="K4" s="2904"/>
      <c r="L4" s="2904"/>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3052</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3">
        <v>2020</v>
      </c>
      <c r="H5" s="1729">
        <v>2</v>
      </c>
      <c r="I5" s="2905">
        <v>0</v>
      </c>
      <c r="J5" s="2905">
        <v>0</v>
      </c>
      <c r="K5" s="2905">
        <v>0</v>
      </c>
      <c r="L5" s="2905">
        <v>0</v>
      </c>
      <c r="N5" s="1467">
        <f t="shared" ref="N5" si="7">I5/100</f>
        <v>0</v>
      </c>
      <c r="O5" s="1467">
        <f t="shared" ref="O5" si="8">J5/100</f>
        <v>0</v>
      </c>
      <c r="P5" s="1467">
        <f t="shared" ref="P5" si="9">K5/100</f>
        <v>0</v>
      </c>
      <c r="Q5" s="1467">
        <f t="shared" ref="Q5" si="10">L5/100</f>
        <v>0</v>
      </c>
      <c r="R5" s="1731"/>
      <c r="S5" s="1732"/>
      <c r="T5" s="1731"/>
      <c r="U5" s="1731"/>
      <c r="V5" s="1731"/>
      <c r="W5" s="2908" t="s">
        <v>3034</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8"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8"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2">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3045</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345">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45"/>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45"/>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3032</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54"/>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3029</v>
      </c>
      <c r="B15" s="1469">
        <v>439</v>
      </c>
      <c r="C15" s="1469">
        <v>327</v>
      </c>
      <c r="D15" s="1469">
        <f>C15</f>
        <v>327</v>
      </c>
      <c r="E15" s="1469">
        <v>627</v>
      </c>
      <c r="F15" s="1470">
        <v>283</v>
      </c>
      <c r="G15" s="3350">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 customHeight="1">
      <c r="A16" s="1461" t="s">
        <v>3030</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45"/>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45"/>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54"/>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50">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45"/>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45"/>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8"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46"/>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8" thickBot="1">
      <c r="A23" s="1461" t="s">
        <v>151</v>
      </c>
      <c r="B23" s="1469">
        <v>333</v>
      </c>
      <c r="C23" s="1469">
        <v>277</v>
      </c>
      <c r="D23" s="1469">
        <f t="shared" si="133"/>
        <v>277</v>
      </c>
      <c r="E23" s="1469">
        <v>459</v>
      </c>
      <c r="F23" s="1470">
        <v>249</v>
      </c>
      <c r="G23" s="3344">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45"/>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45"/>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46"/>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8" thickBot="1">
      <c r="A27" s="1461" t="s">
        <v>147</v>
      </c>
      <c r="B27" s="1490">
        <v>318</v>
      </c>
      <c r="C27" s="1490">
        <v>268</v>
      </c>
      <c r="D27" s="1490">
        <f t="shared" si="133"/>
        <v>268</v>
      </c>
      <c r="E27" s="1490">
        <v>437</v>
      </c>
      <c r="F27" s="1491">
        <v>237</v>
      </c>
      <c r="G27" s="3344">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45"/>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8"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45"/>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8"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46"/>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1" t="s">
        <v>1158</v>
      </c>
      <c r="B31" s="1469">
        <v>299</v>
      </c>
      <c r="C31" s="1469">
        <v>252</v>
      </c>
      <c r="D31" s="1469">
        <f t="shared" si="133"/>
        <v>252</v>
      </c>
      <c r="E31" s="1469">
        <v>409</v>
      </c>
      <c r="F31" s="1470">
        <v>227</v>
      </c>
      <c r="G31" s="3351">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52"/>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52"/>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53"/>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8" thickBot="1">
      <c r="A35" s="1461" t="s">
        <v>1162</v>
      </c>
      <c r="B35" s="1511">
        <v>278</v>
      </c>
      <c r="C35" s="1511">
        <v>234</v>
      </c>
      <c r="D35" s="1511">
        <f t="shared" si="133"/>
        <v>234</v>
      </c>
      <c r="E35" s="1511">
        <v>379</v>
      </c>
      <c r="F35" s="1512">
        <v>220</v>
      </c>
      <c r="G35" s="3344">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45"/>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45"/>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8" thickBot="1">
      <c r="A38" s="1461" t="s">
        <v>1165</v>
      </c>
      <c r="B38" s="1477">
        <f>B37/(1+N37)</f>
        <v>275.19025476197027</v>
      </c>
      <c r="C38" s="1513">
        <v>232</v>
      </c>
      <c r="D38" s="1513">
        <f t="shared" si="133"/>
        <v>232</v>
      </c>
      <c r="E38" s="1477">
        <f t="shared" si="144"/>
        <v>375.65990977608692</v>
      </c>
      <c r="F38" s="1477">
        <f t="shared" si="144"/>
        <v>214.12518283971252</v>
      </c>
      <c r="G38" s="3346"/>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8" thickBot="1">
      <c r="A39" s="1461" t="s">
        <v>1166</v>
      </c>
      <c r="B39" s="1469">
        <v>275</v>
      </c>
      <c r="C39" s="1469">
        <v>232</v>
      </c>
      <c r="D39" s="1469">
        <f t="shared" si="133"/>
        <v>232</v>
      </c>
      <c r="E39" s="1469">
        <v>376</v>
      </c>
      <c r="F39" s="1470">
        <v>213</v>
      </c>
      <c r="G39" s="3344">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45">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45">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8"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46">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8" thickBot="1">
      <c r="A43" s="1461" t="s">
        <v>1170</v>
      </c>
      <c r="B43" s="1469">
        <v>269</v>
      </c>
      <c r="C43" s="1469">
        <v>221</v>
      </c>
      <c r="D43" s="1469">
        <f t="shared" si="133"/>
        <v>221</v>
      </c>
      <c r="E43" s="1469">
        <v>373</v>
      </c>
      <c r="F43" s="1470">
        <v>196</v>
      </c>
      <c r="G43" s="3344">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45">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45">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8"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46">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8" thickBot="1">
      <c r="A47" s="1461" t="s">
        <v>1174</v>
      </c>
      <c r="B47" s="1469">
        <v>220</v>
      </c>
      <c r="C47" s="1469">
        <v>187</v>
      </c>
      <c r="D47" s="1469">
        <f t="shared" si="133"/>
        <v>187</v>
      </c>
      <c r="E47" s="1469">
        <v>301</v>
      </c>
      <c r="F47" s="1470">
        <v>168</v>
      </c>
      <c r="G47" s="3344">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45">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45">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46">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8" thickBot="1">
      <c r="A51" s="1461" t="s">
        <v>1178</v>
      </c>
      <c r="B51" s="1511">
        <v>214</v>
      </c>
      <c r="C51" s="1511">
        <v>188</v>
      </c>
      <c r="D51" s="1511">
        <f t="shared" si="133"/>
        <v>188</v>
      </c>
      <c r="E51" s="1511">
        <v>289</v>
      </c>
      <c r="F51" s="1512">
        <v>166</v>
      </c>
      <c r="G51" s="3344">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45">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45">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8"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46">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8" thickBot="1">
      <c r="A55" s="1461" t="s">
        <v>1182</v>
      </c>
      <c r="B55" s="1469">
        <v>188</v>
      </c>
      <c r="C55" s="1469">
        <v>165</v>
      </c>
      <c r="D55" s="1469">
        <f t="shared" si="133"/>
        <v>165</v>
      </c>
      <c r="E55" s="1469">
        <v>254</v>
      </c>
      <c r="F55" s="1470">
        <v>148</v>
      </c>
      <c r="G55" s="3344">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45">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45">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46">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8" thickBot="1">
      <c r="A59" s="1461" t="s">
        <v>1186</v>
      </c>
      <c r="B59" s="1490">
        <v>159</v>
      </c>
      <c r="C59" s="1490">
        <v>141</v>
      </c>
      <c r="D59" s="1490">
        <f t="shared" si="133"/>
        <v>141</v>
      </c>
      <c r="E59" s="1490">
        <v>195</v>
      </c>
      <c r="F59" s="1491">
        <v>122</v>
      </c>
      <c r="G59" s="3344">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45">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45">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46">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8" thickBot="1">
      <c r="A63" s="1461" t="s">
        <v>1190</v>
      </c>
      <c r="B63" s="1490">
        <v>138</v>
      </c>
      <c r="C63" s="1490">
        <v>131</v>
      </c>
      <c r="D63" s="1490">
        <f t="shared" si="133"/>
        <v>131</v>
      </c>
      <c r="E63" s="1490">
        <v>155</v>
      </c>
      <c r="F63" s="1491">
        <v>114</v>
      </c>
      <c r="G63" s="3344">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45">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45">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46">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8" thickBot="1">
      <c r="A67" s="1461" t="s">
        <v>1194</v>
      </c>
      <c r="B67" s="1511">
        <v>121</v>
      </c>
      <c r="C67" s="1511">
        <v>122</v>
      </c>
      <c r="D67" s="1511">
        <f t="shared" si="133"/>
        <v>122</v>
      </c>
      <c r="E67" s="1511">
        <v>124</v>
      </c>
      <c r="F67" s="1512">
        <v>107</v>
      </c>
      <c r="G67" s="3344">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45">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45">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8"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46">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8" thickBot="1">
      <c r="A71" s="1461" t="s">
        <v>1198</v>
      </c>
      <c r="B71" s="1532">
        <v>111</v>
      </c>
      <c r="C71" s="1532">
        <v>114</v>
      </c>
      <c r="D71" s="1532">
        <f t="shared" si="133"/>
        <v>114</v>
      </c>
      <c r="E71" s="1532">
        <v>108</v>
      </c>
      <c r="F71" s="1533">
        <v>104</v>
      </c>
      <c r="G71" s="3344">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45">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45">
        <v>2003</v>
      </c>
      <c r="H73" s="1465">
        <v>2</v>
      </c>
      <c r="I73" s="1534"/>
      <c r="J73" s="1534"/>
      <c r="K73" s="1534"/>
      <c r="L73" s="1534"/>
      <c r="X73" s="1526"/>
      <c r="Y73" s="1526"/>
      <c r="Z73" s="1526"/>
    </row>
    <row r="74" spans="1:26" ht="13.8" thickBot="1">
      <c r="A74" s="1461" t="s">
        <v>1201</v>
      </c>
      <c r="B74" s="1536">
        <f t="shared" si="169"/>
        <v>107.25</v>
      </c>
      <c r="C74" s="1536">
        <f t="shared" si="169"/>
        <v>108.75</v>
      </c>
      <c r="D74" s="1536">
        <f t="shared" si="133"/>
        <v>108.75</v>
      </c>
      <c r="E74" s="1536">
        <f t="shared" si="170"/>
        <v>105.75</v>
      </c>
      <c r="F74" s="1536">
        <f t="shared" si="170"/>
        <v>102.5</v>
      </c>
      <c r="G74" s="3346">
        <v>2003</v>
      </c>
      <c r="H74" s="1537">
        <v>1</v>
      </c>
      <c r="I74" s="1534"/>
      <c r="J74" s="1534"/>
      <c r="K74" s="1534"/>
      <c r="L74" s="1534"/>
      <c r="S74" s="1472"/>
      <c r="T74" s="1473"/>
      <c r="U74" s="1473"/>
      <c r="X74" s="1526"/>
      <c r="Y74" s="1526"/>
      <c r="Z74" s="1526"/>
    </row>
    <row r="75" spans="1:26" ht="13.8" thickBot="1">
      <c r="A75" s="1461" t="s">
        <v>1202</v>
      </c>
      <c r="B75" s="1538">
        <v>106</v>
      </c>
      <c r="C75" s="1538">
        <v>107</v>
      </c>
      <c r="D75" s="1538">
        <f t="shared" si="133"/>
        <v>107</v>
      </c>
      <c r="E75" s="1538">
        <v>105</v>
      </c>
      <c r="F75" s="1539">
        <v>102</v>
      </c>
      <c r="G75" s="3344">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45">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45">
        <v>2002</v>
      </c>
      <c r="H77" s="1465">
        <v>2</v>
      </c>
      <c r="I77" s="1534"/>
      <c r="J77" s="1534"/>
      <c r="K77" s="1534"/>
      <c r="L77" s="1534"/>
      <c r="X77" s="1526"/>
      <c r="Y77" s="1526"/>
      <c r="Z77" s="1526"/>
    </row>
    <row r="78" spans="1:26" s="1498" customFormat="1" ht="13.8" thickBot="1">
      <c r="A78" s="1494" t="s">
        <v>1205</v>
      </c>
      <c r="B78" s="1540">
        <f t="shared" si="171"/>
        <v>103</v>
      </c>
      <c r="C78" s="1540">
        <f t="shared" si="171"/>
        <v>104</v>
      </c>
      <c r="D78" s="1540">
        <f t="shared" si="133"/>
        <v>104</v>
      </c>
      <c r="E78" s="1540">
        <f t="shared" si="172"/>
        <v>103.5</v>
      </c>
      <c r="F78" s="1540">
        <f t="shared" si="172"/>
        <v>100.5</v>
      </c>
      <c r="G78" s="3346">
        <v>2002</v>
      </c>
      <c r="H78" s="1541">
        <v>1</v>
      </c>
      <c r="I78" s="1542"/>
      <c r="J78" s="1542"/>
      <c r="K78" s="1542"/>
      <c r="L78" s="1542"/>
      <c r="N78" s="1543"/>
      <c r="S78" s="1543"/>
      <c r="X78" s="1544"/>
      <c r="Y78" s="1544"/>
      <c r="Z78" s="1544"/>
    </row>
    <row r="79" spans="1:26" ht="13.8"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8"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8"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1635</v>
      </c>
      <c r="B2" s="3047" t="s">
        <v>1636</v>
      </c>
      <c r="C2" s="3047" t="s">
        <v>1637</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6">
      <c r="A3" s="3041"/>
      <c r="B3" s="3041"/>
      <c r="C3" s="3041"/>
      <c r="D3" s="1044" t="s">
        <v>1632</v>
      </c>
      <c r="E3" s="1044" t="s">
        <v>1638</v>
      </c>
      <c r="F3" s="1044" t="s">
        <v>1632</v>
      </c>
      <c r="G3" s="1044" t="s">
        <v>1633</v>
      </c>
      <c r="H3" s="1044" t="s">
        <v>1632</v>
      </c>
      <c r="I3" s="1044" t="s">
        <v>1633</v>
      </c>
    </row>
    <row r="4" spans="1:9" ht="60">
      <c r="A4" s="1963" t="str">
        <f>项目基本情况!S2</f>
        <v>北京市大兴区隆盛大街6号院1号楼-8幢等办公、商业、车库、地下仓储用房房地产</v>
      </c>
      <c r="B4" s="1044">
        <f>项目基本情况!C17</f>
        <v>85553.64</v>
      </c>
      <c r="C4" s="1044">
        <f>项目基本情况!C18</f>
        <v>23247.07</v>
      </c>
      <c r="D4" s="1044" t="e">
        <f ca="1">结果表!D118</f>
        <v>#REF!</v>
      </c>
      <c r="E4" s="1044" t="e">
        <f ca="1">结果表!E118</f>
        <v>#REF!</v>
      </c>
      <c r="F4" s="1044" t="e">
        <f ca="1">结果表!F118</f>
        <v>#REF!</v>
      </c>
      <c r="G4" s="1044" t="e">
        <f ca="1">结果表!G118</f>
        <v>#REF!</v>
      </c>
      <c r="H4" s="1044">
        <f ca="1">结果表!H118</f>
        <v>84597</v>
      </c>
      <c r="I4" s="1044">
        <f ca="1">结果表!I118</f>
        <v>17153</v>
      </c>
    </row>
    <row r="5" spans="1:9" ht="30" customHeight="1">
      <c r="A5" s="3041" t="s">
        <v>1634</v>
      </c>
      <c r="B5" s="3041"/>
      <c r="C5" s="3041"/>
      <c r="D5" s="3042" t="e">
        <f ca="1">结果表!D119</f>
        <v>#REF!</v>
      </c>
      <c r="E5" s="3042"/>
      <c r="F5" s="3042" t="e">
        <f ca="1">结果表!F119</f>
        <v>#REF!</v>
      </c>
      <c r="G5" s="3042"/>
      <c r="H5" s="3042" t="str">
        <f ca="1">结果表!H119</f>
        <v>捌亿肆仟伍佰玖拾柒万元整</v>
      </c>
      <c r="I5" s="3042"/>
    </row>
    <row r="6" spans="1:9" ht="15.6">
      <c r="A6" s="3040" t="str">
        <f>结果表!A120</f>
        <v>估价师知悉的法定优先受偿款</v>
      </c>
      <c r="B6" s="3040"/>
      <c r="C6" s="3040"/>
      <c r="D6" s="3040">
        <f>结果表!D120</f>
        <v>0</v>
      </c>
      <c r="E6" s="3040"/>
      <c r="F6" s="3040"/>
      <c r="G6" s="3040"/>
      <c r="H6" s="3040"/>
      <c r="I6" s="3040"/>
    </row>
    <row r="7" spans="1:9" ht="15">
      <c r="A7" s="3041" t="s">
        <v>1634</v>
      </c>
      <c r="B7" s="3041"/>
      <c r="C7" s="3041"/>
      <c r="D7" s="3043" t="str">
        <f>结果表!D121</f>
        <v>零元整</v>
      </c>
      <c r="E7" s="3044"/>
      <c r="F7" s="3044"/>
      <c r="G7" s="3044"/>
      <c r="H7" s="3044"/>
      <c r="I7" s="3045"/>
    </row>
    <row r="8" spans="1:9" ht="15.6">
      <c r="A8" s="3040" t="str">
        <f>结果表!A122</f>
        <v>房地产抵押价值</v>
      </c>
      <c r="B8" s="3040"/>
      <c r="C8" s="3040"/>
      <c r="D8" s="3040">
        <f ca="1">结果表!D122</f>
        <v>84597</v>
      </c>
      <c r="E8" s="3040"/>
      <c r="F8" s="3040"/>
      <c r="G8" s="3040"/>
      <c r="H8" s="3040"/>
      <c r="I8" s="3040"/>
    </row>
    <row r="9" spans="1:9" ht="15">
      <c r="A9" s="3041" t="s">
        <v>1634</v>
      </c>
      <c r="B9" s="3041"/>
      <c r="C9" s="3041"/>
      <c r="D9" s="3042" t="str">
        <f ca="1">结果表!D123</f>
        <v>捌亿肆仟伍佰玖拾柒万元整</v>
      </c>
      <c r="E9" s="3042"/>
      <c r="F9" s="3042"/>
      <c r="G9" s="3042"/>
      <c r="H9" s="3042"/>
      <c r="I9" s="3042"/>
    </row>
    <row r="10" spans="1:9" ht="15.6">
      <c r="A10" s="3040" t="str">
        <f>结果表!A124</f>
        <v/>
      </c>
      <c r="B10" s="3040"/>
      <c r="C10" s="3040"/>
      <c r="D10" s="3040" t="str">
        <f>结果表!D124</f>
        <v>——</v>
      </c>
      <c r="E10" s="3040"/>
      <c r="F10" s="3040"/>
      <c r="G10" s="3040"/>
      <c r="H10" s="3040"/>
      <c r="I10" s="3040"/>
    </row>
    <row r="11" spans="1:9" ht="15">
      <c r="A11" s="3041" t="s">
        <v>1634</v>
      </c>
      <c r="B11" s="3041"/>
      <c r="C11" s="3041"/>
      <c r="D11" s="3042" t="e">
        <f>结果表!D125</f>
        <v>#VALUE!</v>
      </c>
      <c r="E11" s="3042"/>
      <c r="F11" s="3042"/>
      <c r="G11" s="3042"/>
      <c r="H11" s="3042"/>
      <c r="I11" s="3042"/>
    </row>
    <row r="12" spans="1:9" ht="15.6">
      <c r="A12" s="3040" t="str">
        <f>结果表!A126</f>
        <v/>
      </c>
      <c r="B12" s="3040"/>
      <c r="C12" s="3040"/>
      <c r="D12" s="3040" t="str">
        <f>结果表!D126</f>
        <v>——</v>
      </c>
      <c r="E12" s="3040"/>
      <c r="F12" s="3040"/>
      <c r="G12" s="3040"/>
      <c r="H12" s="3040"/>
      <c r="I12" s="3040"/>
    </row>
    <row r="13" spans="1:9" ht="15.6" thickBot="1">
      <c r="A13" s="3037" t="s">
        <v>1634</v>
      </c>
      <c r="B13" s="3037"/>
      <c r="C13" s="3037"/>
      <c r="D13" s="3038" t="e">
        <f>结果表!D127</f>
        <v>#VALUE!</v>
      </c>
      <c r="E13" s="3038"/>
      <c r="F13" s="3038"/>
      <c r="G13" s="3038"/>
      <c r="H13" s="3038"/>
      <c r="I13" s="3038"/>
    </row>
    <row r="14" spans="1:9" ht="14.4" thickTop="1">
      <c r="A14" s="3039" t="s">
        <v>1639</v>
      </c>
      <c r="B14" s="3039"/>
      <c r="C14" s="3039"/>
      <c r="D14" s="3039"/>
      <c r="E14" s="3039"/>
      <c r="F14" s="3039"/>
      <c r="G14" s="3039"/>
      <c r="H14" s="3039"/>
      <c r="I14" s="3039"/>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64985</v>
      </c>
      <c r="C2" s="2" t="s">
        <v>133</v>
      </c>
      <c r="D2" s="243"/>
      <c r="E2" s="243"/>
      <c r="F2" s="243"/>
      <c r="G2" s="243"/>
    </row>
    <row r="3" spans="1:7" s="244" customFormat="1" ht="18" customHeight="1" thickBot="1">
      <c r="A3" s="247" t="s">
        <v>85</v>
      </c>
      <c r="B3" s="248">
        <f ca="1">ROUND(B2*10000/'数据-汇总表'!E3,0)</f>
        <v>7596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1626</v>
      </c>
      <c r="D10" s="1032">
        <f>'数据-汇总表'!E6</f>
        <v>85553.64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1711</v>
      </c>
      <c r="D19" s="1036">
        <f>'数据-汇总表'!E3</f>
        <v>85553.64</v>
      </c>
      <c r="E19" s="255">
        <f>'数据-取费表'!B31</f>
        <v>200</v>
      </c>
      <c r="F19" s="275"/>
      <c r="G19" s="1" t="s">
        <v>1070</v>
      </c>
    </row>
    <row r="20" spans="1:7" s="258" customFormat="1" ht="13.5" customHeight="1">
      <c r="A20" s="948" t="s">
        <v>1053</v>
      </c>
      <c r="B20" s="254" t="s">
        <v>104</v>
      </c>
      <c r="C20" s="276">
        <f>ROUND((C5+C19)*F20,0)</f>
        <v>446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2191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166</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2504</v>
      </c>
      <c r="D27" s="279">
        <f>C29</f>
        <v>2.2000000000000001E-3</v>
      </c>
      <c r="E27" s="280" t="s">
        <v>126</v>
      </c>
      <c r="F27" s="290">
        <f>'数据-取费表'!Q16</f>
        <v>0.11</v>
      </c>
      <c r="G27" s="291" t="s">
        <v>1065</v>
      </c>
    </row>
    <row r="28" spans="1:7" s="258" customFormat="1" ht="13.5" customHeight="1">
      <c r="A28" s="951" t="s">
        <v>794</v>
      </c>
      <c r="B28" s="292" t="s">
        <v>1058</v>
      </c>
      <c r="C28" s="293">
        <f>ROUND((C5+C19+C20)*F27*'数据-取费表'!B21/'数据-取费表'!B20,0)</f>
        <v>2504</v>
      </c>
      <c r="D28" s="279"/>
      <c r="E28" s="280"/>
      <c r="F28" s="290"/>
      <c r="G28" s="291"/>
    </row>
    <row r="29" spans="1:7" s="258" customFormat="1" ht="13.5" customHeight="1">
      <c r="A29" s="951" t="s">
        <v>792</v>
      </c>
      <c r="B29" s="292" t="s">
        <v>1059</v>
      </c>
      <c r="C29" s="282">
        <f>ROUND(C21*F27*'数据-取费表'!B21/'数据-取费表'!B20,4)</f>
        <v>2.2000000000000001E-3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29707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29075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25694</v>
      </c>
      <c r="D34" s="261"/>
      <c r="E34" s="264"/>
      <c r="F34" s="301">
        <f>IF('数据-取费表'!B24=0,1,'数据-取费表'!N16)</f>
        <v>1</v>
      </c>
      <c r="G34" s="263" t="s">
        <v>116</v>
      </c>
    </row>
    <row r="35" spans="1:7" ht="13.5" customHeight="1">
      <c r="A35" s="951" t="s">
        <v>796</v>
      </c>
      <c r="B35" s="259" t="s">
        <v>60</v>
      </c>
      <c r="C35" s="264">
        <f>ROUND(C34*F35,0)</f>
        <v>1285</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1711</v>
      </c>
      <c r="D37" s="261">
        <f>'数据-汇总表'!E3</f>
        <v>85553.64</v>
      </c>
      <c r="E37" s="293">
        <f>'数据-取费表'!B35</f>
        <v>200</v>
      </c>
      <c r="F37" s="303"/>
      <c r="G37" s="305" t="s">
        <v>119</v>
      </c>
    </row>
    <row r="38" spans="1:7" ht="13.5" customHeight="1">
      <c r="A38" s="951" t="s">
        <v>799</v>
      </c>
      <c r="B38" s="259" t="s">
        <v>63</v>
      </c>
      <c r="C38" s="264">
        <f>ROUND(C34*F38,0)</f>
        <v>385</v>
      </c>
      <c r="D38" s="264"/>
      <c r="E38" s="264"/>
      <c r="F38" s="303">
        <f>'数据-取费表'!B36</f>
        <v>1.4999999999999999E-2</v>
      </c>
      <c r="G38" s="263" t="s">
        <v>117</v>
      </c>
    </row>
    <row r="39" spans="1:7" s="258" customFormat="1" ht="13.5" customHeight="1">
      <c r="A39" s="948" t="s">
        <v>783</v>
      </c>
      <c r="B39" s="254" t="s">
        <v>104</v>
      </c>
      <c r="C39" s="276">
        <f>ROUND(C33*F20,0)</f>
        <v>582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1409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1381</v>
      </c>
      <c r="D42" s="282"/>
      <c r="E42" s="282"/>
      <c r="F42" s="283"/>
      <c r="G42" s="3214" t="s">
        <v>121</v>
      </c>
    </row>
    <row r="43" spans="1:7" ht="13.5" customHeight="1">
      <c r="A43" s="951" t="s">
        <v>792</v>
      </c>
      <c r="B43" s="259" t="s">
        <v>1060</v>
      </c>
      <c r="C43" s="282">
        <f ca="1">ROUND(IF('数据-取费表'!B22&lt;=1,C39*F22*'数据-取费表'!B21/2,C39*(POWER((1+F22),'数据-取费表'!B21/2)-1)),0)</f>
        <v>28</v>
      </c>
      <c r="D43" s="282"/>
      <c r="E43" s="282"/>
      <c r="F43" s="283"/>
      <c r="G43" s="3215"/>
    </row>
    <row r="44" spans="1:7" ht="13.5" customHeight="1">
      <c r="A44" s="951" t="s">
        <v>793</v>
      </c>
      <c r="B44" s="259" t="s">
        <v>1062</v>
      </c>
      <c r="C44" s="282">
        <f ca="1">ROUND(IF('数据-取费表'!B22&lt;=1,C40*F22*'数据-取费表'!B21/2,C40*(POWER((1+F22),'数据-取费表'!B21/2)-1)),4)</f>
        <v>1E-3</v>
      </c>
      <c r="D44" s="282"/>
      <c r="E44" s="282"/>
      <c r="F44" s="283"/>
      <c r="G44" s="3216"/>
    </row>
    <row r="45" spans="1:7" s="258" customFormat="1" ht="13.5" customHeight="1">
      <c r="A45" s="948" t="s">
        <v>786</v>
      </c>
      <c r="B45" s="288" t="s">
        <v>112</v>
      </c>
      <c r="C45" s="289">
        <f>C46</f>
        <v>3262</v>
      </c>
      <c r="D45" s="279">
        <f>C47</f>
        <v>2.2000000000000001E-3</v>
      </c>
      <c r="E45" s="280" t="s">
        <v>129</v>
      </c>
      <c r="F45" s="290"/>
      <c r="G45" s="291" t="s">
        <v>1068</v>
      </c>
    </row>
    <row r="46" spans="1:7" s="258" customFormat="1" ht="13.5" customHeight="1">
      <c r="A46" s="951" t="s">
        <v>794</v>
      </c>
      <c r="B46" s="292" t="s">
        <v>1061</v>
      </c>
      <c r="C46" s="293">
        <f>ROUND((C33+C39)*F27,0)</f>
        <v>3262</v>
      </c>
      <c r="D46" s="307"/>
      <c r="E46" s="280"/>
      <c r="F46" s="290"/>
      <c r="G46" s="291"/>
    </row>
    <row r="47" spans="1:7" s="258" customFormat="1" ht="13.5" customHeight="1">
      <c r="A47" s="951" t="s">
        <v>792</v>
      </c>
      <c r="B47" s="292" t="s">
        <v>1063</v>
      </c>
      <c r="C47" s="282">
        <f>ROUND(C40*F27,4)</f>
        <v>2.2000000000000001E-3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37135</v>
      </c>
      <c r="D49" s="276"/>
      <c r="E49" s="276"/>
      <c r="F49" s="308"/>
      <c r="G49" s="278" t="s">
        <v>1069</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35278</v>
      </c>
      <c r="D51" s="276"/>
      <c r="E51" s="276"/>
      <c r="F51" s="308"/>
      <c r="G51" s="278" t="s">
        <v>64</v>
      </c>
    </row>
    <row r="52" spans="1:7" s="252" customFormat="1" ht="16.8" thickBot="1">
      <c r="A52" s="309" t="s">
        <v>65</v>
      </c>
      <c r="B52" s="310"/>
      <c r="C52" s="311">
        <f ca="1">C31+C51</f>
        <v>64985</v>
      </c>
      <c r="D52" s="310"/>
      <c r="E52" s="310"/>
      <c r="F52" s="310"/>
      <c r="G52" s="312"/>
    </row>
    <row r="55" spans="1:7" ht="15">
      <c r="B55" s="314" t="s">
        <v>66</v>
      </c>
      <c r="C55" s="315"/>
    </row>
    <row r="56" spans="1:7">
      <c r="B56" s="317" t="s">
        <v>67</v>
      </c>
      <c r="C56" s="318">
        <f ca="1">ROUND(C51/C52,3)</f>
        <v>0.54300000000000004</v>
      </c>
    </row>
    <row r="57" spans="1:7">
      <c r="B57" s="317" t="s">
        <v>68</v>
      </c>
      <c r="C57" s="319">
        <f ca="1">1-C56</f>
        <v>0.45699999999999996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55" t="s">
        <v>156</v>
      </c>
      <c r="B1" s="3355"/>
      <c r="C1" s="3355"/>
      <c r="D1" s="3355"/>
      <c r="E1" s="3355"/>
      <c r="F1" s="335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56" t="s">
        <v>169</v>
      </c>
      <c r="B2" s="3356"/>
      <c r="C2" s="3356"/>
      <c r="D2" s="3356"/>
      <c r="E2" s="3356"/>
      <c r="F2" s="335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55" t="s">
        <v>867</v>
      </c>
      <c r="B1" s="3355"/>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44012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54" t="s">
        <v>1656</v>
      </c>
      <c r="B1" s="3054"/>
      <c r="C1" s="3054"/>
      <c r="D1" s="3054"/>
    </row>
    <row r="2" spans="1:4" ht="17.399999999999999">
      <c r="A2" s="3055" t="s">
        <v>1640</v>
      </c>
      <c r="B2" s="3055"/>
      <c r="C2" s="3055"/>
      <c r="D2" s="3055"/>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55" t="s">
        <v>1646</v>
      </c>
      <c r="B6" s="3055"/>
      <c r="C6" s="3055"/>
      <c r="D6" s="3055"/>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7.399999999999999">
      <c r="A10" s="1974" t="s">
        <v>1648</v>
      </c>
      <c r="B10" s="728"/>
      <c r="C10" s="728"/>
      <c r="D10" s="728"/>
    </row>
    <row r="11" spans="1:4" ht="30" customHeight="1">
      <c r="A11" s="3056" t="s">
        <v>1649</v>
      </c>
      <c r="B11" s="3048"/>
      <c r="C11" s="3048"/>
      <c r="D11" s="3048"/>
    </row>
    <row r="12" spans="1:4" ht="15.6">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48" t="str">
        <f>IF(项目基本情况!B8="抵押","4.本次评估估价师所知悉的法定优先受偿款情况说明如下：","——")</f>
        <v>4.本次评估估价师所知悉的法定优先受偿款情况说明如下：</v>
      </c>
      <c r="B14" s="3053"/>
      <c r="C14" s="3053"/>
      <c r="D14" s="3053"/>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0" t="s">
        <v>1650</v>
      </c>
      <c r="B16" s="3050"/>
      <c r="C16" s="3050"/>
      <c r="D16" s="3050"/>
    </row>
    <row r="17" spans="1:4" ht="144" customHeight="1">
      <c r="A17" s="3050" t="s">
        <v>1651</v>
      </c>
      <c r="B17" s="3050"/>
      <c r="C17" s="3050"/>
      <c r="D17" s="3050"/>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1652</v>
      </c>
      <c r="B22" s="3052"/>
      <c r="C22" s="3052"/>
      <c r="D22" s="3052"/>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49">
        <v>42551</v>
      </c>
      <c r="D31" s="30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62" t="s">
        <v>1663</v>
      </c>
      <c r="B15" s="3057" t="s">
        <v>136</v>
      </c>
      <c r="C15" s="3058"/>
    </row>
    <row r="16" spans="1:7" ht="14.4">
      <c r="A16" s="3063"/>
      <c r="B16" s="3057" t="s">
        <v>69</v>
      </c>
      <c r="C16" s="3058"/>
    </row>
    <row r="17" spans="1:3" ht="14.4">
      <c r="A17" s="3063"/>
      <c r="B17" s="3060" t="s">
        <v>1664</v>
      </c>
      <c r="C17" s="1990" t="s">
        <v>1663</v>
      </c>
    </row>
    <row r="18" spans="1:3" ht="14.4">
      <c r="A18" s="3063"/>
      <c r="B18" s="3060"/>
      <c r="C18" s="1990" t="s">
        <v>1665</v>
      </c>
    </row>
    <row r="19" spans="1:3" ht="14.4">
      <c r="A19" s="3063"/>
      <c r="B19" s="3060"/>
      <c r="C19" s="1990" t="s">
        <v>1666</v>
      </c>
    </row>
    <row r="20" spans="1:3" ht="14.4">
      <c r="A20" s="3064"/>
      <c r="B20" s="3059" t="s">
        <v>1667</v>
      </c>
      <c r="C20" s="3058"/>
    </row>
    <row r="21" spans="1:3" ht="14.4">
      <c r="A21" s="1991" t="s">
        <v>1668</v>
      </c>
      <c r="B21" s="1992"/>
      <c r="C21" s="1993"/>
    </row>
    <row r="22" spans="1:3" ht="14.4">
      <c r="A22" s="3061" t="s">
        <v>1669</v>
      </c>
      <c r="B22" s="3059" t="s">
        <v>1670</v>
      </c>
      <c r="C22" s="3058"/>
    </row>
    <row r="23" spans="1:3" ht="14.4">
      <c r="A23" s="3061"/>
      <c r="B23" s="3059" t="s">
        <v>1671</v>
      </c>
      <c r="C23" s="3058"/>
    </row>
    <row r="24" spans="1:3" ht="14.4">
      <c r="A24" s="3061"/>
      <c r="B24" s="3059" t="s">
        <v>1672</v>
      </c>
      <c r="C24" s="3058"/>
    </row>
    <row r="25" spans="1:3" ht="14.4">
      <c r="A25" s="3061"/>
      <c r="B25" s="3060" t="s">
        <v>1673</v>
      </c>
      <c r="C25" s="1990" t="s">
        <v>1674</v>
      </c>
    </row>
    <row r="26" spans="1:3" ht="14.4">
      <c r="A26" s="3061"/>
      <c r="B26" s="3060"/>
      <c r="C26" s="1990" t="s">
        <v>1675</v>
      </c>
    </row>
    <row r="27" spans="1:3" ht="14.4">
      <c r="A27" s="3061"/>
      <c r="B27" s="3060"/>
      <c r="C27" s="1990" t="s">
        <v>1676</v>
      </c>
    </row>
    <row r="28" spans="1:3" ht="14.4">
      <c r="A28" s="3061"/>
      <c r="B28" s="3060"/>
      <c r="C28" s="1990" t="s">
        <v>1677</v>
      </c>
    </row>
    <row r="29" spans="1:3" ht="14.4">
      <c r="A29" s="3061"/>
      <c r="B29" s="3060"/>
      <c r="C29" s="1990" t="s">
        <v>1678</v>
      </c>
    </row>
    <row r="30" spans="1:3" ht="14.4">
      <c r="A30" s="3061"/>
      <c r="B30" s="3060"/>
      <c r="C30" s="1990" t="s">
        <v>1679</v>
      </c>
    </row>
    <row r="31" spans="1:3" ht="14.4">
      <c r="A31" s="3061"/>
      <c r="B31" s="3060"/>
      <c r="C31" s="1990" t="s">
        <v>1680</v>
      </c>
    </row>
    <row r="32" spans="1:3" ht="14.4">
      <c r="A32" s="3061"/>
      <c r="B32" s="3060"/>
      <c r="C32" s="1990" t="s">
        <v>1681</v>
      </c>
    </row>
    <row r="33" spans="1:3" ht="14.4">
      <c r="A33" s="3061"/>
      <c r="B33" s="3060"/>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44019</v>
      </c>
      <c r="C2" s="1019" t="s">
        <v>826</v>
      </c>
      <c r="D2" s="1019"/>
    </row>
    <row r="3" spans="1:6" ht="24" customHeight="1">
      <c r="A3" s="1020" t="s">
        <v>827</v>
      </c>
      <c r="B3" s="1021" t="s">
        <v>828</v>
      </c>
      <c r="C3" s="2336" t="s">
        <v>829</v>
      </c>
      <c r="D3" s="2339" t="s">
        <v>830</v>
      </c>
      <c r="E3" s="1022" t="s">
        <v>831</v>
      </c>
      <c r="F3" s="1021" t="s">
        <v>829</v>
      </c>
    </row>
    <row r="4" spans="1:6" ht="24" customHeight="1">
      <c r="A4" s="1701" t="s">
        <v>832</v>
      </c>
      <c r="B4" s="1022">
        <f ca="1">IF(C4&lt;B2,"已过期",1119970066)</f>
        <v>1119970066</v>
      </c>
      <c r="C4" s="2919">
        <v>44876</v>
      </c>
      <c r="D4" s="2340" t="s">
        <v>832</v>
      </c>
      <c r="E4" s="1022">
        <f ca="1">IF(F4&lt;B2,"已过期",96010014)</f>
        <v>96010014</v>
      </c>
      <c r="F4" s="1030">
        <v>47118</v>
      </c>
    </row>
    <row r="5" spans="1:6" ht="24" customHeight="1">
      <c r="A5" s="1701"/>
      <c r="B5" s="1022"/>
      <c r="C5" s="2337"/>
      <c r="D5" s="2340"/>
      <c r="E5" s="1022"/>
      <c r="F5" s="1030"/>
    </row>
    <row r="6" spans="1:6" ht="24" customHeight="1">
      <c r="A6" s="1701" t="s">
        <v>833</v>
      </c>
      <c r="B6" s="1022">
        <f ca="1">IF(C6&lt;B2,"已过期",1119970111)</f>
        <v>1119970111</v>
      </c>
      <c r="C6" s="2337">
        <v>44876</v>
      </c>
      <c r="D6" s="2340" t="s">
        <v>833</v>
      </c>
      <c r="E6" s="1022">
        <f ca="1">IF(F6&lt;B2,"已过期",94010078)</f>
        <v>94010078</v>
      </c>
      <c r="F6" s="1030">
        <v>46387</v>
      </c>
    </row>
    <row r="7" spans="1:6" ht="24" customHeight="1">
      <c r="A7" s="1701" t="s">
        <v>834</v>
      </c>
      <c r="B7" s="1022">
        <f ca="1">IF(C7&lt;B2,"已过期",1120050019)</f>
        <v>1120050019</v>
      </c>
      <c r="C7" s="2337">
        <v>44395</v>
      </c>
      <c r="D7" s="2340" t="s">
        <v>834</v>
      </c>
      <c r="E7" s="1022">
        <f ca="1">IF(F7&lt;B2,"已过期",2002110030)</f>
        <v>2002110030</v>
      </c>
      <c r="F7" s="1030">
        <v>46387</v>
      </c>
    </row>
    <row r="8" spans="1:6" ht="24" customHeight="1">
      <c r="A8" s="1701" t="s">
        <v>835</v>
      </c>
      <c r="B8" s="1022">
        <f ca="1">IF(C8&lt;B2,"已过期",1120000080)</f>
        <v>1120000080</v>
      </c>
      <c r="C8" s="2919">
        <v>44876</v>
      </c>
      <c r="D8" s="2340" t="s">
        <v>835</v>
      </c>
      <c r="E8" s="1022">
        <f ca="1">IF(F8&lt;B2,"已过期",2000110082)</f>
        <v>2000110082</v>
      </c>
      <c r="F8" s="1030">
        <v>46387</v>
      </c>
    </row>
    <row r="9" spans="1:6" ht="24" customHeight="1">
      <c r="A9" s="1701" t="s">
        <v>836</v>
      </c>
      <c r="B9" s="1022">
        <f ca="1">IF(C9&lt;B2,"已过期",1419970001)</f>
        <v>1419970001</v>
      </c>
      <c r="C9" s="2919">
        <v>44899</v>
      </c>
      <c r="D9" s="2340" t="s">
        <v>836</v>
      </c>
      <c r="E9" s="1022">
        <f ca="1">IF(F9&lt;B2,"已过期",2002110125)</f>
        <v>2002110125</v>
      </c>
      <c r="F9" s="1030">
        <v>47118</v>
      </c>
    </row>
    <row r="10" spans="1:6" ht="24" customHeight="1">
      <c r="A10" s="1701" t="s">
        <v>837</v>
      </c>
      <c r="B10" s="1022">
        <f ca="1">IF(C10&lt;B2,"已过期",1120060040)</f>
        <v>1120060040</v>
      </c>
      <c r="C10" s="2337">
        <v>44554</v>
      </c>
      <c r="D10" s="2340" t="s">
        <v>837</v>
      </c>
      <c r="E10" s="1022">
        <f ca="1">IF(F10&lt;B2,"已过期",2004110096)</f>
        <v>2004110096</v>
      </c>
      <c r="F10" s="1030">
        <v>47118</v>
      </c>
    </row>
    <row r="11" spans="1:6" ht="24" customHeight="1">
      <c r="A11" s="1701" t="s">
        <v>838</v>
      </c>
      <c r="B11" s="1022">
        <f ca="1">IF(C11&lt;B2,"已过期",1120100036)</f>
        <v>1120100036</v>
      </c>
      <c r="C11" s="2337">
        <v>44675</v>
      </c>
      <c r="D11" s="2340" t="s">
        <v>838</v>
      </c>
      <c r="E11" s="1022">
        <f ca="1">IF(F11&lt;B2,"已过期",2010110070)</f>
        <v>2010110070</v>
      </c>
      <c r="F11" s="1030">
        <v>47907</v>
      </c>
    </row>
    <row r="12" spans="1:6" ht="24" customHeight="1">
      <c r="A12" s="1701"/>
      <c r="B12" s="1022"/>
      <c r="C12" s="2919"/>
      <c r="D12" s="1701"/>
      <c r="E12" s="1022"/>
      <c r="F12" s="1030"/>
    </row>
    <row r="13" spans="1:6" ht="24" customHeight="1">
      <c r="A13" s="1701" t="s">
        <v>839</v>
      </c>
      <c r="B13" s="1022">
        <f ca="1">IF(C13&lt;B2,"已过期",1120070131)</f>
        <v>1120070131</v>
      </c>
      <c r="C13" s="2337">
        <v>44849</v>
      </c>
      <c r="D13" s="2340" t="s">
        <v>839</v>
      </c>
      <c r="E13" s="1022">
        <f ca="1">IF(F13&lt;B2,"已过期",2014110011)</f>
        <v>2014110011</v>
      </c>
      <c r="F13" s="1030">
        <v>49302</v>
      </c>
    </row>
    <row r="14" spans="1:6" ht="24" customHeight="1">
      <c r="A14" s="1701" t="s">
        <v>3040</v>
      </c>
      <c r="B14" s="1022">
        <f ca="1">IF(C14&lt;B2,"已过期",1120040230)</f>
        <v>1120040230</v>
      </c>
      <c r="C14" s="2337">
        <v>44864</v>
      </c>
      <c r="D14" s="2340" t="s">
        <v>3040</v>
      </c>
      <c r="E14" s="1022">
        <f ca="1">IF(F14&lt;B2,"已过期",98030020)</f>
        <v>98030020</v>
      </c>
      <c r="F14" s="1030">
        <v>47118</v>
      </c>
    </row>
    <row r="15" spans="1:6" ht="24" customHeight="1">
      <c r="A15" s="1702"/>
      <c r="B15" s="1022"/>
      <c r="C15" s="2337"/>
      <c r="D15" s="2341"/>
      <c r="E15" s="1022"/>
      <c r="F15" s="1023"/>
    </row>
    <row r="16" spans="1:6" ht="24" customHeight="1">
      <c r="A16" s="1701"/>
      <c r="B16" s="1022"/>
      <c r="C16" s="2919"/>
      <c r="D16" s="2340"/>
      <c r="E16" s="1022"/>
      <c r="F16" s="1030"/>
    </row>
    <row r="17" spans="1:7" ht="24" customHeight="1">
      <c r="A17" s="1701"/>
      <c r="B17" s="1022"/>
      <c r="C17" s="2337"/>
      <c r="D17" s="2340"/>
      <c r="E17" s="1022"/>
      <c r="F17" s="1030"/>
    </row>
    <row r="18" spans="1:7" ht="24" customHeight="1">
      <c r="A18" s="1701" t="s">
        <v>3047</v>
      </c>
      <c r="B18" s="1022">
        <v>1120190079</v>
      </c>
      <c r="C18" s="2919">
        <v>44826</v>
      </c>
      <c r="D18" s="2340"/>
      <c r="E18" s="1022"/>
      <c r="F18" s="1030"/>
    </row>
    <row r="19" spans="1:7" ht="24" customHeight="1">
      <c r="A19" s="1701"/>
      <c r="B19" s="1022"/>
      <c r="C19" s="2337"/>
      <c r="D19" s="2340"/>
      <c r="E19" s="1022"/>
      <c r="F19" s="1022"/>
    </row>
    <row r="20" spans="1:7" ht="24" customHeight="1">
      <c r="A20" s="1701"/>
      <c r="B20" s="1022"/>
      <c r="C20" s="2337"/>
      <c r="D20" s="2340"/>
      <c r="E20" s="1022"/>
      <c r="F20" s="1022"/>
    </row>
    <row r="21" spans="1:7" ht="24" customHeight="1">
      <c r="A21" s="1701"/>
      <c r="B21" s="1022"/>
      <c r="C21" s="2337"/>
      <c r="D21" s="2340" t="s">
        <v>840</v>
      </c>
      <c r="E21" s="1022">
        <f ca="1">IF(F21&lt;B2,"已过期",2011110090)</f>
        <v>2011110090</v>
      </c>
      <c r="F21" s="1030">
        <v>48302</v>
      </c>
    </row>
    <row r="22" spans="1:7" ht="24" customHeight="1">
      <c r="A22" s="1701" t="s">
        <v>841</v>
      </c>
      <c r="B22" s="1022">
        <f ca="1">IF(C22&lt;B2,"已过期",1120020033)</f>
        <v>1120020033</v>
      </c>
      <c r="C22" s="2919">
        <v>44339</v>
      </c>
      <c r="D22" s="2340" t="s">
        <v>841</v>
      </c>
      <c r="E22" s="1022">
        <f ca="1">IF(F22&lt;B2,"已过期",2000110137)</f>
        <v>2000110137</v>
      </c>
      <c r="F22" s="1030">
        <v>46387</v>
      </c>
    </row>
    <row r="23" spans="1:7" ht="24" customHeight="1">
      <c r="A23" s="1701" t="s">
        <v>3049</v>
      </c>
      <c r="B23" s="1022">
        <v>1119980106</v>
      </c>
      <c r="C23" s="2337">
        <v>44969</v>
      </c>
      <c r="D23" s="2340"/>
      <c r="E23" s="1022"/>
      <c r="F23" s="1022"/>
    </row>
    <row r="24" spans="1:7" s="1024" customFormat="1" ht="24" customHeight="1">
      <c r="A24" s="1702" t="s">
        <v>1328</v>
      </c>
      <c r="B24" s="1702" t="s">
        <v>1328</v>
      </c>
      <c r="C24" s="2338" t="s">
        <v>1328</v>
      </c>
      <c r="D24" s="2341" t="s">
        <v>1328</v>
      </c>
      <c r="E24" s="1702" t="s">
        <v>1328</v>
      </c>
      <c r="F24" s="1702" t="s">
        <v>1328</v>
      </c>
    </row>
    <row r="25" spans="1:7" ht="24" customHeight="1">
      <c r="A25" s="3065" t="s">
        <v>842</v>
      </c>
      <c r="B25" s="3065"/>
      <c r="C25" s="3065"/>
      <c r="D25" s="3065"/>
      <c r="E25" s="3065"/>
      <c r="F25" s="3065"/>
      <c r="G25" s="3065"/>
    </row>
    <row r="26" spans="1:7" s="1025" customFormat="1" ht="24" customHeight="1">
      <c r="A26" s="3066" t="s">
        <v>843</v>
      </c>
      <c r="B26" s="3066"/>
      <c r="C26" s="3067"/>
      <c r="D26" s="3068" t="s">
        <v>844</v>
      </c>
      <c r="E26" s="3066"/>
      <c r="F26" s="3066"/>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54" priority="107" stopIfTrue="1" operator="lessThan">
      <formula>$B$2</formula>
    </cfRule>
  </conditionalFormatting>
  <conditionalFormatting sqref="C5">
    <cfRule type="expression" dxfId="253" priority="102">
      <formula>AND($C5-TODAY()&lt;30,TODAY()&lt;$C5)</formula>
    </cfRule>
  </conditionalFormatting>
  <conditionalFormatting sqref="C5 F5">
    <cfRule type="cellIs" dxfId="252" priority="103" stopIfTrue="1" operator="lessThan">
      <formula>$B$2</formula>
    </cfRule>
  </conditionalFormatting>
  <conditionalFormatting sqref="F6 F8 F10">
    <cfRule type="cellIs" dxfId="251" priority="101" stopIfTrue="1" operator="lessThan">
      <formula>$B$2</formula>
    </cfRule>
  </conditionalFormatting>
  <conditionalFormatting sqref="C5:C7 C13 C17 C19:C21 C10:C11">
    <cfRule type="expression" dxfId="250" priority="99">
      <formula>AND($C5-TODAY()&lt;30,TODAY()&lt;$C5)</formula>
    </cfRule>
  </conditionalFormatting>
  <conditionalFormatting sqref="F7 F9 F11 C5:C7 C13 C17 C19:C21 C10:C11">
    <cfRule type="cellIs" dxfId="249" priority="100" stopIfTrue="1" operator="lessThan">
      <formula>$B$2</formula>
    </cfRule>
  </conditionalFormatting>
  <conditionalFormatting sqref="C20">
    <cfRule type="expression" dxfId="248" priority="87">
      <formula>AND($C20-TODAY()&lt;30,TODAY()&lt;$C20)</formula>
    </cfRule>
  </conditionalFormatting>
  <conditionalFormatting sqref="C20">
    <cfRule type="cellIs" dxfId="247" priority="88" stopIfTrue="1" operator="lessThan">
      <formula>$B$2</formula>
    </cfRule>
  </conditionalFormatting>
  <conditionalFormatting sqref="C17">
    <cfRule type="expression" dxfId="246" priority="81">
      <formula>AND($C17-TODAY()&lt;30,TODAY()&lt;$C17)</formula>
    </cfRule>
  </conditionalFormatting>
  <conditionalFormatting sqref="C17">
    <cfRule type="cellIs" dxfId="245" priority="82" stopIfTrue="1" operator="lessThan">
      <formula>$B$2</formula>
    </cfRule>
  </conditionalFormatting>
  <conditionalFormatting sqref="C19">
    <cfRule type="expression" dxfId="244" priority="79">
      <formula>AND($C19-TODAY()&lt;30,TODAY()&lt;$C19)</formula>
    </cfRule>
  </conditionalFormatting>
  <conditionalFormatting sqref="C19">
    <cfRule type="cellIs" dxfId="243" priority="80" stopIfTrue="1" operator="lessThan">
      <formula>$B$2</formula>
    </cfRule>
  </conditionalFormatting>
  <conditionalFormatting sqref="C21">
    <cfRule type="expression" dxfId="242" priority="77">
      <formula>AND($C21-TODAY()&lt;30,TODAY()&lt;$C21)</formula>
    </cfRule>
  </conditionalFormatting>
  <conditionalFormatting sqref="C21">
    <cfRule type="cellIs" dxfId="241" priority="78" stopIfTrue="1" operator="lessThan">
      <formula>$B$2</formula>
    </cfRule>
  </conditionalFormatting>
  <conditionalFormatting sqref="F18">
    <cfRule type="cellIs" dxfId="240" priority="72" stopIfTrue="1" operator="lessThan">
      <formula>$B$2</formula>
    </cfRule>
  </conditionalFormatting>
  <conditionalFormatting sqref="F22">
    <cfRule type="cellIs" dxfId="239" priority="71" stopIfTrue="1" operator="lessThan">
      <formula>$B$2</formula>
    </cfRule>
  </conditionalFormatting>
  <conditionalFormatting sqref="F21">
    <cfRule type="cellIs" dxfId="238" priority="70" stopIfTrue="1" operator="lessThan">
      <formula>$B$2</formula>
    </cfRule>
  </conditionalFormatting>
  <conditionalFormatting sqref="B4:B11 E4:E11 B17 E18:E23 B13 E13 B19:B23">
    <cfRule type="cellIs" dxfId="237" priority="68" stopIfTrue="1" operator="equal">
      <formula>"已过期"</formula>
    </cfRule>
  </conditionalFormatting>
  <conditionalFormatting sqref="A24:F24">
    <cfRule type="cellIs" dxfId="236" priority="64" stopIfTrue="1" operator="equal">
      <formula>"已过期"</formula>
    </cfRule>
  </conditionalFormatting>
  <conditionalFormatting sqref="F28">
    <cfRule type="expression" dxfId="235" priority="62">
      <formula>AND($E28-TODAY()&lt;30,TODAY()&lt;$E28)</formula>
    </cfRule>
  </conditionalFormatting>
  <conditionalFormatting sqref="F28">
    <cfRule type="cellIs" dxfId="234" priority="63" stopIfTrue="1" operator="lessThan">
      <formula>$B$2</formula>
    </cfRule>
  </conditionalFormatting>
  <conditionalFormatting sqref="F29">
    <cfRule type="expression" dxfId="233" priority="58" stopIfTrue="1">
      <formula>AND($E29-TODAY()&lt;30,TODAY()&lt;$E29)</formula>
    </cfRule>
  </conditionalFormatting>
  <conditionalFormatting sqref="F29">
    <cfRule type="cellIs" dxfId="232" priority="59" stopIfTrue="1" operator="lessThan">
      <formula>$B$2</formula>
    </cfRule>
  </conditionalFormatting>
  <conditionalFormatting sqref="F13">
    <cfRule type="cellIs" dxfId="231" priority="51" stopIfTrue="1" operator="lessThan">
      <formula>$B$2</formula>
    </cfRule>
  </conditionalFormatting>
  <conditionalFormatting sqref="C12">
    <cfRule type="expression" dxfId="230" priority="49">
      <formula>AND($C12-TODAY()&lt;30,TODAY()&lt;$C12)</formula>
    </cfRule>
  </conditionalFormatting>
  <conditionalFormatting sqref="C12">
    <cfRule type="cellIs" dxfId="229" priority="50" stopIfTrue="1" operator="lessThan">
      <formula>$B$2</formula>
    </cfRule>
  </conditionalFormatting>
  <conditionalFormatting sqref="C12">
    <cfRule type="expression" dxfId="228" priority="47">
      <formula>AND($C12-TODAY()&lt;30,TODAY()&lt;$C12)</formula>
    </cfRule>
  </conditionalFormatting>
  <conditionalFormatting sqref="C12">
    <cfRule type="cellIs" dxfId="227" priority="48" stopIfTrue="1" operator="lessThan">
      <formula>$B$2</formula>
    </cfRule>
  </conditionalFormatting>
  <conditionalFormatting sqref="B12">
    <cfRule type="cellIs" dxfId="226" priority="46" stopIfTrue="1" operator="equal">
      <formula>"已过期"</formula>
    </cfRule>
  </conditionalFormatting>
  <conditionalFormatting sqref="E12">
    <cfRule type="cellIs" dxfId="225" priority="45" stopIfTrue="1" operator="equal">
      <formula>"已过期"</formula>
    </cfRule>
  </conditionalFormatting>
  <conditionalFormatting sqref="F12">
    <cfRule type="cellIs" dxfId="224" priority="44" stopIfTrue="1" operator="lessThan">
      <formula>$B$2</formula>
    </cfRule>
  </conditionalFormatting>
  <conditionalFormatting sqref="C22">
    <cfRule type="expression" dxfId="223" priority="42">
      <formula>AND($C22-TODAY()&lt;30,TODAY()&lt;$C22)</formula>
    </cfRule>
  </conditionalFormatting>
  <conditionalFormatting sqref="C22">
    <cfRule type="cellIs" dxfId="222" priority="43" stopIfTrue="1" operator="lessThan">
      <formula>$B$2</formula>
    </cfRule>
  </conditionalFormatting>
  <conditionalFormatting sqref="C22">
    <cfRule type="expression" dxfId="221" priority="40">
      <formula>AND($C22-TODAY()&lt;30,TODAY()&lt;$C22)</formula>
    </cfRule>
  </conditionalFormatting>
  <conditionalFormatting sqref="C22">
    <cfRule type="cellIs" dxfId="220" priority="41" stopIfTrue="1" operator="lessThan">
      <formula>$B$2</formula>
    </cfRule>
  </conditionalFormatting>
  <conditionalFormatting sqref="C16">
    <cfRule type="expression" dxfId="219" priority="38">
      <formula>AND($C16-TODAY()&lt;30,TODAY()&lt;$C16)</formula>
    </cfRule>
  </conditionalFormatting>
  <conditionalFormatting sqref="C16">
    <cfRule type="cellIs" dxfId="218" priority="39" stopIfTrue="1" operator="lessThan">
      <formula>$B$2</formula>
    </cfRule>
  </conditionalFormatting>
  <conditionalFormatting sqref="C16">
    <cfRule type="expression" dxfId="217" priority="36">
      <formula>AND($C16-TODAY()&lt;30,TODAY()&lt;$C16)</formula>
    </cfRule>
  </conditionalFormatting>
  <conditionalFormatting sqref="C16">
    <cfRule type="cellIs" dxfId="216" priority="37" stopIfTrue="1" operator="lessThan">
      <formula>$B$2</formula>
    </cfRule>
  </conditionalFormatting>
  <conditionalFormatting sqref="B16">
    <cfRule type="cellIs" dxfId="215" priority="35" stopIfTrue="1" operator="equal">
      <formula>"已过期"</formula>
    </cfRule>
  </conditionalFormatting>
  <conditionalFormatting sqref="C14:C15">
    <cfRule type="expression" dxfId="214" priority="33">
      <formula>AND($C14-TODAY()&lt;30,TODAY()&lt;$C14)</formula>
    </cfRule>
  </conditionalFormatting>
  <conditionalFormatting sqref="C14:C15">
    <cfRule type="cellIs" dxfId="213" priority="34" stopIfTrue="1" operator="lessThan">
      <formula>$B$2</formula>
    </cfRule>
  </conditionalFormatting>
  <conditionalFormatting sqref="C14">
    <cfRule type="expression" dxfId="212" priority="31">
      <formula>AND($C14-TODAY()&lt;30,TODAY()&lt;$C14)</formula>
    </cfRule>
  </conditionalFormatting>
  <conditionalFormatting sqref="C14">
    <cfRule type="cellIs" dxfId="211" priority="32" stopIfTrue="1" operator="lessThan">
      <formula>$B$2</formula>
    </cfRule>
  </conditionalFormatting>
  <conditionalFormatting sqref="C15">
    <cfRule type="expression" dxfId="210" priority="29">
      <formula>AND($C15-TODAY()&lt;30,TODAY()&lt;$C15)</formula>
    </cfRule>
  </conditionalFormatting>
  <conditionalFormatting sqref="C15">
    <cfRule type="cellIs" dxfId="209" priority="30" stopIfTrue="1" operator="lessThan">
      <formula>$B$2</formula>
    </cfRule>
  </conditionalFormatting>
  <conditionalFormatting sqref="B14">
    <cfRule type="cellIs" dxfId="208" priority="28" stopIfTrue="1" operator="equal">
      <formula>"已过期"</formula>
    </cfRule>
  </conditionalFormatting>
  <conditionalFormatting sqref="B15">
    <cfRule type="cellIs" dxfId="207" priority="27" stopIfTrue="1" operator="equal">
      <formula>"已过期"</formula>
    </cfRule>
  </conditionalFormatting>
  <conditionalFormatting sqref="A15">
    <cfRule type="cellIs" dxfId="206" priority="26" stopIfTrue="1" operator="equal">
      <formula>"已过期"</formula>
    </cfRule>
  </conditionalFormatting>
  <conditionalFormatting sqref="C15">
    <cfRule type="expression" dxfId="205" priority="25">
      <formula>AND($C15-TODAY()&lt;30,TODAY()&lt;$C15)</formula>
    </cfRule>
  </conditionalFormatting>
  <conditionalFormatting sqref="F16">
    <cfRule type="cellIs" dxfId="204" priority="24" stopIfTrue="1" operator="lessThan">
      <formula>$B$2</formula>
    </cfRule>
  </conditionalFormatting>
  <conditionalFormatting sqref="E16 E14">
    <cfRule type="cellIs" dxfId="203" priority="23" stopIfTrue="1" operator="equal">
      <formula>"已过期"</formula>
    </cfRule>
  </conditionalFormatting>
  <conditionalFormatting sqref="E15">
    <cfRule type="cellIs" dxfId="202" priority="22" stopIfTrue="1" operator="equal">
      <formula>"已过期"</formula>
    </cfRule>
  </conditionalFormatting>
  <conditionalFormatting sqref="D15">
    <cfRule type="cellIs" dxfId="201" priority="21" stopIfTrue="1" operator="equal">
      <formula>"已过期"</formula>
    </cfRule>
  </conditionalFormatting>
  <conditionalFormatting sqref="F17">
    <cfRule type="cellIs" dxfId="200" priority="20" stopIfTrue="1" operator="lessThan">
      <formula>$B$2</formula>
    </cfRule>
  </conditionalFormatting>
  <conditionalFormatting sqref="E17">
    <cfRule type="cellIs" dxfId="199" priority="19" stopIfTrue="1" operator="equal">
      <formula>"已过期"</formula>
    </cfRule>
  </conditionalFormatting>
  <conditionalFormatting sqref="F14">
    <cfRule type="cellIs" dxfId="198" priority="18" stopIfTrue="1" operator="lessThan">
      <formula>$B$2</formula>
    </cfRule>
  </conditionalFormatting>
  <conditionalFormatting sqref="C18">
    <cfRule type="expression" dxfId="197" priority="16">
      <formula>AND($C18-TODAY()&lt;30,TODAY()&lt;$C18)</formula>
    </cfRule>
  </conditionalFormatting>
  <conditionalFormatting sqref="C18">
    <cfRule type="cellIs" dxfId="196" priority="17" stopIfTrue="1" operator="lessThan">
      <formula>$B$2</formula>
    </cfRule>
  </conditionalFormatting>
  <conditionalFormatting sqref="C18">
    <cfRule type="expression" dxfId="195" priority="14">
      <formula>AND($C18-TODAY()&lt;30,TODAY()&lt;$C18)</formula>
    </cfRule>
  </conditionalFormatting>
  <conditionalFormatting sqref="C18">
    <cfRule type="cellIs" dxfId="194" priority="15" stopIfTrue="1" operator="lessThan">
      <formula>$B$2</formula>
    </cfRule>
  </conditionalFormatting>
  <conditionalFormatting sqref="B18">
    <cfRule type="cellIs" dxfId="193" priority="13" stopIfTrue="1" operator="equal">
      <formula>"已过期"</formula>
    </cfRule>
  </conditionalFormatting>
  <conditionalFormatting sqref="C28">
    <cfRule type="expression" dxfId="192" priority="11">
      <formula>AND($C28-TODAY()&lt;30,TODAY()&lt;$C28)</formula>
    </cfRule>
  </conditionalFormatting>
  <conditionalFormatting sqref="C28">
    <cfRule type="cellIs" dxfId="191" priority="12" stopIfTrue="1" operator="lessThan">
      <formula>$B$2</formula>
    </cfRule>
  </conditionalFormatting>
  <conditionalFormatting sqref="C4">
    <cfRule type="expression" dxfId="190" priority="9">
      <formula>AND($C4-TODAY()&lt;30,TODAY()&lt;$C4)</formula>
    </cfRule>
  </conditionalFormatting>
  <conditionalFormatting sqref="C4">
    <cfRule type="cellIs" dxfId="189" priority="10" stopIfTrue="1" operator="lessThan">
      <formula>$B$2</formula>
    </cfRule>
  </conditionalFormatting>
  <conditionalFormatting sqref="C8">
    <cfRule type="expression" dxfId="188" priority="7">
      <formula>AND($C8-TODAY()&lt;30,TODAY()&lt;$C8)</formula>
    </cfRule>
  </conditionalFormatting>
  <conditionalFormatting sqref="C8">
    <cfRule type="cellIs" dxfId="187" priority="8" stopIfTrue="1" operator="lessThan">
      <formula>$B$2</formula>
    </cfRule>
  </conditionalFormatting>
  <conditionalFormatting sqref="C9">
    <cfRule type="expression" dxfId="186" priority="5">
      <formula>AND($C9-TODAY()&lt;30,TODAY()&lt;$C9)</formula>
    </cfRule>
  </conditionalFormatting>
  <conditionalFormatting sqref="C9">
    <cfRule type="cellIs" dxfId="185" priority="6" stopIfTrue="1" operator="lessThan">
      <formula>$B$2</formula>
    </cfRule>
  </conditionalFormatting>
  <conditionalFormatting sqref="C23">
    <cfRule type="expression" dxfId="184" priority="3">
      <formula>AND($C23-TODAY()&lt;30,TODAY()&lt;$C23)</formula>
    </cfRule>
  </conditionalFormatting>
  <conditionalFormatting sqref="C23">
    <cfRule type="cellIs" dxfId="183" priority="4" stopIfTrue="1" operator="lessThan">
      <formula>$B$2</formula>
    </cfRule>
  </conditionalFormatting>
  <conditionalFormatting sqref="C23">
    <cfRule type="expression" dxfId="182" priority="1">
      <formula>AND($C23-TODAY()&lt;30,TODAY()&lt;$C23)</formula>
    </cfRule>
  </conditionalFormatting>
  <conditionalFormatting sqref="C23">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139</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比较法案例</vt:lpstr>
      <vt:lpstr>收益法办公</vt:lpstr>
      <vt:lpstr>案例</vt:lpstr>
      <vt:lpstr>结果表商业</vt:lpstr>
      <vt:lpstr>比较法-商业</vt:lpstr>
      <vt:lpstr>典型户型修正</vt:lpstr>
      <vt:lpstr>收益法商业</vt:lpstr>
      <vt:lpstr>收益法仓储</vt:lpstr>
      <vt:lpstr>成本法</vt:lpstr>
      <vt:lpstr>基准地价修正</vt:lpstr>
      <vt:lpstr>收益法车库</vt:lpstr>
      <vt:lpstr>收益法车库 (2)</vt:lpstr>
      <vt:lpstr>收益法（汇总）</vt:lpstr>
      <vt:lpstr>酒店收入计算</vt:lpstr>
      <vt:lpstr>比较法-住宅</vt:lpstr>
      <vt:lpstr>比较法-工业</vt:lpstr>
      <vt:lpstr>比较法-车位</vt:lpstr>
      <vt:lpstr>比较法-仓储</vt:lpstr>
      <vt:lpstr>土地比较法-工业</vt:lpstr>
      <vt:lpstr>基准地价修正 (2)</vt:lpstr>
      <vt:lpstr>基准地价（汇总）</vt:lpstr>
      <vt:lpstr>土地比较法-住宅、综合</vt:lpstr>
      <vt:lpstr>土地案例</vt:lpstr>
      <vt:lpstr>修正</vt:lpstr>
      <vt:lpstr>容积率修正</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'收益法车库 (2)'!Print_Area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2020-07-07T10:56:39Z</dcterms:modified>
</cp:coreProperties>
</file>