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119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废弃" sheetId="70" state="hidden" r:id="rId33"/>
    <sheet name="不动产比较法-别墅" sheetId="72"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4" sheetId="71"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33"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2" hidden="1">'不动产比较法-废弃'!$A$1:$L$49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33">'不动产比较法-别墅'!$A$1:$K$54,'不动产比较法-别墅'!$A$57:$M$131</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2">'不动产比较法-废弃'!$A$1:$K$54,'不动产比较法-废弃'!$A$57:$M$131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'不动产比较法-别墅'!$B$88:$M$88</definedName>
    <definedName name="住宅朝向" localSheetId="32">'不动产比较法-废弃'!$B$88:$M$88</definedName>
    <definedName name="住宅朝向">'不动产比较法-住宅'!$B$88:$M$88</definedName>
    <definedName name="住宅房型" localSheetId="33">'不动产比较法-别墅'!$B$118:$M$118</definedName>
    <definedName name="住宅房型" localSheetId="32">'不动产比较法-废弃'!$B$118:$M$118</definedName>
    <definedName name="住宅房型">'不动产比较法-住宅'!$B$118:$M$118</definedName>
    <definedName name="住宅公共部分装修" localSheetId="33">'不动产比较法-别墅'!$B$109:$M$109</definedName>
    <definedName name="住宅公共部分装修" localSheetId="32">'不动产比较法-废弃'!$B$109:$M$109</definedName>
    <definedName name="住宅公共部分装修">'不动产比较法-住宅'!$B$109:$M$109</definedName>
    <definedName name="住宅基础设施水平" localSheetId="33">'不动产比较法-别墅'!$B$116:$M$116</definedName>
    <definedName name="住宅基础设施水平" localSheetId="32">'不动产比较法-废弃'!$B$116:$M$116</definedName>
    <definedName name="住宅基础设施水平">'不动产比较法-住宅'!$B$116:$M$116</definedName>
    <definedName name="住宅建筑结构" localSheetId="33">'不动产比较法-别墅'!$B$105:$M$105</definedName>
    <definedName name="住宅建筑结构" localSheetId="32">'不动产比较法-废弃'!$B$105:$M$105</definedName>
    <definedName name="住宅建筑结构">'不动产比较法-住宅'!$B$105:$M$105</definedName>
    <definedName name="住宅建筑类型" localSheetId="33">'不动产比较法-别墅'!$B$100:$M$100</definedName>
    <definedName name="住宅建筑类型" localSheetId="32">'不动产比较法-废弃'!$B$100:$M$100</definedName>
    <definedName name="住宅建筑类型">'不动产比较法-住宅'!$B$100:$M$100</definedName>
    <definedName name="住宅建筑品质" localSheetId="33">'不动产比较法-别墅'!$B$107:$M$107</definedName>
    <definedName name="住宅建筑品质" localSheetId="32">'不动产比较法-废弃'!$B$107:$M$107</definedName>
    <definedName name="住宅建筑品质">'不动产比较法-住宅'!$B$107:$M$107</definedName>
    <definedName name="住宅交易情况" localSheetId="33">'不动产比较法-别墅'!$A$61:$M$61</definedName>
    <definedName name="住宅交易情况" localSheetId="32">'不动产比较法-废弃'!$A$61:$M$61</definedName>
    <definedName name="住宅交易情况">'不动产比较法-住宅'!$A$61:$M$61</definedName>
    <definedName name="住宅楼层" localSheetId="33">'不动产比较法-别墅'!$B$86:$M$86</definedName>
    <definedName name="住宅楼层" localSheetId="32">'不动产比较法-废弃'!$B$86:$M$86</definedName>
    <definedName name="住宅楼层">'不动产比较法-住宅'!$B$86:$M$86</definedName>
    <definedName name="住宅内部装修" localSheetId="33">'不动产比较法-别墅'!$B$122:$M$122</definedName>
    <definedName name="住宅内部装修" localSheetId="32">'不动产比较法-废弃'!$B$122:$M$122</definedName>
    <definedName name="住宅内部装修">'不动产比较法-住宅'!$B$122:$M$122</definedName>
    <definedName name="住宅物业管理" localSheetId="33">'不动产比较法-别墅'!$B$114:$M$114</definedName>
    <definedName name="住宅物业管理" localSheetId="32">'不动产比较法-废弃'!$B$114:$M$114</definedName>
    <definedName name="住宅物业管理">'不动产比较法-住宅'!$B$114:$M$114</definedName>
    <definedName name="住宅用途" localSheetId="33">'不动产比较法-别墅'!$B$63:$M$63</definedName>
    <definedName name="住宅用途" localSheetId="32">'不动产比较法-废弃'!$B$63:$M$63</definedName>
    <definedName name="住宅用途">'不动产比较法-住宅'!$B$63:$M$63</definedName>
    <definedName name="住宅主力户型面积" localSheetId="33">'不动产比较法-别墅'!$B$120:$M$120</definedName>
    <definedName name="住宅主力户型面积" localSheetId="32">'不动产比较法-废弃'!$B$120:$M$120</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J14" i="66"/>
  <c r="D15" i="66"/>
  <c r="B3" i="15"/>
  <c r="E8" i="12"/>
  <c r="K19" i="9"/>
  <c r="M8" i="1"/>
  <c r="M14" i="1"/>
  <c r="T8" i="1"/>
  <c r="I6" i="65"/>
  <c r="B22" i="1"/>
  <c r="C2" i="65"/>
  <c r="I1" i="65"/>
  <c r="F23" i="15"/>
  <c r="D101" i="21"/>
  <c r="F32" i="21"/>
  <c r="AA32" i="21"/>
  <c r="R48" i="21"/>
  <c r="H32" i="21"/>
  <c r="AB32" i="21"/>
  <c r="T48" i="21"/>
  <c r="J32" i="21"/>
  <c r="AC32" i="21"/>
  <c r="V48" i="21"/>
  <c r="R49" i="21"/>
  <c r="C49" i="21"/>
  <c r="B3" i="21"/>
  <c r="C8" i="12"/>
  <c r="T47" i="21"/>
  <c r="C15" i="66"/>
  <c r="B15" i="66"/>
  <c r="E33" i="72"/>
  <c r="E11" i="72"/>
  <c r="E5" i="72"/>
  <c r="F32" i="72"/>
  <c r="AA32" i="72"/>
  <c r="R47" i="72"/>
  <c r="F11" i="72"/>
  <c r="AA11" i="72"/>
  <c r="F33" i="72"/>
  <c r="AA33" i="72"/>
  <c r="R48" i="72"/>
  <c r="H32" i="72"/>
  <c r="AB32" i="72"/>
  <c r="T48" i="72"/>
  <c r="J32" i="72"/>
  <c r="AC32" i="72"/>
  <c r="V48" i="72"/>
  <c r="R49" i="72"/>
  <c r="C49" i="72"/>
  <c r="B3" i="72"/>
  <c r="B2" i="72"/>
  <c r="D10" i="12"/>
  <c r="D8" i="12"/>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D81" i="72"/>
  <c r="E81" i="72"/>
  <c r="F81" i="72"/>
  <c r="G81" i="72"/>
  <c r="D79" i="72"/>
  <c r="E79" i="72"/>
  <c r="F79" i="72"/>
  <c r="G79" i="72"/>
  <c r="D77" i="72"/>
  <c r="E77" i="72"/>
  <c r="F77" i="72"/>
  <c r="G77" i="72"/>
  <c r="B74" i="72"/>
  <c r="B72" i="72"/>
  <c r="B70"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c r="G54" i="72"/>
  <c r="H54" i="72"/>
  <c r="E54" i="72"/>
  <c r="F54" i="72"/>
  <c r="V47" i="72"/>
  <c r="I7" i="72"/>
  <c r="J7" i="72"/>
  <c r="AC7" i="72"/>
  <c r="J8" i="72"/>
  <c r="AC8" i="72"/>
  <c r="J9" i="72"/>
  <c r="AC9" i="72"/>
  <c r="J10" i="72"/>
  <c r="AC10" i="72"/>
  <c r="C11" i="72"/>
  <c r="J11" i="72"/>
  <c r="AC11" i="72"/>
  <c r="J12" i="72"/>
  <c r="AC12" i="72"/>
  <c r="J13" i="72"/>
  <c r="AC13" i="72"/>
  <c r="J14" i="72"/>
  <c r="AC14" i="72"/>
  <c r="J15" i="72"/>
  <c r="AC15" i="72"/>
  <c r="J17" i="72"/>
  <c r="AC17" i="72"/>
  <c r="J19" i="72"/>
  <c r="AC19" i="72"/>
  <c r="J21" i="72"/>
  <c r="AC21" i="72"/>
  <c r="J23" i="72"/>
  <c r="AC23" i="72"/>
  <c r="J25" i="72"/>
  <c r="AC25" i="72"/>
  <c r="J26" i="72"/>
  <c r="AC26" i="72"/>
  <c r="J27" i="72"/>
  <c r="AC27" i="72"/>
  <c r="J28" i="72"/>
  <c r="AC28" i="72"/>
  <c r="J29" i="72"/>
  <c r="AC29" i="72"/>
  <c r="J30" i="72"/>
  <c r="AC30" i="72"/>
  <c r="J31" i="72"/>
  <c r="AC31" i="72"/>
  <c r="C33" i="72"/>
  <c r="J33" i="72"/>
  <c r="AC33" i="72"/>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I48" i="72"/>
  <c r="E7" i="72"/>
  <c r="F7" i="72"/>
  <c r="AA7" i="72"/>
  <c r="F8" i="72"/>
  <c r="AA8" i="72"/>
  <c r="F9" i="72"/>
  <c r="AA9" i="72"/>
  <c r="F10" i="72"/>
  <c r="AA10" i="72"/>
  <c r="F12" i="72"/>
  <c r="AA12" i="72"/>
  <c r="F13" i="72"/>
  <c r="AA13" i="72"/>
  <c r="F14" i="72"/>
  <c r="AA14" i="72"/>
  <c r="F15" i="72"/>
  <c r="AA15" i="72"/>
  <c r="F17" i="72"/>
  <c r="AA17" i="72"/>
  <c r="F19" i="72"/>
  <c r="AA19" i="72"/>
  <c r="F21" i="72"/>
  <c r="AA21" i="72"/>
  <c r="F23" i="72"/>
  <c r="AA23"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E48" i="72"/>
  <c r="I53" i="72"/>
  <c r="J53" i="72"/>
  <c r="T47" i="72"/>
  <c r="G7" i="72"/>
  <c r="H7" i="72"/>
  <c r="AB7" i="72"/>
  <c r="H8" i="72"/>
  <c r="AB8" i="72"/>
  <c r="H9" i="72"/>
  <c r="AB9" i="72"/>
  <c r="H10" i="72"/>
  <c r="AB10" i="72"/>
  <c r="H11" i="72"/>
  <c r="AB11" i="72"/>
  <c r="H12" i="72"/>
  <c r="AB12" i="72"/>
  <c r="H13" i="72"/>
  <c r="AB13" i="72"/>
  <c r="H14" i="72"/>
  <c r="AB14" i="72"/>
  <c r="H15" i="72"/>
  <c r="AB15" i="72"/>
  <c r="H17" i="72"/>
  <c r="AB17" i="72"/>
  <c r="H19" i="72"/>
  <c r="AB19" i="72"/>
  <c r="H21" i="72"/>
  <c r="AB21" i="72"/>
  <c r="H23" i="72"/>
  <c r="AB23" i="72"/>
  <c r="H25" i="72"/>
  <c r="AB25" i="72"/>
  <c r="H26" i="72"/>
  <c r="AB26" i="72"/>
  <c r="H27" i="72"/>
  <c r="AB27" i="72"/>
  <c r="H28" i="72"/>
  <c r="AB28" i="72"/>
  <c r="H29" i="72"/>
  <c r="AB29" i="72"/>
  <c r="H30" i="72"/>
  <c r="AB30" i="72"/>
  <c r="H31" i="72"/>
  <c r="AB31" i="72"/>
  <c r="H33" i="72"/>
  <c r="AB33"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G48" i="72"/>
  <c r="G53" i="72"/>
  <c r="H53" i="72"/>
  <c r="E53" i="72"/>
  <c r="F53" i="72"/>
  <c r="I52" i="72"/>
  <c r="J52" i="72"/>
  <c r="G52" i="72"/>
  <c r="H52" i="72"/>
  <c r="E52" i="72"/>
  <c r="F52" i="72"/>
  <c r="P49" i="72"/>
  <c r="P48" i="72"/>
  <c r="K48" i="72"/>
  <c r="C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I7" i="70"/>
  <c r="G7" i="70"/>
  <c r="E7" i="70"/>
  <c r="V47" i="21"/>
  <c r="F11" i="21"/>
  <c r="AA11" i="21"/>
  <c r="R47" i="21"/>
  <c r="F33" i="21"/>
  <c r="AA33" i="21"/>
  <c r="B2" i="21"/>
  <c r="C10" i="12"/>
  <c r="C33" i="21"/>
  <c r="C11" i="21"/>
  <c r="I7" i="21"/>
  <c r="G7" i="21"/>
  <c r="E7" i="21"/>
  <c r="J52" i="15"/>
  <c r="I40" i="39"/>
  <c r="I9" i="39"/>
  <c r="I7" i="39"/>
  <c r="G40" i="39"/>
  <c r="E40" i="39"/>
  <c r="C40" i="39"/>
  <c r="C13" i="39"/>
  <c r="G9" i="39"/>
  <c r="E9" i="39"/>
  <c r="G7" i="39"/>
  <c r="E7" i="39"/>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V48" i="70"/>
  <c r="I48" i="70"/>
  <c r="R47" i="70"/>
  <c r="F7" i="70"/>
  <c r="AA7" i="70"/>
  <c r="F8" i="70"/>
  <c r="AA8" i="70"/>
  <c r="R48" i="70"/>
  <c r="E48" i="70"/>
  <c r="I53" i="70"/>
  <c r="J53" i="70"/>
  <c r="T47" i="70"/>
  <c r="H7" i="70"/>
  <c r="AB7" i="70"/>
  <c r="H8" i="70"/>
  <c r="AB8" i="70"/>
  <c r="T48" i="70"/>
  <c r="G48" i="70"/>
  <c r="G53" i="70"/>
  <c r="H53" i="70"/>
  <c r="E53" i="70"/>
  <c r="F53" i="70"/>
  <c r="I52" i="70"/>
  <c r="J52" i="70"/>
  <c r="G52" i="70"/>
  <c r="H52" i="70"/>
  <c r="E52" i="70"/>
  <c r="F52" i="70"/>
  <c r="R49" i="70"/>
  <c r="P49" i="70"/>
  <c r="C49" i="70"/>
  <c r="P48" i="70"/>
  <c r="K48" i="70"/>
  <c r="C48" i="70"/>
  <c r="P47" i="70"/>
  <c r="J46" i="70"/>
  <c r="AC46" i="70"/>
  <c r="H46" i="70"/>
  <c r="AB46" i="70"/>
  <c r="F46" i="70"/>
  <c r="AA46" i="70"/>
  <c r="Q46" i="70"/>
  <c r="Z46" i="70"/>
  <c r="W46" i="70"/>
  <c r="U46" i="70"/>
  <c r="S46" i="70"/>
  <c r="J45" i="70"/>
  <c r="AC45" i="70"/>
  <c r="H45" i="70"/>
  <c r="AB45" i="70"/>
  <c r="F45" i="70"/>
  <c r="AA45" i="70"/>
  <c r="Q45" i="70"/>
  <c r="Z45" i="70"/>
  <c r="W45" i="70"/>
  <c r="U45" i="70"/>
  <c r="S45" i="70"/>
  <c r="J44" i="70"/>
  <c r="AC44" i="70"/>
  <c r="H44" i="70"/>
  <c r="AB44" i="70"/>
  <c r="F44" i="70"/>
  <c r="AA44" i="70"/>
  <c r="Q44" i="70"/>
  <c r="Z44" i="70"/>
  <c r="W44" i="70"/>
  <c r="U44" i="70"/>
  <c r="S44" i="70"/>
  <c r="J43" i="70"/>
  <c r="AC43" i="70"/>
  <c r="H43" i="70"/>
  <c r="AB43" i="70"/>
  <c r="F43" i="70"/>
  <c r="AA43" i="70"/>
  <c r="Q43" i="70"/>
  <c r="Z43" i="70"/>
  <c r="W43" i="70"/>
  <c r="U43" i="70"/>
  <c r="S43" i="70"/>
  <c r="J42" i="70"/>
  <c r="AC42" i="70"/>
  <c r="H42" i="70"/>
  <c r="AB42" i="70"/>
  <c r="F42" i="70"/>
  <c r="AA42" i="70"/>
  <c r="Q42" i="70"/>
  <c r="Z42" i="70"/>
  <c r="W42" i="70"/>
  <c r="U42" i="70"/>
  <c r="S42" i="70"/>
  <c r="J41" i="70"/>
  <c r="AC41" i="70"/>
  <c r="H41" i="70"/>
  <c r="AB41" i="70"/>
  <c r="F41" i="70"/>
  <c r="AA41" i="70"/>
  <c r="Q41" i="70"/>
  <c r="Z41" i="70"/>
  <c r="W41" i="70"/>
  <c r="U41" i="70"/>
  <c r="S41" i="70"/>
  <c r="J40" i="70"/>
  <c r="AC40" i="70"/>
  <c r="H40" i="70"/>
  <c r="AB40" i="70"/>
  <c r="F40" i="70"/>
  <c r="AA40" i="70"/>
  <c r="Q40" i="70"/>
  <c r="Z40" i="70"/>
  <c r="W40" i="70"/>
  <c r="U40" i="70"/>
  <c r="S40" i="70"/>
  <c r="J39" i="70"/>
  <c r="AC39" i="70"/>
  <c r="H39" i="70"/>
  <c r="AB39" i="70"/>
  <c r="F39" i="70"/>
  <c r="AA39" i="70"/>
  <c r="Q39" i="70"/>
  <c r="Z39" i="70"/>
  <c r="W39" i="70"/>
  <c r="U39" i="70"/>
  <c r="S39" i="70"/>
  <c r="J38" i="70"/>
  <c r="AC38" i="70"/>
  <c r="H38" i="70"/>
  <c r="AB38" i="70"/>
  <c r="F38" i="70"/>
  <c r="AA38" i="70"/>
  <c r="Q38" i="70"/>
  <c r="Z38" i="70"/>
  <c r="W38" i="70"/>
  <c r="U38" i="70"/>
  <c r="S38" i="70"/>
  <c r="J37" i="70"/>
  <c r="AC37" i="70"/>
  <c r="H37" i="70"/>
  <c r="AB37" i="70"/>
  <c r="F37" i="70"/>
  <c r="AA37" i="70"/>
  <c r="Q37" i="70"/>
  <c r="Z37" i="70"/>
  <c r="W37" i="70"/>
  <c r="U37" i="70"/>
  <c r="S37" i="70"/>
  <c r="J36" i="70"/>
  <c r="AC36" i="70"/>
  <c r="H36" i="70"/>
  <c r="AB36" i="70"/>
  <c r="F36" i="70"/>
  <c r="AA36" i="70"/>
  <c r="Q36" i="70"/>
  <c r="Z36" i="70"/>
  <c r="W36" i="70"/>
  <c r="U36" i="70"/>
  <c r="S36" i="70"/>
  <c r="J35" i="70"/>
  <c r="AC35" i="70"/>
  <c r="H35" i="70"/>
  <c r="AB35" i="70"/>
  <c r="F35" i="70"/>
  <c r="AA35" i="70"/>
  <c r="Q35" i="70"/>
  <c r="Z35" i="70"/>
  <c r="W35" i="70"/>
  <c r="U35" i="70"/>
  <c r="S35" i="70"/>
  <c r="J34" i="70"/>
  <c r="AC34" i="70"/>
  <c r="H34" i="70"/>
  <c r="AB34" i="70"/>
  <c r="F34" i="70"/>
  <c r="AA34" i="70"/>
  <c r="Q34" i="70"/>
  <c r="Z34" i="70"/>
  <c r="W34" i="70"/>
  <c r="U34" i="70"/>
  <c r="S34" i="70"/>
  <c r="J33" i="70"/>
  <c r="AC33" i="70"/>
  <c r="H33" i="70"/>
  <c r="AB33" i="70"/>
  <c r="F33" i="70"/>
  <c r="AA33" i="70"/>
  <c r="Q33" i="70"/>
  <c r="Z33" i="70"/>
  <c r="W33" i="70"/>
  <c r="U33" i="70"/>
  <c r="S33" i="70"/>
  <c r="J32" i="70"/>
  <c r="AC32" i="70"/>
  <c r="H32" i="70"/>
  <c r="AB32" i="70"/>
  <c r="F32" i="70"/>
  <c r="AA32" i="70"/>
  <c r="Q32" i="70"/>
  <c r="Z32" i="70"/>
  <c r="W32" i="70"/>
  <c r="U32" i="70"/>
  <c r="S32" i="70"/>
  <c r="J31" i="70"/>
  <c r="AC31" i="70"/>
  <c r="H31" i="70"/>
  <c r="AB31" i="70"/>
  <c r="F31" i="70"/>
  <c r="AA31" i="70"/>
  <c r="Q31" i="70"/>
  <c r="Z31" i="70"/>
  <c r="W31" i="70"/>
  <c r="U31" i="70"/>
  <c r="S31" i="70"/>
  <c r="J30" i="70"/>
  <c r="AC30" i="70"/>
  <c r="H30" i="70"/>
  <c r="AB30" i="70"/>
  <c r="F30" i="70"/>
  <c r="AA30" i="70"/>
  <c r="Q30" i="70"/>
  <c r="Z30" i="70"/>
  <c r="W30" i="70"/>
  <c r="U30" i="70"/>
  <c r="S30" i="70"/>
  <c r="J29" i="70"/>
  <c r="AC29" i="70"/>
  <c r="H29" i="70"/>
  <c r="AB29" i="70"/>
  <c r="F29" i="70"/>
  <c r="AA29" i="70"/>
  <c r="Q29" i="70"/>
  <c r="Z29" i="70"/>
  <c r="W29" i="70"/>
  <c r="U29" i="70"/>
  <c r="S29" i="70"/>
  <c r="J28" i="70"/>
  <c r="AC28" i="70"/>
  <c r="H28" i="70"/>
  <c r="AB28" i="70"/>
  <c r="F28" i="70"/>
  <c r="AA28" i="70"/>
  <c r="Q28" i="70"/>
  <c r="Z28" i="70"/>
  <c r="W28" i="70"/>
  <c r="U28" i="70"/>
  <c r="S28" i="70"/>
  <c r="J27" i="70"/>
  <c r="AC27" i="70"/>
  <c r="H27" i="70"/>
  <c r="AB27" i="70"/>
  <c r="F27" i="70"/>
  <c r="AA27" i="70"/>
  <c r="Q27" i="70"/>
  <c r="Z27" i="70"/>
  <c r="W27" i="70"/>
  <c r="U27" i="70"/>
  <c r="S27" i="70"/>
  <c r="J26" i="70"/>
  <c r="AC26" i="70"/>
  <c r="H26" i="70"/>
  <c r="AB26" i="70"/>
  <c r="F26" i="70"/>
  <c r="AA26" i="70"/>
  <c r="Q26" i="70"/>
  <c r="Z26" i="70"/>
  <c r="W26" i="70"/>
  <c r="U26" i="70"/>
  <c r="S26" i="70"/>
  <c r="J25" i="70"/>
  <c r="AC25" i="70"/>
  <c r="H25" i="70"/>
  <c r="AB25" i="70"/>
  <c r="F25" i="70"/>
  <c r="AA25" i="70"/>
  <c r="Q25" i="70"/>
  <c r="Z25" i="70"/>
  <c r="W25" i="70"/>
  <c r="U25" i="70"/>
  <c r="S25" i="70"/>
  <c r="J23" i="70"/>
  <c r="AC23" i="70"/>
  <c r="H23" i="70"/>
  <c r="AB23" i="70"/>
  <c r="F23" i="70"/>
  <c r="AA23" i="70"/>
  <c r="Q23" i="70"/>
  <c r="Z23" i="70"/>
  <c r="W23" i="70"/>
  <c r="U23" i="70"/>
  <c r="S23" i="70"/>
  <c r="C23" i="70"/>
  <c r="J21" i="70"/>
  <c r="AC21" i="70"/>
  <c r="H21" i="70"/>
  <c r="AB21" i="70"/>
  <c r="F21" i="70"/>
  <c r="AA21" i="70"/>
  <c r="Q21" i="70"/>
  <c r="Z21" i="70"/>
  <c r="W21" i="70"/>
  <c r="U21" i="70"/>
  <c r="S21" i="70"/>
  <c r="C21" i="70"/>
  <c r="J19" i="70"/>
  <c r="AC19" i="70"/>
  <c r="H19" i="70"/>
  <c r="AB19" i="70"/>
  <c r="F19" i="70"/>
  <c r="AA19" i="70"/>
  <c r="Q19" i="70"/>
  <c r="Z19" i="70"/>
  <c r="W19" i="70"/>
  <c r="U19" i="70"/>
  <c r="S19" i="70"/>
  <c r="C19" i="70"/>
  <c r="J17" i="70"/>
  <c r="AC17" i="70"/>
  <c r="H17" i="70"/>
  <c r="AB17" i="70"/>
  <c r="F17" i="70"/>
  <c r="AA17" i="70"/>
  <c r="Q17" i="70"/>
  <c r="Z17" i="70"/>
  <c r="W17" i="70"/>
  <c r="U17" i="70"/>
  <c r="S17" i="70"/>
  <c r="C17" i="70"/>
  <c r="J15" i="70"/>
  <c r="AC15" i="70"/>
  <c r="H15" i="70"/>
  <c r="AB15" i="70"/>
  <c r="F15" i="70"/>
  <c r="AA15" i="70"/>
  <c r="Q15" i="70"/>
  <c r="Z15" i="70"/>
  <c r="W15" i="70"/>
  <c r="U15" i="70"/>
  <c r="S15" i="70"/>
  <c r="C15" i="70"/>
  <c r="J14" i="70"/>
  <c r="AC14" i="70"/>
  <c r="H14" i="70"/>
  <c r="AB14" i="70"/>
  <c r="F14" i="70"/>
  <c r="AA14" i="70"/>
  <c r="Q14" i="70"/>
  <c r="Z14" i="70"/>
  <c r="W14" i="70"/>
  <c r="U14" i="70"/>
  <c r="S14" i="70"/>
  <c r="J13" i="70"/>
  <c r="AC13" i="70"/>
  <c r="H13" i="70"/>
  <c r="AB13" i="70"/>
  <c r="F13" i="70"/>
  <c r="AA13" i="70"/>
  <c r="Q13" i="70"/>
  <c r="Z13" i="70"/>
  <c r="W13" i="70"/>
  <c r="U13" i="70"/>
  <c r="S13" i="70"/>
  <c r="J12" i="70"/>
  <c r="AC12" i="70"/>
  <c r="H12" i="70"/>
  <c r="AB12" i="70"/>
  <c r="F12" i="70"/>
  <c r="AA12" i="70"/>
  <c r="Q12" i="70"/>
  <c r="Z12" i="70"/>
  <c r="W12" i="70"/>
  <c r="U12" i="70"/>
  <c r="S12" i="70"/>
  <c r="J11" i="70"/>
  <c r="AC11" i="70"/>
  <c r="H11" i="70"/>
  <c r="AB11" i="70"/>
  <c r="F11" i="70"/>
  <c r="AA11" i="70"/>
  <c r="Q11" i="70"/>
  <c r="Z11" i="70"/>
  <c r="W11" i="70"/>
  <c r="U11" i="70"/>
  <c r="S11" i="70"/>
  <c r="J10" i="70"/>
  <c r="AC10" i="70"/>
  <c r="H10" i="70"/>
  <c r="AB10" i="70"/>
  <c r="F10" i="70"/>
  <c r="AA10" i="70"/>
  <c r="Q10" i="70"/>
  <c r="Z10" i="70"/>
  <c r="W10" i="70"/>
  <c r="U10" i="70"/>
  <c r="S10" i="70"/>
  <c r="J9" i="70"/>
  <c r="AC9" i="70"/>
  <c r="H9" i="70"/>
  <c r="AB9" i="70"/>
  <c r="F9" i="70"/>
  <c r="AA9" i="70"/>
  <c r="Q9" i="70"/>
  <c r="Z9" i="70"/>
  <c r="W9" i="70"/>
  <c r="U9" i="70"/>
  <c r="S9" i="70"/>
  <c r="W8" i="70"/>
  <c r="U8" i="70"/>
  <c r="S8" i="70"/>
  <c r="W7" i="70"/>
  <c r="U7" i="70"/>
  <c r="S7" i="70"/>
  <c r="D3" i="70"/>
  <c r="B3" i="70"/>
  <c r="B2" i="70"/>
  <c r="G21" i="6"/>
  <c r="F20" i="6"/>
  <c r="F19" i="6"/>
  <c r="AN13" i="3"/>
  <c r="AL13" i="3"/>
  <c r="AD13" i="3"/>
  <c r="M13" i="3"/>
  <c r="K13" i="3"/>
  <c r="I13" i="3"/>
  <c r="AH5" i="59"/>
  <c r="AG5" i="59"/>
  <c r="AE5" i="59"/>
  <c r="AF5" i="59"/>
  <c r="AD5" i="59"/>
  <c r="Q5" i="59"/>
  <c r="P5" i="59"/>
  <c r="O5" i="59"/>
  <c r="N5" i="59"/>
  <c r="E20" i="46"/>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Q27" i="59"/>
  <c r="Q28" i="59"/>
  <c r="Q29" i="59"/>
  <c r="Q30" i="59"/>
  <c r="Q31" i="59"/>
  <c r="Q32" i="59"/>
  <c r="Q33" i="59"/>
  <c r="Q34"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P32" i="59"/>
  <c r="P33" i="59"/>
  <c r="P34"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X5" i="59"/>
  <c r="AH7" i="59"/>
  <c r="AG7" i="59"/>
  <c r="AE7" i="59"/>
  <c r="AF7" i="59"/>
  <c r="AD7" i="59"/>
  <c r="AH8" i="59"/>
  <c r="AG8" i="59"/>
  <c r="AE8" i="59"/>
  <c r="AF8" i="59"/>
  <c r="AD8" i="59"/>
  <c r="AB7" i="59"/>
  <c r="AA7" i="59"/>
  <c r="Y7" i="59"/>
  <c r="Z7" i="59"/>
  <c r="X6" i="59"/>
  <c r="X7" i="59"/>
  <c r="AA6" i="59"/>
  <c r="AB6" i="59"/>
  <c r="Y6" i="59"/>
  <c r="Z6" i="59"/>
  <c r="C16" i="11"/>
  <c r="C15" i="11"/>
  <c r="C14" i="11"/>
  <c r="C9" i="11"/>
  <c r="C8"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BA5" i="3"/>
  <c r="BB5" i="3"/>
  <c r="BC5" i="3"/>
  <c r="BD5" i="3"/>
  <c r="BE5" i="3"/>
  <c r="BF5" i="3"/>
  <c r="BG5" i="3"/>
  <c r="BH5" i="3"/>
  <c r="BI5" i="3"/>
  <c r="BJ5" i="3"/>
  <c r="BK5" i="3"/>
  <c r="BL5" i="3"/>
  <c r="BM5" i="3"/>
  <c r="BN5" i="3"/>
  <c r="BO5" i="3"/>
  <c r="BP5" i="3"/>
  <c r="BQ5" i="3"/>
  <c r="BR5" i="3"/>
  <c r="BS5" i="3"/>
  <c r="BT5" i="3"/>
  <c r="E5" i="6"/>
  <c r="D12" i="11"/>
  <c r="E3" i="6"/>
  <c r="E6" i="6"/>
  <c r="D13" i="11"/>
  <c r="K36" i="36"/>
  <c r="K38" i="35"/>
  <c r="K42" i="37"/>
  <c r="K49" i="34"/>
  <c r="K48" i="33"/>
  <c r="K48" i="21"/>
  <c r="K44" i="40"/>
  <c r="K49" i="39"/>
  <c r="E77" i="9"/>
  <c r="F77" i="9"/>
  <c r="AH9" i="59"/>
  <c r="AG9" i="59"/>
  <c r="AE9" i="59"/>
  <c r="AF9" i="59"/>
  <c r="AD9" i="59"/>
  <c r="AB8" i="59"/>
  <c r="AA8" i="59"/>
  <c r="Y8" i="59"/>
  <c r="Z8" i="59"/>
  <c r="X8" i="59"/>
  <c r="A21" i="31"/>
  <c r="C109" i="9"/>
  <c r="F19" i="59"/>
  <c r="F18" i="59"/>
  <c r="F17" i="59"/>
  <c r="F16" i="59"/>
  <c r="F15" i="59"/>
  <c r="F14" i="59"/>
  <c r="F13" i="59"/>
  <c r="F12" i="59"/>
  <c r="F11" i="59"/>
  <c r="V11" i="59"/>
  <c r="E19" i="59"/>
  <c r="E18" i="59"/>
  <c r="E17" i="59"/>
  <c r="E16" i="59"/>
  <c r="E15" i="59"/>
  <c r="E14" i="59"/>
  <c r="E13" i="59"/>
  <c r="E12" i="59"/>
  <c r="E11" i="59"/>
  <c r="U11" i="59"/>
  <c r="C19" i="59"/>
  <c r="C18" i="59"/>
  <c r="C17" i="59"/>
  <c r="C16" i="59"/>
  <c r="C15" i="59"/>
  <c r="C14" i="59"/>
  <c r="C13" i="59"/>
  <c r="C12" i="59"/>
  <c r="C11" i="59"/>
  <c r="T11" i="59"/>
  <c r="B19" i="59"/>
  <c r="B18" i="59"/>
  <c r="B17" i="59"/>
  <c r="B16" i="59"/>
  <c r="B15" i="59"/>
  <c r="B14" i="59"/>
  <c r="B13" i="59"/>
  <c r="B12" i="59"/>
  <c r="B11" i="59"/>
  <c r="S11" i="59"/>
  <c r="AH10" i="59"/>
  <c r="AG10" i="59"/>
  <c r="AE10" i="59"/>
  <c r="AF10" i="59"/>
  <c r="AD10" i="59"/>
  <c r="AB9" i="59"/>
  <c r="AA9" i="59"/>
  <c r="Y9" i="59"/>
  <c r="Z9" i="59"/>
  <c r="X9" i="59"/>
  <c r="AB12" i="59"/>
  <c r="AA12" i="59"/>
  <c r="Y12" i="59"/>
  <c r="Z12" i="59"/>
  <c r="X12" i="59"/>
  <c r="X11" i="59"/>
  <c r="AH11" i="59"/>
  <c r="AG11" i="59"/>
  <c r="AE11" i="59"/>
  <c r="AF11" i="59"/>
  <c r="AD11" i="59"/>
  <c r="AB10" i="59"/>
  <c r="AA10" i="59"/>
  <c r="F10" i="59"/>
  <c r="F9" i="59"/>
  <c r="F8" i="59"/>
  <c r="F7" i="59"/>
  <c r="C10" i="59"/>
  <c r="AH12" i="59"/>
  <c r="AG12" i="59"/>
  <c r="AE12" i="59"/>
  <c r="AF12" i="59"/>
  <c r="AD12" i="59"/>
  <c r="D12"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E15" i="59"/>
  <c r="AF15" i="59"/>
  <c r="AD15" i="59"/>
  <c r="L3" i="59"/>
  <c r="AH3" i="59"/>
  <c r="K3" i="59"/>
  <c r="AG3" i="59"/>
  <c r="J3" i="59"/>
  <c r="AE3" i="59"/>
  <c r="AF3" i="59"/>
  <c r="I3" i="59"/>
  <c r="AD3" i="59"/>
  <c r="AH16" i="59"/>
  <c r="AG16" i="59"/>
  <c r="AE16" i="59"/>
  <c r="AF16" i="59"/>
  <c r="AD16" i="59"/>
  <c r="AA16" i="59"/>
  <c r="X16" i="59"/>
  <c r="AH17" i="59"/>
  <c r="AG17" i="59"/>
  <c r="AE17" i="59"/>
  <c r="AF17" i="59"/>
  <c r="AD17" i="59"/>
  <c r="M19" i="46"/>
  <c r="J50" i="15"/>
  <c r="J51" i="15"/>
  <c r="D20" i="59"/>
  <c r="AH18" i="59"/>
  <c r="AG18" i="59"/>
  <c r="AE18" i="59"/>
  <c r="AF18" i="59"/>
  <c r="AD18" i="59"/>
  <c r="AE19" i="59"/>
  <c r="AF19" i="59"/>
  <c r="AG19" i="59"/>
  <c r="AH19" i="59"/>
  <c r="AD19" i="59"/>
  <c r="AB18" i="59"/>
  <c r="AA18" i="59"/>
  <c r="Y18" i="59"/>
  <c r="Z18" i="59"/>
  <c r="X18"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9" i="59"/>
  <c r="Y19" i="59"/>
  <c r="Z19" i="59"/>
  <c r="X19" i="59"/>
  <c r="B23" i="59"/>
  <c r="C23" i="59"/>
  <c r="D23" i="59"/>
  <c r="E23" i="59"/>
  <c r="F23" i="59"/>
  <c r="K75" i="9"/>
  <c r="K6" i="4"/>
  <c r="O76" i="9"/>
  <c r="L76" i="9"/>
  <c r="K76" i="9"/>
  <c r="B22" i="31"/>
  <c r="E16" i="66"/>
  <c r="F16" i="66"/>
  <c r="E17" i="66"/>
  <c r="F17" i="66"/>
  <c r="E18" i="66"/>
  <c r="F18" i="66"/>
  <c r="E19" i="66"/>
  <c r="F19" i="66"/>
  <c r="E20" i="66"/>
  <c r="F20" i="66"/>
  <c r="E21" i="66"/>
  <c r="F21" i="66"/>
  <c r="E22" i="66"/>
  <c r="F22" i="66"/>
  <c r="E23" i="66"/>
  <c r="F23" i="66"/>
  <c r="B3" i="66"/>
  <c r="V23" i="59"/>
  <c r="U23" i="59"/>
  <c r="T23" i="59"/>
  <c r="S23" i="59"/>
  <c r="B22" i="59"/>
  <c r="B21" i="59"/>
  <c r="E22" i="59"/>
  <c r="E21" i="59"/>
  <c r="C22" i="59"/>
  <c r="F22" i="59"/>
  <c r="F21"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AB34" i="59"/>
  <c r="Y34" i="59"/>
  <c r="Z34" i="59"/>
  <c r="X34" i="59"/>
  <c r="F33" i="59"/>
  <c r="E33" i="59"/>
  <c r="E34" i="59"/>
  <c r="E35" i="59"/>
  <c r="U35" i="59"/>
  <c r="C33" i="59"/>
  <c r="B33" i="59"/>
  <c r="B34" i="59"/>
  <c r="B35" i="59"/>
  <c r="S35" i="59"/>
  <c r="D32" i="59"/>
  <c r="F29" i="59"/>
  <c r="E29" i="59"/>
  <c r="E30" i="59"/>
  <c r="E31" i="59"/>
  <c r="U31" i="59"/>
  <c r="C29" i="59"/>
  <c r="B29" i="59"/>
  <c r="B30" i="59"/>
  <c r="B31" i="59"/>
  <c r="S31" i="59"/>
  <c r="D28" i="59"/>
  <c r="F25" i="59"/>
  <c r="C25"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O75" i="9"/>
  <c r="L75" i="9"/>
  <c r="P75" i="9"/>
  <c r="O74" i="9"/>
  <c r="O73" i="9"/>
  <c r="E66" i="9"/>
  <c r="O72" i="9"/>
  <c r="F74" i="9"/>
  <c r="P74" i="9"/>
  <c r="N67" i="9"/>
  <c r="K44" i="9"/>
  <c r="K43" i="9"/>
  <c r="B31" i="1"/>
  <c r="B23" i="1"/>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3" i="3"/>
  <c r="E8" i="6"/>
  <c r="G2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7" i="1"/>
  <c r="AE6" i="1"/>
  <c r="W18" i="36"/>
  <c r="AC18" i="36"/>
  <c r="AG6" i="1"/>
  <c r="C12" i="11"/>
  <c r="L20" i="6"/>
  <c r="D16" i="43"/>
  <c r="C16" i="43"/>
  <c r="L19" i="6"/>
  <c r="L27" i="6"/>
  <c r="B21" i="55"/>
  <c r="B72" i="63"/>
  <c r="B20" i="55"/>
  <c r="B70" i="63"/>
  <c r="K20" i="6"/>
  <c r="S7" i="1"/>
  <c r="K19" i="6"/>
  <c r="S6" i="1"/>
  <c r="K21" i="6"/>
  <c r="S8" i="1"/>
  <c r="S9" i="1"/>
  <c r="L38" i="9"/>
  <c r="B14" i="66"/>
  <c r="B1" i="66"/>
  <c r="C45" i="9"/>
  <c r="H14" i="66"/>
  <c r="B7" i="66"/>
  <c r="C7" i="66"/>
  <c r="R9" i="1"/>
  <c r="M20" i="6"/>
  <c r="I20" i="6"/>
  <c r="H20" i="6"/>
  <c r="D20" i="6"/>
  <c r="R20" i="6"/>
  <c r="R7" i="1"/>
  <c r="M21" i="6"/>
  <c r="I21" i="6"/>
  <c r="H21" i="6"/>
  <c r="D21" i="6"/>
  <c r="R21" i="6"/>
  <c r="R8" i="1"/>
  <c r="M19" i="6"/>
  <c r="I19" i="6"/>
  <c r="H19" i="6"/>
  <c r="D19" i="6"/>
  <c r="R19" i="6"/>
  <c r="R6" i="1"/>
  <c r="F9" i="39"/>
  <c r="AA9" i="39"/>
  <c r="G6"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O7" i="1"/>
  <c r="P7" i="1"/>
  <c r="O14" i="1"/>
  <c r="P14" i="1"/>
  <c r="P16" i="1"/>
  <c r="Q16" i="1"/>
  <c r="C44" i="9"/>
  <c r="G14"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18" i="59"/>
  <c r="D17" i="59"/>
  <c r="U15" i="59"/>
  <c r="Y17" i="59"/>
  <c r="Z17" i="59"/>
  <c r="AA17" i="59"/>
  <c r="AB17" i="59"/>
  <c r="Y16" i="59"/>
  <c r="Z16" i="59"/>
  <c r="Y15" i="59"/>
  <c r="Z15" i="59"/>
  <c r="Z13" i="59"/>
  <c r="Y14" i="59"/>
  <c r="Z14" i="59"/>
  <c r="AB16" i="59"/>
  <c r="AB15" i="59"/>
  <c r="AB14" i="59"/>
  <c r="AA19" i="59"/>
  <c r="X17" i="59"/>
  <c r="X15" i="59"/>
  <c r="X14" i="59"/>
  <c r="AA15" i="59"/>
  <c r="AA14" i="59"/>
  <c r="G30" i="6"/>
  <c r="G31" i="6"/>
  <c r="C8"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H1" i="65"/>
  <c r="F31" i="6"/>
  <c r="H51" i="46"/>
  <c r="X7" i="46"/>
  <c r="E17" i="46"/>
  <c r="N17" i="46"/>
  <c r="O17" i="46"/>
  <c r="M17" i="46"/>
  <c r="L17" i="46"/>
  <c r="R16" i="1"/>
  <c r="H22" i="46"/>
  <c r="Y11" i="46"/>
  <c r="Y13" i="46"/>
  <c r="H101" i="46"/>
  <c r="H102" i="46"/>
  <c r="G22" i="46"/>
  <c r="J22" i="46"/>
  <c r="F101" i="46"/>
  <c r="F106" i="46"/>
  <c r="D101" i="46"/>
  <c r="D106" i="46"/>
  <c r="C13" i="11"/>
  <c r="S16" i="1"/>
  <c r="E28" i="6"/>
  <c r="O11" i="1"/>
  <c r="P11" i="1"/>
  <c r="O13" i="1"/>
  <c r="P13" i="1"/>
  <c r="O9" i="1"/>
  <c r="P9" i="1"/>
  <c r="E14" i="6"/>
  <c r="E15" i="6"/>
  <c r="E13" i="6"/>
  <c r="E12" i="6"/>
  <c r="E10" i="6"/>
  <c r="E11" i="6"/>
  <c r="O12" i="1"/>
  <c r="P12" i="1"/>
  <c r="AY6" i="3"/>
  <c r="AP7" i="1"/>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15" i="59"/>
  <c r="S15" i="59"/>
  <c r="D16" i="59"/>
  <c r="V15" i="59"/>
  <c r="D15"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S21" i="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D14" i="59"/>
  <c r="D13"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C115" i="46"/>
  <c r="D113" i="46"/>
  <c r="C20" i="46"/>
  <c r="R24" i="6"/>
  <c r="D16" i="6"/>
  <c r="D30" i="6"/>
  <c r="R22" i="6"/>
  <c r="R23" i="6"/>
  <c r="R25" i="6"/>
  <c r="D27" i="6"/>
  <c r="M27" i="6"/>
  <c r="D7" i="66"/>
  <c r="D8" i="66"/>
  <c r="A6" i="51"/>
  <c r="B7" i="63"/>
  <c r="A6" i="64"/>
  <c r="A20" i="64"/>
  <c r="A20" i="51"/>
  <c r="B15" i="63"/>
  <c r="N5" i="54"/>
  <c r="B43" i="63"/>
  <c r="T13" i="1"/>
  <c r="M16" i="1"/>
  <c r="T9" i="1"/>
  <c r="T11" i="1"/>
  <c r="T12" i="1"/>
  <c r="O16" i="1"/>
  <c r="T7" i="1"/>
  <c r="T10" i="1"/>
  <c r="T6" i="1"/>
  <c r="T16" i="1"/>
  <c r="D31" i="6"/>
  <c r="I6" i="6"/>
  <c r="I27" i="6"/>
  <c r="S19" i="6"/>
  <c r="S27" i="6"/>
  <c r="L16" i="1"/>
  <c r="C13" i="43"/>
  <c r="C14" i="43"/>
  <c r="N16" i="1"/>
  <c r="C29" i="43"/>
  <c r="I5" i="6"/>
  <c r="H27" i="6"/>
  <c r="R27" i="6"/>
  <c r="I7" i="65"/>
  <c r="F8" i="67"/>
  <c r="F39" i="44"/>
  <c r="N3" i="65"/>
  <c r="M30" i="44"/>
  <c r="F13" i="67"/>
  <c r="M31" i="44"/>
  <c r="J15" i="15"/>
  <c r="M28" i="44"/>
  <c r="M23" i="44"/>
  <c r="B3" i="39"/>
  <c r="C20" i="9"/>
  <c r="F28" i="44"/>
  <c r="M23" i="15"/>
  <c r="C19" i="44"/>
  <c r="F46" i="44"/>
  <c r="M29" i="44"/>
  <c r="M27" i="15"/>
  <c r="J36" i="15"/>
  <c r="F11" i="67"/>
  <c r="N6" i="65"/>
  <c r="M29" i="15"/>
  <c r="M25" i="44"/>
  <c r="J7" i="65"/>
  <c r="I3" i="65"/>
  <c r="E14" i="67"/>
  <c r="B4" i="12"/>
  <c r="D21" i="9"/>
  <c r="J4" i="65"/>
  <c r="L49" i="44"/>
  <c r="J3" i="65"/>
  <c r="B3" i="12"/>
  <c r="D20" i="9"/>
  <c r="M21" i="15"/>
  <c r="M10" i="44"/>
  <c r="B10" i="67"/>
  <c r="M8" i="44"/>
  <c r="B13" i="67"/>
  <c r="F37" i="44"/>
  <c r="E8" i="67"/>
  <c r="M24" i="44"/>
  <c r="L47" i="15"/>
  <c r="M11" i="44"/>
  <c r="E11" i="67"/>
  <c r="F11" i="44"/>
  <c r="M26" i="44"/>
  <c r="E10" i="67"/>
  <c r="M24" i="15"/>
  <c r="B8" i="67"/>
  <c r="C16" i="44"/>
  <c r="F18" i="44"/>
  <c r="E13" i="67"/>
  <c r="L48" i="44"/>
  <c r="F9" i="44"/>
  <c r="E9" i="67"/>
  <c r="J5" i="65"/>
  <c r="N5" i="65"/>
  <c r="F12" i="67"/>
  <c r="F10" i="67"/>
  <c r="F9" i="67"/>
  <c r="E12" i="67"/>
  <c r="J17" i="44"/>
  <c r="B9" i="67"/>
  <c r="I4" i="65"/>
  <c r="B4" i="39"/>
  <c r="C21" i="9"/>
  <c r="F15" i="44"/>
  <c r="B12" i="67"/>
  <c r="F8" i="44"/>
  <c r="F14" i="67"/>
  <c r="J6" i="65"/>
  <c r="M28" i="15"/>
  <c r="M26" i="15"/>
  <c r="F10" i="44"/>
  <c r="N7" i="65"/>
  <c r="B14" i="67"/>
  <c r="F45" i="44"/>
  <c r="F38" i="44"/>
  <c r="F43" i="44"/>
  <c r="B11" i="67"/>
  <c r="F40" i="44"/>
  <c r="M22" i="15"/>
  <c r="A25" i="51"/>
  <c r="B18" i="63"/>
  <c r="AP16" i="1"/>
  <c r="F22" i="11"/>
  <c r="G10" i="1"/>
  <c r="G13" i="1"/>
  <c r="F6" i="59"/>
  <c r="V7" i="59"/>
  <c r="C95" i="9"/>
  <c r="C92" i="9"/>
  <c r="C25" i="12"/>
  <c r="C15" i="43"/>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0" i="59"/>
  <c r="E9" i="59"/>
  <c r="E8" i="59"/>
  <c r="E7" i="59"/>
  <c r="B10" i="59"/>
  <c r="B9" i="59"/>
  <c r="B8" i="59"/>
  <c r="B7" i="59"/>
  <c r="X10" i="59"/>
  <c r="Y10" i="59"/>
  <c r="Z10" i="59"/>
  <c r="B4" i="52"/>
  <c r="B7" i="52"/>
  <c r="E14" i="52"/>
  <c r="E6" i="52"/>
  <c r="E11" i="52"/>
  <c r="E9" i="52"/>
  <c r="E7" i="52"/>
  <c r="B9" i="52"/>
  <c r="E4" i="52"/>
  <c r="E13" i="52"/>
  <c r="B8" i="52"/>
  <c r="E10" i="52"/>
  <c r="B10" i="52"/>
  <c r="B6" i="52"/>
  <c r="B5" i="52"/>
  <c r="B11" i="52"/>
  <c r="B12" i="52"/>
  <c r="E8" i="52"/>
  <c r="B14" i="52"/>
  <c r="E5" i="52"/>
  <c r="Y3" i="59"/>
  <c r="Z3" i="59"/>
  <c r="AB11" i="59"/>
  <c r="AA11" i="59"/>
  <c r="D11" i="59"/>
  <c r="Y11" i="59"/>
  <c r="Z11" i="59"/>
  <c r="P22" i="46"/>
  <c r="P24" i="46"/>
  <c r="B68" i="40"/>
  <c r="P23" i="46"/>
  <c r="P25" i="46"/>
  <c r="B73" i="39"/>
  <c r="P21" i="46"/>
  <c r="C17" i="44"/>
  <c r="C20" i="44"/>
  <c r="L44" i="9"/>
  <c r="G20" i="9"/>
  <c r="G21" i="9"/>
  <c r="C36" i="44"/>
  <c r="L43" i="9"/>
  <c r="D22" i="9"/>
  <c r="Q73" i="44"/>
  <c r="F65" i="15"/>
  <c r="C29" i="44"/>
  <c r="C8" i="44"/>
  <c r="F68" i="15"/>
  <c r="J1" i="65"/>
  <c r="F67" i="15"/>
  <c r="F50" i="15"/>
  <c r="F64" i="15"/>
  <c r="F62" i="15"/>
  <c r="C61" i="15"/>
  <c r="F70" i="15"/>
  <c r="M9" i="44"/>
  <c r="J8" i="44"/>
  <c r="L59" i="15"/>
  <c r="L58" i="15"/>
  <c r="L60" i="44"/>
  <c r="L59" i="44"/>
  <c r="J57" i="15"/>
  <c r="J55" i="15"/>
  <c r="J58" i="15"/>
  <c r="Q51" i="15"/>
  <c r="I54" i="15"/>
  <c r="L56" i="15"/>
  <c r="F49" i="15"/>
  <c r="M17" i="15"/>
  <c r="J20" i="15"/>
  <c r="I55" i="44"/>
  <c r="J54" i="44"/>
  <c r="L57" i="44"/>
  <c r="J58" i="44"/>
  <c r="J56" i="44"/>
  <c r="J59" i="44"/>
  <c r="Q52" i="44"/>
  <c r="J60" i="44"/>
  <c r="J61" i="44"/>
  <c r="Q50" i="44"/>
  <c r="Q72" i="15"/>
  <c r="J22" i="44"/>
  <c r="F63" i="15"/>
  <c r="C17" i="43"/>
  <c r="C18" i="44"/>
  <c r="E3" i="65"/>
  <c r="F5" i="59"/>
  <c r="V5" i="59"/>
  <c r="J12" i="40"/>
  <c r="H12" i="40"/>
  <c r="F12" i="40"/>
  <c r="F7" i="21"/>
  <c r="AA7" i="21"/>
  <c r="H7" i="21"/>
  <c r="AB7" i="21"/>
  <c r="G48" i="21"/>
  <c r="B6" i="59"/>
  <c r="S7" i="59"/>
  <c r="E6" i="59"/>
  <c r="U7" i="59"/>
  <c r="F58" i="15"/>
  <c r="C18" i="43"/>
  <c r="C19" i="43"/>
  <c r="C25" i="43"/>
  <c r="C24" i="43"/>
  <c r="H7" i="35"/>
  <c r="U7" i="35"/>
  <c r="E65" i="40"/>
  <c r="D67" i="40"/>
  <c r="AC7" i="33"/>
  <c r="V48" i="33"/>
  <c r="I48" i="33"/>
  <c r="W7" i="33"/>
  <c r="S12" i="40"/>
  <c r="AA12" i="40"/>
  <c r="AC12" i="40"/>
  <c r="W12" i="40"/>
  <c r="U12" i="40"/>
  <c r="AB12" i="40"/>
  <c r="S7" i="34"/>
  <c r="AA7" i="34"/>
  <c r="R49" i="34"/>
  <c r="W7" i="34"/>
  <c r="AC7" i="34"/>
  <c r="V49" i="34"/>
  <c r="I49" i="34"/>
  <c r="U7" i="21"/>
  <c r="S7" i="21"/>
  <c r="J7" i="37"/>
  <c r="W7" i="21"/>
  <c r="AC7" i="21"/>
  <c r="I48" i="21"/>
  <c r="S12" i="39"/>
  <c r="W12" i="39"/>
  <c r="U12" i="39"/>
  <c r="D72" i="39"/>
  <c r="E70" i="39"/>
  <c r="AB7" i="34"/>
  <c r="T49" i="34"/>
  <c r="G49" i="34"/>
  <c r="U7" i="34"/>
  <c r="H7" i="33"/>
  <c r="F7" i="33"/>
  <c r="J46" i="36"/>
  <c r="J7" i="35"/>
  <c r="F7" i="35"/>
  <c r="H7" i="37"/>
  <c r="F7" i="37"/>
  <c r="D9" i="59"/>
  <c r="C8" i="59"/>
  <c r="M19" i="44"/>
  <c r="C19" i="46"/>
  <c r="C34" i="46"/>
  <c r="C21" i="44"/>
  <c r="F17" i="11"/>
  <c r="C17" i="11"/>
  <c r="C19" i="11"/>
  <c r="L47" i="44"/>
  <c r="Q62" i="15"/>
  <c r="Q75" i="15"/>
  <c r="G22" i="9"/>
  <c r="N43" i="9"/>
  <c r="M13" i="44"/>
  <c r="J12" i="44"/>
  <c r="J7" i="44"/>
  <c r="F13" i="44"/>
  <c r="C12" i="44"/>
  <c r="C7" i="44"/>
  <c r="Q75" i="44"/>
  <c r="Q62" i="44"/>
  <c r="C48" i="15"/>
  <c r="M28" i="46"/>
  <c r="P28" i="46"/>
  <c r="O28" i="46"/>
  <c r="N28" i="46"/>
  <c r="F1" i="44"/>
  <c r="Q54" i="44"/>
  <c r="J20" i="44"/>
  <c r="Q63" i="44"/>
  <c r="Q76" i="44"/>
  <c r="C34" i="44"/>
  <c r="Q53" i="15"/>
  <c r="Q61" i="15"/>
  <c r="Q74" i="15"/>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D8" i="59"/>
  <c r="C7"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O43" i="9"/>
  <c r="C35" i="9"/>
  <c r="F42" i="9"/>
  <c r="C34" i="9"/>
  <c r="O38" i="9"/>
  <c r="C33" i="9"/>
  <c r="C52" i="15"/>
  <c r="C47" i="15"/>
  <c r="C22" i="44"/>
  <c r="C20" i="11"/>
  <c r="C21" i="11"/>
  <c r="C22" i="11"/>
  <c r="C23" i="11"/>
  <c r="B2" i="11"/>
  <c r="G39" i="46"/>
  <c r="I39" i="46"/>
  <c r="E38" i="46"/>
  <c r="E36" i="46"/>
  <c r="G33" i="46"/>
  <c r="I33" i="46"/>
  <c r="E37" i="46"/>
  <c r="E35" i="46"/>
  <c r="C6" i="59"/>
  <c r="C5" i="59"/>
  <c r="T7"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D7" i="59"/>
  <c r="E29" i="46"/>
  <c r="C27" i="46"/>
  <c r="C65" i="15"/>
  <c r="C59" i="15"/>
  <c r="N38" i="9"/>
  <c r="K28" i="9"/>
  <c r="D42" i="9"/>
  <c r="Q5" i="54"/>
  <c r="B47" i="63"/>
  <c r="R5" i="54"/>
  <c r="B48" i="63"/>
  <c r="D63" i="9"/>
  <c r="N68" i="9"/>
  <c r="B5" i="11"/>
  <c r="B3" i="11"/>
  <c r="B4" i="11"/>
  <c r="C28" i="44"/>
  <c r="K26" i="9"/>
  <c r="K25" i="9"/>
  <c r="J24" i="15"/>
  <c r="E42" i="9"/>
  <c r="P5" i="54"/>
  <c r="B46" i="63"/>
  <c r="M38" i="9"/>
  <c r="K27" i="9"/>
  <c r="Q58" i="44"/>
  <c r="Q67" i="44"/>
  <c r="Q49" i="44"/>
  <c r="Q55" i="44"/>
  <c r="F7" i="67"/>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73" i="9"/>
  <c r="N73" i="9"/>
  <c r="C111" i="9"/>
  <c r="C104" i="9"/>
  <c r="C96" i="9"/>
  <c r="C91" i="9"/>
  <c r="C82" i="9"/>
  <c r="C81" i="9"/>
  <c r="C85" i="9"/>
  <c r="C86" i="9"/>
  <c r="D72" i="9"/>
  <c r="C103" i="9"/>
  <c r="D70" i="9"/>
  <c r="C90" i="9"/>
  <c r="D71" i="9"/>
  <c r="D66" i="9"/>
  <c r="N72" i="9"/>
  <c r="E14" i="66"/>
  <c r="F14" i="66"/>
  <c r="E7" i="67"/>
  <c r="B7" i="67"/>
  <c r="I65" i="40"/>
  <c r="H67" i="40"/>
  <c r="H72" i="39"/>
  <c r="I70" i="39"/>
  <c r="N46" i="36"/>
  <c r="E3" i="67"/>
  <c r="C97" i="9"/>
  <c r="C98" i="9"/>
  <c r="E98" i="9"/>
  <c r="E99" i="9"/>
  <c r="B2" i="67"/>
  <c r="D4" i="46"/>
  <c r="B3" i="46"/>
  <c r="B4" i="46"/>
  <c r="C113" i="9"/>
  <c r="C114" i="9"/>
  <c r="E114" i="9"/>
  <c r="E115" i="9"/>
  <c r="O46" i="36"/>
  <c r="J7" i="36"/>
  <c r="F7" i="36"/>
  <c r="H7" i="36"/>
  <c r="J65" i="40"/>
  <c r="I67" i="40"/>
  <c r="J70" i="39"/>
  <c r="I72" i="39"/>
  <c r="C99" i="9"/>
  <c r="C115" i="9"/>
  <c r="D76" i="9"/>
  <c r="D74" i="9"/>
  <c r="N74" i="9"/>
  <c r="O77" i="9"/>
  <c r="O78" i="9"/>
  <c r="B3" i="67"/>
  <c r="B4" i="67"/>
  <c r="K70" i="39"/>
  <c r="J72" i="39"/>
  <c r="U7" i="36"/>
  <c r="AB7" i="36"/>
  <c r="T36" i="36"/>
  <c r="G36" i="36"/>
  <c r="AC7" i="36"/>
  <c r="V36" i="36"/>
  <c r="I36" i="36"/>
  <c r="W7" i="36"/>
  <c r="J67" i="40"/>
  <c r="K65" i="40"/>
  <c r="S7" i="36"/>
  <c r="AA7" i="36"/>
  <c r="R36" i="36"/>
  <c r="Q77" i="9"/>
  <c r="O79" i="9"/>
  <c r="O81" i="9"/>
  <c r="R37" i="36"/>
  <c r="E36" i="36"/>
  <c r="K67" i="40"/>
  <c r="L65" i="40"/>
  <c r="G41" i="36"/>
  <c r="H41" i="36"/>
  <c r="G40" i="36"/>
  <c r="H40" i="36"/>
  <c r="I40" i="36"/>
  <c r="J40" i="36"/>
  <c r="I41" i="36"/>
  <c r="J41" i="36"/>
  <c r="L70" i="39"/>
  <c r="K72" i="39"/>
  <c r="O80" i="9"/>
  <c r="L72" i="39"/>
  <c r="M70" i="39"/>
  <c r="M65" i="40"/>
  <c r="L67" i="40"/>
  <c r="E40" i="36"/>
  <c r="F40" i="36"/>
  <c r="E41" i="36"/>
  <c r="F41" i="36"/>
  <c r="C37" i="36"/>
  <c r="B3" i="36"/>
  <c r="B2" i="36"/>
  <c r="C36" i="36"/>
  <c r="N65" i="40"/>
  <c r="N67" i="40"/>
  <c r="M67" i="40"/>
  <c r="N70" i="39"/>
  <c r="N72" i="39"/>
  <c r="M72" i="39"/>
  <c r="J9" i="40"/>
  <c r="H9" i="40"/>
  <c r="F9" i="40"/>
  <c r="S9" i="39"/>
  <c r="W9" i="39"/>
  <c r="I49" i="39"/>
  <c r="U9" i="40"/>
  <c r="AB9" i="40"/>
  <c r="T44" i="40"/>
  <c r="G44" i="40"/>
  <c r="U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1" i="40"/>
  <c r="F61" i="40"/>
  <c r="B58" i="40"/>
  <c r="F58" i="40"/>
  <c r="B55" i="40"/>
  <c r="F55" i="40"/>
  <c r="B56" i="40"/>
  <c r="F56" i="40"/>
  <c r="B59" i="40"/>
  <c r="F59" i="40"/>
  <c r="B53" i="40"/>
  <c r="F53" i="40"/>
  <c r="B60" i="40"/>
  <c r="F60" i="40"/>
  <c r="B54" i="40"/>
  <c r="F54" i="40"/>
  <c r="B57" i="40"/>
  <c r="F57" i="40"/>
  <c r="B62" i="40"/>
  <c r="F62" i="40"/>
  <c r="F63" i="40"/>
  <c r="B2" i="40"/>
  <c r="B5" i="39"/>
  <c r="B5" i="40"/>
  <c r="B4" i="40"/>
  <c r="B3" i="40"/>
  <c r="F21" i="43"/>
  <c r="F26" i="44"/>
  <c r="C26" i="44"/>
  <c r="C25" i="44"/>
  <c r="C23" i="43"/>
  <c r="D21" i="43"/>
  <c r="C22" i="43"/>
  <c r="C21" i="43"/>
  <c r="C28" i="43"/>
  <c r="C30" i="43"/>
  <c r="C32" i="43"/>
  <c r="B2" i="43"/>
  <c r="B5" i="43"/>
  <c r="C31" i="44"/>
  <c r="Q51" i="44"/>
  <c r="C56" i="15"/>
  <c r="C60" i="15"/>
  <c r="C58" i="15"/>
  <c r="C35" i="44"/>
  <c r="C33" i="44"/>
  <c r="J59" i="15"/>
  <c r="J60" i="15"/>
  <c r="Q49" i="15"/>
  <c r="J21" i="44"/>
  <c r="J19" i="44"/>
  <c r="J14" i="15"/>
  <c r="J13" i="15"/>
  <c r="J23" i="15"/>
  <c r="Q50" i="15"/>
  <c r="J19" i="15"/>
  <c r="J17" i="15"/>
  <c r="C38" i="44"/>
  <c r="J16" i="44"/>
  <c r="J24" i="44"/>
  <c r="C15" i="44"/>
  <c r="Q72" i="44"/>
  <c r="B4" i="43"/>
  <c r="B3" i="43"/>
  <c r="B5" i="12"/>
  <c r="Q71" i="15"/>
  <c r="J35" i="15"/>
  <c r="C55" i="15"/>
  <c r="C64" i="15"/>
  <c r="J22" i="15"/>
  <c r="Q70" i="15"/>
  <c r="Q69" i="15"/>
  <c r="C63" i="15"/>
  <c r="C57" i="15"/>
  <c r="C66" i="15"/>
  <c r="C67" i="15"/>
  <c r="C70" i="15"/>
  <c r="C39" i="44"/>
  <c r="C32" i="44"/>
  <c r="C42" i="44"/>
  <c r="L51" i="15"/>
  <c r="L57" i="15"/>
  <c r="L60" i="15"/>
  <c r="L46" i="15"/>
  <c r="C43" i="44"/>
  <c r="J15" i="44"/>
  <c r="J25" i="44"/>
  <c r="J18" i="44"/>
  <c r="J27" i="44"/>
  <c r="J16" i="15"/>
  <c r="J25" i="15"/>
  <c r="J39" i="15"/>
  <c r="J40" i="15"/>
  <c r="Q67" i="15"/>
  <c r="Q68" i="15"/>
  <c r="C44" i="44"/>
  <c r="C45" i="44"/>
  <c r="B2" i="44"/>
  <c r="Q71" i="44"/>
  <c r="Q70" i="44"/>
  <c r="C46" i="15"/>
  <c r="Q57" i="15"/>
  <c r="Q48" i="15"/>
  <c r="Q54" i="15"/>
  <c r="Q66" i="15"/>
  <c r="C43" i="15"/>
  <c r="J42" i="15"/>
  <c r="J43" i="15"/>
  <c r="Q58" i="15"/>
  <c r="L52" i="44"/>
  <c r="L58" i="44"/>
  <c r="L61" i="44"/>
  <c r="Q63" i="15"/>
  <c r="Q76" i="15"/>
  <c r="B3" i="44"/>
  <c r="B5" i="44"/>
  <c r="B4" i="44"/>
  <c r="Q69" i="44"/>
  <c r="Q59" i="44"/>
  <c r="Q64" i="44"/>
  <c r="Q68" i="44"/>
  <c r="Q77" i="44"/>
  <c r="B5" i="66"/>
  <c r="C5" i="66"/>
  <c r="D5" i="66"/>
  <c r="G15" i="66"/>
  <c r="B6" i="66"/>
  <c r="D6" i="66"/>
  <c r="C6"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<sst xmlns="http://schemas.openxmlformats.org/spreadsheetml/2006/main" count="7592" uniqueCount="3137">
  <si>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</si>
  <si>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</si>
  <si>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</si>
  <si>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</si>
  <si>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</si>
  <si>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</si>
  <si>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</si>
  <si>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</si>
  <si>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</si>
  <si>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</si>
  <si>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</si>
  <si>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</si>
  <si>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</si>
  <si>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</si>
  <si>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</si>
  <si>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</si>
  <si>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</si>
  <si>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</si>
  <si>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</si>
  <si>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</si>
  <si>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</si>
  <si>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</si>
  <si>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</si>
  <si>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</si>
  <si>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</si>
  <si>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</si>
  <si>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</si>
  <si>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</si>
  <si>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</si>
  <si>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</si>
  <si>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</si>
  <si>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</si>
  <si>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</si>
  <si>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</si>
  <si>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</si>
  <si>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</si>
  <si>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</si>
  <si>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</si>
  <si>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</si>
  <si>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</si>
  <si>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</si>
  <si>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</si>
  <si>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</si>
  <si>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</si>
  <si>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</si>
  <si>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</si>
  <si>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</si>
  <si>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</si>
  <si>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</si>
  <si>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</si>
  <si>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</si>
  <si>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</si>
  <si>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</si>
  <si>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</si>
  <si>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</si>
  <si>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</si>
  <si>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</si>
  <si>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</si>
  <si>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</si>
  <si>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</si>
  <si>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</si>
  <si>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</si>
  <si>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</si>
  <si>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</si>
  <si>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</si>
  <si>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</si>
  <si>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</si>
  <si>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</si>
  <si>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</si>
  <si>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</si>
  <si>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</si>
  <si>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</si>
  <si>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</si>
  <si>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</si>
  <si>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</si>
  <si>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</si>
  <si>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</si>
  <si>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</si>
  <si>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</si>
  <si>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</si>
  <si>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</si>
  <si>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</si>
  <si>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</si>
  <si>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</si>
  <si>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</si>
  <si>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</si>
  <si>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</si>
  <si>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</si>
  <si>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</si>
  <si>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</si>
  <si>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</si>
  <si>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</si>
  <si>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</si>
  <si>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</si>
  <si>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</si>
  <si>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</si>
  <si>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</si>
  <si>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</si>
  <si>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</si>
  <si>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</si>
  <si>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</si>
  <si>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</si>
  <si>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</si>
  <si>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</si>
  <si>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</si>
  <si>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</si>
  <si>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</si>
  <si>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</si>
  <si>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</si>
  <si>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</si>
  <si>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</si>
  <si>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</si>
  <si>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</si>
  <si>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</si>
  <si>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</si>
  <si>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</si>
  <si>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</si>
  <si>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</si>
  <si>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</si>
  <si>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</si>
  <si>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</si>
  <si>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</si>
  <si>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</si>
  <si>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</si>
  <si>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</si>
  <si>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</si>
  <si>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</si>
  <si>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</si>
  <si>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</si>
  <si>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</si>
  <si>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</si>
  <si>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</si>
  <si>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</si>
  <si>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</si>
  <si>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</si>
  <si>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</si>
  <si>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</si>
  <si>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</si>
  <si>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</si>
  <si>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</si>
  <si>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</si>
  <si>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</si>
  <si>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</si>
  <si>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</si>
  <si>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</si>
  <si>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</si>
  <si>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</si>
  <si>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</si>
  <si>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</si>
  <si>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</si>
  <si>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</si>
  <si>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</si>
  <si>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</si>
  <si>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</si>
  <si>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</si>
  <si>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</si>
  <si>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</si>
  <si>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</si>
  <si>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</si>
  <si>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</si>
  <si>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</si>
  <si>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</si>
  <si>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</si>
  <si>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</si>
  <si>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</si>
  <si>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</si>
  <si>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</si>
  <si>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</si>
  <si>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</si>
  <si>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</si>
  <si>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</si>
  <si>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</si>
  <si>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</si>
  <si>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</si>
  <si>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</si>
  <si>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</si>
  <si>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</si>
  <si>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</si>
  <si>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</si>
  <si>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</si>
  <si>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</si>
  <si>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</si>
  <si>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</si>
  <si>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</si>
  <si>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</si>
  <si>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</si>
  <si>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</si>
  <si>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</si>
  <si>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</si>
  <si>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</si>
  <si>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</si>
  <si>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</si>
  <si>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</si>
  <si>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</si>
  <si>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</si>
  <si>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</si>
  <si>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</si>
  <si>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</si>
  <si>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</si>
  <si>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</si>
  <si>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</si>
  <si>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</si>
  <si>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</si>
  <si>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</si>
  <si>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</si>
  <si>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</si>
  <si>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</si>
  <si>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</si>
  <si>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</si>
  <si>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</si>
  <si>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</si>
  <si>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</si>
  <si>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</si>
  <si>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</si>
  <si>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</si>
  <si>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</si>
  <si>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</si>
  <si>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</si>
  <si>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</si>
  <si>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</si>
  <si>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</si>
  <si>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</si>
  <si>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</si>
  <si>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</si>
  <si>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</si>
  <si>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</si>
  <si>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</si>
  <si>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</si>
  <si>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</si>
  <si>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</si>
  <si>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</si>
  <si>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</si>
  <si>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</si>
  <si>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</si>
  <si>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</si>
  <si>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</si>
  <si>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</si>
  <si>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</si>
  <si>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</si>
  <si>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</si>
  <si>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</si>
  <si>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</si>
  <si>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</si>
  <si>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</si>
  <si>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</si>
  <si>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</si>
  <si>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</si>
  <si>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</si>
  <si>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</si>
  <si>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</si>
  <si>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</si>
  <si>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</si>
  <si>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</si>
  <si>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</si>
  <si>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</si>
  <si>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</si>
  <si>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</si>
  <si>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</si>
  <si>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</si>
  <si>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</si>
  <si>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</si>
  <si>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</si>
  <si>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</si>
  <si>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</si>
  <si>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</si>
  <si>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</si>
  <si>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</si>
  <si>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</si>
  <si>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</si>
  <si>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</si>
  <si>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</si>
  <si>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</si>
  <si>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</si>
  <si>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</si>
  <si>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</si>
  <si>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</si>
  <si>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</si>
  <si>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</si>
  <si>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</si>
  <si>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</si>
  <si>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</si>
  <si>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</si>
  <si>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</si>
  <si>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</si>
  <si>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</si>
  <si>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</si>
  <si>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</si>
  <si>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</si>
  <si>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</si>
  <si>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</si>
  <si>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</si>
  <si>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</si>
  <si>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</si>
  <si>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</si>
  <si>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</si>
  <si>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</si>
  <si>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</si>
  <si>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</si>
  <si>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</si>
  <si>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</si>
  <si>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</si>
  <si>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</si>
  <si>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</si>
  <si>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</si>
  <si>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</si>
  <si>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</si>
  <si>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</si>
  <si>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</si>
  <si>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</si>
  <si>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</si>
  <si>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</si>
  <si>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</si>
  <si>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</si>
  <si>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</si>
  <si>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</si>
  <si>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</si>
  <si>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</si>
  <si>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</si>
  <si>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</si>
  <si>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</si>
  <si>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</si>
  <si>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</si>
  <si>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</si>
  <si>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</si>
  <si>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</si>
  <si>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</si>
  <si>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</si>
  <si>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</si>
  <si>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</si>
  <si>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</si>
  <si>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</si>
  <si>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</si>
  <si>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</si>
  <si>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</si>
  <si>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</si>
  <si>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</si>
  <si>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</si>
  <si>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</si>
  <si>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</si>
  <si>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</si>
  <si>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</si>
  <si>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</si>
  <si>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</si>
  <si>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</si>
  <si>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</si>
  <si>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</si>
  <si>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</si>
  <si>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</si>
  <si>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</si>
  <si>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</si>
  <si>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</si>
  <si>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</si>
  <si>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</si>
  <si>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</si>
  <si>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</si>
  <si>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</si>
  <si>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</si>
  <si>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</si>
  <si>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</si>
  <si>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</si>
  <si>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</si>
  <si>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</si>
  <si>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</si>
  <si>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</si>
  <si>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</si>
  <si>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</si>
  <si>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</si>
  <si>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</si>
  <si>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</si>
  <si>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</si>
  <si>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</si>
  <si>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</si>
  <si>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</si>
  <si>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</si>
  <si>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</si>
  <si>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</si>
  <si>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</si>
  <si>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</si>
  <si>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</si>
  <si>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</si>
  <si>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</si>
  <si>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</si>
  <si>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</si>
  <si>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</si>
  <si>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</si>
  <si>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</si>
  <si>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</si>
  <si>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</si>
  <si>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</si>
  <si>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</si>
  <si>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</si>
  <si>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</si>
  <si>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</si>
  <si>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</si>
  <si>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</si>
  <si>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</si>
  <si>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</si>
  <si>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</si>
  <si>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</si>
  <si>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</si>
  <si>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</si>
  <si>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</si>
  <si>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</si>
  <si>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</si>
  <si>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</si>
  <si>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</si>
  <si>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</si>
  <si>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</si>
  <si>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</si>
  <si>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</si>
  <si>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</si>
  <si>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</si>
  <si>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</si>
  <si>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</si>
  <si>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</si>
  <si>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</si>
  <si>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</si>
  <si>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</si>
  <si>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</si>
  <si>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</si>
  <si>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</si>
  <si>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</si>
  <si>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</si>
  <si>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</si>
  <si>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</si>
  <si>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</si>
  <si>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</si>
  <si>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</si>
  <si>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</si>
  <si>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</si>
  <si>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</si>
  <si>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</si>
  <si>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</si>
  <si>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</si>
  <si>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</si>
  <si>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</si>
  <si>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</si>
  <si>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</si>
  <si>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</si>
  <si>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</si>
  <si>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</si>
  <si>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</si>
  <si>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</si>
  <si>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</si>
  <si>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</si>
  <si>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</si>
  <si>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</si>
  <si>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</si>
  <si>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</si>
  <si>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</si>
  <si>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</si>
  <si>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</si>
  <si>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</si>
  <si>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</si>
  <si>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</si>
  <si>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</si>
  <si>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</si>
  <si>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</si>
  <si>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</si>
  <si>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</si>
  <si>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</si>
  <si>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</si>
  <si>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</si>
  <si>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</si>
  <si>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</si>
  <si>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</si>
  <si>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</si>
  <si>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</si>
  <si>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</si>
  <si>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</si>
  <si>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</si>
  <si>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</si>
  <si>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</si>
  <si>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</si>
  <si>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</si>
  <si>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</si>
  <si>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</si>
  <si>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</si>
  <si>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</si>
  <si>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</si>
  <si>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</si>
  <si>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</si>
  <si>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</si>
  <si>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</si>
  <si>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</si>
  <si>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</si>
  <si>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</si>
  <si>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</si>
  <si>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</si>
  <si>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</si>
  <si>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</si>
  <si>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</si>
  <si>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</si>
  <si>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</si>
  <si>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</si>
  <si>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</si>
  <si>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</si>
  <si>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</si>
  <si>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</si>
  <si>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</si>
  <si>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</si>
  <si>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</si>
  <si>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</si>
  <si>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</si>
  <si>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</si>
  <si>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</si>
  <si>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</si>
  <si>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</si>
  <si>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</si>
  <si>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</si>
  <si>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</si>
  <si>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</si>
  <si>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</si>
  <si>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</si>
  <si>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</si>
  <si>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</si>
  <si>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</si>
  <si>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</si>
  <si>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</si>
  <si>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</si>
  <si>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</si>
  <si>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</si>
  <si>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</si>
  <si>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</si>
  <si>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</si>
  <si>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</si>
  <si>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</si>
  <si>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</si>
  <si>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</si>
  <si>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</si>
  <si>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</si>
  <si>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</si>
  <si>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</si>
  <si>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</si>
  <si>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</si>
  <si>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</si>
  <si>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</si>
  <si>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</si>
  <si>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</si>
  <si>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</si>
  <si>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</si>
  <si>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</si>
  <si>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</si>
  <si>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</si>
  <si>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</si>
  <si>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</si>
  <si>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</si>
  <si>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</si>
  <si>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</si>
  <si>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</si>
  <si>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</si>
  <si>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</si>
  <si>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</si>
  <si>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</si>
  <si>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</si>
  <si>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</si>
  <si>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</si>
  <si>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</si>
  <si>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</si>
  <si>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</si>
  <si>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</si>
  <si>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</si>
  <si>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</si>
  <si>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</si>
  <si>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</si>
  <si>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</si>
  <si>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</si>
  <si>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</si>
  <si>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</si>
  <si>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</si>
  <si>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</si>
  <si>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</si>
  <si>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</si>
  <si>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</si>
  <si>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</si>
  <si>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</si>
  <si>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</si>
  <si>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</si>
  <si>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</si>
  <si>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</si>
  <si>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</si>
  <si>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</si>
  <si>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</si>
  <si>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</si>
  <si>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</si>
  <si>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</si>
  <si>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</si>
  <si>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</si>
  <si>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</si>
  <si>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</si>
  <si>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</si>
  <si>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</si>
  <si>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</si>
  <si>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</si>
  <si>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</si>
  <si>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</si>
  <si>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</si>
  <si>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</si>
  <si>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</si>
  <si>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</si>
  <si>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</si>
  <si>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</si>
  <si>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</si>
  <si>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</si>
  <si>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</si>
  <si>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</si>
  <si>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</si>
  <si>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</si>
  <si>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</si>
  <si>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</si>
  <si>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</si>
  <si>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</si>
  <si>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</si>
  <si>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</si>
  <si>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</si>
  <si>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</si>
  <si>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</si>
  <si>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</si>
  <si>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</si>
  <si>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</si>
  <si>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</si>
  <si>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</si>
  <si>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</si>
  <si>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</si>
  <si>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</si>
  <si>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</si>
  <si>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</si>
  <si>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</si>
  <si>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</si>
  <si>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</si>
  <si>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</si>
  <si>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</si>
  <si>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</si>
  <si>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</si>
  <si>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</si>
  <si>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</si>
  <si>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</si>
  <si>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</si>
  <si>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</si>
  <si>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</si>
  <si>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</si>
  <si>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</si>
  <si>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</si>
  <si>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</si>
  <si>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</si>
  <si>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</si>
  <si>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</si>
  <si>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</si>
  <si>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</si>
  <si>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</si>
  <si>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</si>
  <si>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</si>
  <si>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</si>
  <si>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</si>
  <si>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</si>
  <si>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</si>
  <si>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</si>
  <si>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</si>
  <si>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</si>
  <si>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</si>
  <si>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</si>
  <si>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</si>
  <si>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</si>
  <si>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</si>
  <si>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</si>
  <si>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</si>
  <si>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</si>
  <si>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</si>
  <si>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</si>
  <si>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</si>
  <si>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</si>
  <si>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</si>
  <si>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</si>
  <si>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</si>
  <si>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</si>
  <si>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</si>
  <si>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</si>
  <si>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</si>
  <si>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</si>
  <si>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</si>
  <si>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</si>
  <si>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</si>
  <si>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</si>
  <si>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</si>
  <si>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</si>
  <si>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</si>
  <si>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</si>
  <si>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</si>
  <si>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</si>
  <si>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</si>
  <si>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</si>
  <si>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</si>
  <si>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</si>
  <si>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</si>
  <si>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</si>
  <si>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</si>
  <si>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</si>
  <si>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</si>
  <si>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</si>
  <si>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</si>
  <si>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</si>
  <si>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</si>
  <si>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</si>
  <si>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</si>
  <si>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</si>
  <si>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</si>
  <si>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</si>
  <si>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</si>
  <si>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</si>
  <si>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</si>
  <si>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</si>
  <si>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</si>
  <si>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</si>
  <si>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</si>
  <si>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</si>
  <si>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</si>
  <si>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</si>
  <si>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</si>
  <si>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</si>
  <si>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</si>
  <si>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</si>
  <si>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</si>
  <si>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</si>
  <si>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</si>
  <si>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</si>
  <si>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</si>
  <si>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</si>
  <si>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</si>
  <si>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</si>
  <si>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</si>
  <si>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</si>
  <si>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</si>
  <si>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</si>
  <si>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</si>
  <si>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</si>
  <si>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</si>
  <si>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</si>
  <si>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</si>
  <si>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</si>
  <si>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</si>
  <si>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</si>
  <si>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</si>
  <si>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</si>
  <si>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</si>
  <si>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</si>
  <si>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</si>
  <si>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</si>
  <si>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</si>
  <si>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</si>
  <si>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</si>
  <si>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</si>
  <si>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</si>
  <si>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</si>
  <si>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</si>
  <si>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</si>
  <si>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</si>
  <si>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</si>
  <si>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</si>
  <si>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</si>
  <si>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</si>
  <si>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</si>
  <si>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</si>
  <si>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</si>
  <si>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</si>
  <si>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</si>
  <si>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</si>
  <si>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</si>
  <si>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</si>
  <si>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</si>
  <si>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</si>
  <si>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</si>
  <si>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</si>
  <si>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</si>
  <si>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</si>
  <si>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</si>
  <si>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</si>
  <si>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</si>
  <si>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</si>
  <si>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</si>
  <si>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</si>
  <si>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</si>
  <si>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</si>
  <si>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</si>
  <si>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</si>
  <si>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</si>
  <si>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</si>
  <si>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</si>
  <si>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</si>
  <si>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</si>
  <si>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</si>
  <si>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</si>
  <si>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</si>
  <si>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</si>
  <si>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</si>
  <si>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</si>
  <si>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</si>
  <si>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</si>
  <si>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</si>
  <si>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</si>
  <si>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</si>
  <si>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</si>
  <si>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</si>
  <si>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</si>
  <si>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</si>
  <si>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</si>
  <si>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</si>
  <si>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</si>
  <si>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</si>
  <si>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</si>
  <si>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</si>
  <si>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</si>
  <si>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</si>
  <si>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</si>
  <si>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</si>
  <si>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</si>
  <si>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</si>
  <si>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</si>
  <si>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</si>
  <si>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</si>
  <si>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</si>
  <si>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</si>
  <si>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</si>
  <si>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</si>
  <si>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</si>
  <si>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</si>
  <si>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</si>
  <si>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</si>
  <si>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</si>
  <si>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</si>
  <si>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</si>
  <si>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</si>
  <si>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</si>
  <si>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</si>
  <si>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</si>
  <si>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</si>
  <si>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</si>
  <si>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</si>
  <si>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</si>
  <si>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</si>
  <si>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</si>
  <si>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</si>
  <si>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</si>
  <si>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</si>
  <si>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</si>
  <si>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</si>
  <si>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</si>
  <si>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</si>
  <si>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</si>
  <si>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</si>
  <si>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</si>
  <si>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</si>
  <si>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</si>
  <si>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</si>
  <si>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</si>
  <si>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</si>
  <si>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</si>
  <si>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</si>
  <si>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</si>
  <si>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</si>
  <si>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</si>
  <si>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</si>
  <si>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</si>
  <si>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</si>
  <si>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</si>
  <si>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</si>
  <si>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</si>
  <si>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</si>
  <si>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</si>
  <si>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</si>
  <si>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</si>
  <si>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</si>
  <si>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</si>
  <si>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</si>
  <si>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</si>
  <si>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</si>
  <si>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</si>
  <si>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</si>
  <si>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</si>
  <si>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</si>
  <si>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</si>
  <si>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</si>
  <si>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</si>
  <si>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</si>
  <si>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</si>
  <si>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</si>
  <si>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</si>
  <si>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</si>
  <si>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</si>
  <si>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</si>
  <si>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</si>
  <si>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</si>
  <si>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</si>
  <si>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</si>
  <si>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</si>
  <si>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</si>
  <si>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</si>
  <si>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</si>
  <si>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</si>
  <si>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</si>
  <si>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</si>
  <si>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</si>
  <si>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</si>
  <si>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</si>
  <si>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</si>
  <si>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</si>
  <si>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</si>
  <si>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</si>
  <si>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</si>
  <si>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</si>
  <si>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</si>
  <si>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</si>
  <si>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</si>
  <si>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</si>
  <si>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</si>
  <si>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</si>
  <si>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</si>
  <si>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</si>
  <si>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</si>
  <si>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</si>
  <si>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</si>
  <si>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</si>
  <si>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</si>
  <si>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</si>
  <si>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</si>
  <si>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</si>
  <si>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</si>
  <si>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</si>
  <si>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</si>
  <si>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</si>
  <si>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</si>
  <si>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</si>
  <si>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</si>
  <si>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</si>
  <si>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</si>
  <si>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</si>
  <si>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</si>
  <si>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</si>
  <si>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</si>
  <si>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</si>
  <si>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</si>
  <si>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</si>
  <si>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</si>
  <si>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</si>
  <si>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</si>
  <si>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</si>
  <si>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</si>
  <si>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</si>
  <si>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</si>
  <si>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</si>
  <si>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</si>
  <si>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</si>
  <si>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</si>
  <si>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</si>
  <si>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</si>
  <si>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</si>
  <si>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</si>
  <si>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</si>
  <si>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</si>
  <si>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</si>
  <si>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</si>
  <si>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</si>
  <si>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</si>
  <si>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</si>
  <si>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</si>
  <si>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</si>
  <si>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</si>
  <si>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</si>
  <si>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</si>
  <si>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</si>
  <si>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</si>
  <si>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</si>
  <si>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</si>
  <si>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</si>
  <si>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</si>
  <si>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</si>
  <si>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</si>
  <si>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</si>
  <si>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</si>
  <si>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</si>
  <si>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</si>
  <si>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</si>
  <si>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</si>
  <si>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</si>
  <si>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</si>
  <si>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</si>
  <si>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</si>
  <si>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</si>
  <si>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</si>
  <si>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</si>
  <si>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</si>
  <si>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</si>
  <si>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</si>
  <si>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</si>
  <si>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</si>
  <si>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</si>
  <si>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</si>
  <si>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</si>
  <si>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</si>
  <si>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</si>
  <si>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</si>
  <si>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</si>
  <si>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</si>
  <si>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</si>
  <si>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</si>
  <si>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</si>
  <si>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</si>
  <si>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</si>
  <si>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</si>
  <si>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</si>
  <si>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</si>
  <si>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</si>
  <si>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</si>
  <si>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</si>
  <si>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</si>
  <si>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</si>
  <si>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</si>
  <si>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</si>
  <si>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</si>
  <si>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</si>
  <si>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</si>
  <si>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</si>
  <si>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</si>
  <si>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</si>
  <si>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</si>
  <si>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</si>
  <si>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</si>
  <si>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</si>
  <si>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</si>
  <si>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</si>
  <si>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</si>
  <si>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</si>
  <si>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</si>
  <si>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</si>
  <si>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</si>
  <si>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</si>
  <si>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</si>
  <si>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</si>
  <si>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</si>
  <si>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</si>
  <si>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</si>
  <si>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</si>
  <si>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</si>
  <si>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</si>
  <si>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</si>
  <si>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</si>
  <si>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</si>
  <si>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</si>
  <si>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</si>
  <si>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</si>
  <si>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</si>
  <si>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</si>
  <si>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</si>
  <si>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</si>
  <si>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</si>
  <si>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</si>
  <si>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</si>
  <si>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</si>
  <si>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</si>
  <si>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</si>
  <si>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</si>
  <si>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</si>
  <si>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</si>
  <si>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</si>
  <si>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</si>
  <si>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</si>
  <si>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</si>
  <si>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</si>
  <si>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</si>
  <si>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</si>
  <si>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</si>
  <si>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</si>
  <si>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</si>
  <si>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</si>
  <si>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</si>
  <si>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</si>
  <si>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</si>
  <si>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</si>
  <si>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</si>
  <si>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</si>
  <si>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</si>
  <si>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</si>
  <si>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</si>
  <si>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</si>
  <si>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</si>
  <si>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</si>
  <si>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</si>
  <si>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</si>
  <si>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</si>
  <si>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</si>
  <si>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</si>
  <si>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</si>
  <si>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</si>
  <si>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</si>
  <si>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</si>
  <si>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</si>
  <si>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</si>
  <si>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</si>
  <si>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</si>
  <si>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</si>
  <si>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</si>
  <si>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</si>
  <si>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</si>
  <si>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</si>
  <si>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</si>
  <si>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</si>
  <si>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</si>
  <si>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</si>
  <si>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</si>
  <si>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</si>
  <si>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</si>
  <si>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</si>
  <si>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</si>
  <si>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</si>
  <si>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</si>
  <si>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</si>
  <si>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</si>
  <si>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</si>
  <si>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</si>
  <si>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</si>
  <si>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</si>
  <si>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</si>
  <si>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</si>
  <si>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</si>
  <si>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</si>
  <si>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</si>
  <si>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</si>
  <si>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</si>
  <si>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</si>
  <si>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</si>
  <si>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</si>
  <si>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</si>
  <si>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</si>
  <si>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</si>
  <si>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</si>
  <si>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</si>
  <si>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</si>
  <si>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</si>
  <si>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</si>
  <si>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</si>
  <si>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</si>
  <si>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</si>
  <si>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</si>
  <si>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</si>
  <si>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</si>
  <si>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</si>
  <si>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</si>
  <si>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</si>
  <si>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</si>
  <si>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</si>
  <si>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</si>
  <si>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</si>
  <si>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</si>
  <si>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</si>
  <si>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</si>
  <si>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</si>
  <si>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</si>
  <si>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</si>
  <si>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</si>
  <si>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</si>
  <si>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</si>
  <si>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</si>
  <si>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</si>
  <si>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</si>
  <si>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</si>
  <si>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</si>
  <si>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</si>
  <si>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</si>
  <si>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</si>
  <si>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</si>
  <si>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</si>
  <si>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</si>
  <si>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</si>
  <si>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</si>
  <si>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</si>
  <si>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</si>
  <si>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</si>
  <si>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</si>
  <si>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</si>
  <si>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</si>
  <si>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</si>
  <si>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</si>
  <si>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</si>
  <si>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</si>
  <si>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</si>
  <si>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</si>
  <si>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</si>
  <si>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</si>
  <si>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</si>
  <si>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</si>
  <si>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</si>
  <si>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</si>
  <si>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</si>
  <si>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</si>
  <si>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</si>
  <si>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</si>
  <si>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</si>
  <si>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</si>
  <si>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</si>
  <si>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</si>
  <si>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</si>
  <si>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</si>
  <si>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</si>
  <si>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</si>
  <si>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</si>
  <si>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</si>
  <si>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</si>
  <si>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</si>
  <si>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</si>
  <si>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</si>
  <si>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</si>
  <si>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</si>
  <si>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</si>
  <si>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</si>
  <si>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</si>
  <si>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</si>
  <si>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</si>
  <si>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</si>
  <si>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</si>
  <si>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</si>
  <si>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</si>
  <si>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</si>
  <si>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</si>
  <si>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</si>
  <si>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</si>
  <si>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</si>
  <si>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</si>
  <si>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</si>
  <si>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</si>
  <si>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</si>
  <si>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</si>
  <si>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</si>
  <si>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</si>
  <si>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</si>
  <si>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</si>
  <si>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</si>
  <si>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</si>
  <si>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</si>
  <si>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</si>
  <si>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</si>
  <si>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</si>
  <si>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</si>
  <si>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</si>
  <si>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</si>
  <si>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</si>
  <si>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</si>
  <si>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</si>
  <si>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</si>
  <si>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</si>
  <si>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</si>
  <si>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</si>
  <si>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</si>
  <si>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</si>
  <si>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</si>
  <si>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</si>
  <si>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</si>
  <si>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</si>
  <si>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</si>
  <si>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</si>
  <si>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</si>
  <si>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</si>
  <si>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</si>
  <si>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</si>
  <si>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</si>
  <si>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</si>
  <si>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</si>
  <si>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</si>
  <si>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</si>
  <si>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</si>
  <si>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</si>
  <si>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</si>
  <si>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</si>
  <si>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</si>
  <si>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</si>
  <si>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</si>
  <si>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</si>
  <si>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</si>
  <si>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</si>
  <si>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</si>
  <si>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</si>
  <si>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</si>
  <si>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</si>
  <si>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</si>
  <si>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</si>
  <si>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</si>
  <si>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</si>
  <si>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</si>
  <si>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</si>
  <si>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</si>
  <si>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</si>
  <si>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</si>
  <si>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</si>
  <si>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</si>
  <si>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</si>
  <si>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</si>
  <si>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</si>
  <si>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</si>
  <si>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</si>
  <si>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</si>
  <si>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</si>
  <si>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</si>
  <si>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</si>
  <si>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</si>
  <si>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</si>
  <si>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</si>
  <si>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</si>
  <si>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</si>
  <si>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</si>
  <si>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</si>
  <si>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</si>
  <si>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</si>
  <si>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</si>
  <si>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</si>
  <si>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</si>
  <si>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</si>
  <si>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</si>
  <si>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</si>
  <si>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</si>
  <si>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</si>
  <si>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</si>
  <si>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</si>
  <si>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</si>
  <si>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</si>
  <si>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</si>
  <si>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</si>
  <si>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</si>
  <si>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</si>
  <si>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</si>
  <si>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</si>
  <si>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</si>
  <si>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</si>
  <si>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</si>
  <si>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</si>
  <si>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</si>
  <si>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</si>
  <si>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</si>
  <si>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</si>
  <si>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</si>
  <si>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</si>
  <si>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</si>
  <si>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</si>
  <si>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</si>
  <si>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</si>
  <si>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</si>
  <si>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</si>
  <si>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</si>
  <si>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</si>
  <si>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</si>
  <si>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</si>
  <si>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</si>
  <si>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</si>
  <si>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</si>
  <si>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</si>
  <si>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</si>
  <si>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</si>
  <si>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</si>
  <si>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</si>
  <si>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</si>
  <si>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</si>
  <si>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</si>
  <si>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</si>
  <si>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</si>
  <si>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</si>
  <si>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</si>
  <si>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</si>
  <si>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</si>
  <si>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</si>
  <si>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</si>
  <si>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</si>
  <si>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</si>
  <si>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</si>
  <si>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</si>
  <si>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</si>
  <si>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</si>
  <si>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</si>
  <si>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</si>
  <si>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</si>
  <si>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</si>
  <si>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</si>
  <si>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</si>
  <si>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</si>
  <si>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</si>
  <si>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</si>
  <si>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</si>
  <si>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</si>
  <si>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</si>
  <si>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</si>
  <si>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</si>
  <si>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</si>
  <si>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</si>
  <si>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</si>
  <si>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</si>
  <si>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</si>
  <si>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</si>
  <si>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</si>
  <si>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</si>
  <si>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</si>
  <si>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</si>
  <si>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</si>
  <si>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</si>
  <si>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</si>
  <si>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</si>
  <si>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</si>
  <si>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</si>
  <si>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</si>
  <si>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</si>
  <si>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</si>
  <si>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</si>
  <si>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</si>
  <si>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</si>
  <si>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</si>
  <si>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</si>
  <si>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</si>
  <si>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</si>
  <si>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</si>
  <si>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</si>
  <si>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</si>
  <si>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</si>
  <si>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</si>
  <si>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</si>
  <si>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</si>
  <si>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</si>
  <si>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</si>
  <si>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</si>
  <si>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</si>
  <si>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</si>
  <si>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</si>
  <si>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</si>
  <si>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</si>
  <si>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</si>
  <si>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</si>
  <si>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</si>
  <si>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</si>
  <si>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</si>
  <si>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</si>
  <si>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</si>
  <si>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</si>
  <si>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</si>
  <si>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</si>
  <si>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</si>
  <si>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</si>
  <si>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</si>
  <si>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</si>
  <si>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</si>
  <si>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</si>
  <si>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</si>
  <si>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</si>
  <si>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</si>
  <si>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</si>
  <si>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</si>
  <si>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</si>
  <si>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</si>
  <si>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</si>
  <si>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</si>
  <si>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</si>
  <si>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</si>
  <si>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</si>
  <si>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</si>
  <si>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</si>
  <si>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</si>
  <si>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</si>
  <si>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</si>
  <si>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</si>
  <si>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</si>
  <si>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</si>
  <si>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</si>
  <si>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</si>
  <si>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</si>
  <si>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</si>
  <si>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</si>
  <si>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</si>
  <si>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</si>
  <si>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</si>
  <si>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</si>
  <si>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</si>
  <si>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</si>
  <si>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</si>
  <si>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</si>
  <si>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</si>
  <si>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</si>
  <si>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</si>
  <si>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</si>
  <si>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</si>
  <si>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</si>
  <si>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</si>
  <si>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</si>
  <si>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</si>
  <si>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</si>
  <si>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</si>
  <si>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</si>
  <si>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</si>
  <si>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</si>
  <si>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</si>
  <si>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</si>
  <si>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</si>
  <si>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</si>
  <si>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</si>
  <si>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</si>
  <si>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</si>
  <si>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</si>
  <si>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</si>
  <si>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</si>
  <si>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</si>
  <si>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</si>
  <si>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</si>
  <si>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</si>
  <si>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</si>
  <si>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</si>
  <si>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</si>
  <si>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</si>
  <si>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</si>
  <si>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</si>
  <si>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</si>
  <si>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</si>
  <si>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</si>
  <si>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</si>
  <si>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</si>
  <si>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</si>
  <si>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</si>
  <si>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</si>
  <si>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</si>
  <si>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</si>
  <si>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</si>
  <si>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</si>
  <si>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</si>
  <si>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</si>
  <si>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</si>
  <si>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</si>
  <si>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</si>
  <si>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</si>
  <si>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</si>
  <si>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</si>
  <si>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</si>
  <si>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</si>
  <si>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</si>
  <si>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</si>
  <si>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</si>
  <si>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</si>
  <si>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</si>
  <si>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</si>
  <si>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</si>
  <si>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</si>
  <si>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</si>
  <si>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</si>
  <si>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</si>
  <si>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</si>
  <si>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</si>
  <si>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</si>
  <si>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</si>
  <si>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</si>
  <si>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</si>
  <si>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</si>
  <si>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</si>
  <si>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</si>
  <si>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</si>
  <si>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</si>
  <si>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</si>
  <si>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</si>
  <si>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</si>
  <si>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</si>
  <si>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</si>
  <si>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</si>
  <si>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</si>
  <si>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</si>
  <si>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</si>
  <si>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</si>
  <si>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</si>
  <si>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</si>
  <si>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</si>
  <si>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</si>
  <si>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</si>
  <si>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</si>
  <si>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</si>
  <si>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</si>
  <si>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</si>
  <si>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</si>
  <si>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</si>
  <si>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</si>
  <si>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</si>
  <si>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</si>
  <si>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</si>
  <si>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</si>
  <si>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</si>
  <si>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</si>
  <si>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</si>
  <si>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</si>
  <si>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</si>
  <si>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</si>
  <si>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</si>
  <si>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</si>
  <si>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</si>
  <si>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</si>
  <si>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</si>
  <si>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</si>
  <si>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</si>
  <si>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</si>
  <si>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</si>
  <si>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</si>
  <si>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</si>
  <si>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</si>
  <si>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</si>
  <si>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</si>
  <si>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</si>
  <si>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</si>
  <si>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</si>
  <si>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</si>
  <si>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</si>
  <si>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</si>
  <si>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</si>
  <si>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</si>
  <si>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</si>
  <si>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</si>
  <si>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</si>
  <si>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</si>
  <si>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</si>
  <si>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</si>
  <si>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</si>
  <si>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</si>
  <si>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</si>
  <si>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</si>
  <si>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</si>
  <si>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</si>
  <si>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</si>
  <si>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</si>
  <si>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</si>
  <si>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</si>
  <si>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</si>
  <si>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</si>
  <si>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</si>
  <si>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</si>
  <si>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</si>
  <si>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</si>
  <si>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</si>
  <si>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</si>
  <si>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</si>
  <si>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</si>
  <si>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</si>
  <si>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</si>
  <si>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</si>
  <si>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</si>
  <si>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</si>
  <si>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</si>
  <si>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</si>
  <si>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</si>
  <si>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</si>
  <si>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</si>
  <si>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</si>
  <si>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</si>
  <si>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</si>
  <si>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</si>
  <si>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</si>
  <si>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</si>
  <si>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</si>
  <si>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</si>
  <si>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</si>
  <si>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</si>
  <si>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</si>
  <si>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</si>
  <si>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</si>
  <si>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</si>
  <si>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</si>
  <si>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</si>
  <si>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</si>
  <si>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</si>
  <si>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</si>
  <si>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</si>
  <si>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</si>
  <si>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</si>
  <si>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</si>
  <si>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</si>
  <si>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</si>
  <si>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</si>
  <si>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</si>
  <si>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</si>
  <si>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</si>
  <si>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</si>
  <si>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</si>
  <si>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</si>
  <si>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</si>
  <si>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</si>
  <si>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</si>
  <si>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</si>
  <si>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</si>
  <si>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</si>
  <si>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</si>
  <si>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</si>
  <si>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</si>
  <si>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</si>
  <si>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</si>
  <si>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</si>
  <si>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</si>
  <si>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</si>
  <si>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</si>
  <si>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</si>
  <si>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</si>
  <si>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</si>
  <si>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</si>
  <si>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</si>
  <si>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</si>
  <si>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</si>
  <si>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</si>
  <si>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</si>
  <si>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</si>
  <si>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</si>
  <si>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</si>
  <si>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</si>
  <si>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</si>
  <si>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</si>
  <si>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</si>
  <si>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</si>
  <si>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</si>
  <si>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</si>
  <si>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</si>
  <si>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</si>
  <si>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</si>
  <si>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</si>
  <si>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</si>
  <si>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</si>
  <si>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</si>
  <si>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</si>
  <si>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</si>
  <si>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</si>
  <si>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</si>
  <si>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</si>
  <si>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</si>
  <si>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</si>
  <si>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</si>
  <si>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</si>
  <si>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</si>
  <si>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</si>
  <si>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</si>
  <si>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</si>
  <si>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</si>
  <si>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</si>
  <si>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</si>
  <si>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</si>
  <si>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</si>
  <si>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</si>
  <si>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</si>
  <si>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</si>
  <si>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</si>
  <si>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</si>
  <si>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</si>
  <si>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</si>
  <si>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</si>
  <si>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</si>
  <si>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</si>
  <si>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</si>
  <si>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</si>
  <si>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</si>
  <si>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</si>
  <si>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</si>
  <si>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</si>
  <si>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</si>
  <si>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</si>
  <si>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</si>
  <si>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</si>
  <si>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</si>
  <si>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</si>
  <si>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</si>
  <si>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</si>
  <si>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</si>
  <si>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</si>
  <si>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</si>
  <si>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</si>
  <si>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</si>
  <si>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</si>
  <si>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</si>
  <si>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</si>
  <si>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</si>
  <si>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</si>
  <si>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</si>
  <si>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</si>
  <si>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</si>
  <si>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</si>
  <si>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</si>
  <si>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</si>
  <si>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</si>
  <si>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</si>
  <si>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</si>
  <si>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</si>
  <si>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</si>
  <si>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</si>
  <si>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</si>
  <si>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</si>
  <si>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</si>
  <si>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</si>
  <si>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</si>
  <si>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</si>
  <si>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</si>
  <si>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</si>
  <si>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</si>
  <si>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</si>
  <si>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</si>
  <si>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</si>
  <si>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</si>
  <si>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</si>
  <si>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</si>
  <si>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</si>
  <si>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</si>
  <si>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</si>
  <si>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</si>
  <si>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</si>
  <si>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</si>
  <si>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</si>
  <si>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</si>
  <si>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</si>
  <si>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</si>
  <si>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</si>
  <si>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</si>
  <si>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</si>
  <si>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</si>
  <si>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</si>
  <si>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</si>
  <si>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</si>
  <si>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</si>
  <si>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</si>
  <si>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</si>
  <si>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</si>
  <si>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</si>
  <si>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</si>
  <si>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</si>
  <si>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</si>
  <si>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</si>
  <si>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</si>
  <si>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</si>
  <si>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</si>
  <si>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</si>
  <si>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</si>
  <si>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</si>
  <si>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</si>
  <si>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</si>
  <si>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</si>
  <si>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</si>
  <si>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</si>
  <si>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</si>
  <si>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</si>
  <si>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</si>
  <si>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</si>
  <si>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</si>
  <si>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</si>
  <si>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</si>
  <si>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</si>
  <si>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</si>
  <si>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</si>
  <si>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</si>
  <si>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</si>
  <si>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</si>
  <si>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</si>
  <si>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</si>
  <si>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</si>
  <si>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</si>
  <si>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</si>
  <si>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</si>
  <si>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</si>
  <si>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</si>
  <si>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</si>
  <si>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</si>
  <si>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</si>
  <si>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</si>
  <si>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</si>
  <si>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</si>
  <si>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</si>
  <si>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</si>
  <si>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</si>
  <si>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</si>
  <si>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</si>
  <si>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</si>
  <si>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</si>
  <si>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</si>
  <si>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</si>
  <si>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</si>
  <si>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</si>
  <si>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</si>
  <si>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</si>
  <si>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</si>
  <si>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</si>
  <si>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</si>
  <si>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</si>
  <si>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</si>
  <si>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</si>
  <si>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</si>
  <si>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</si>
  <si>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</si>
  <si>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</si>
  <si>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</si>
  <si>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</si>
  <si>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</si>
  <si>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</si>
  <si>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</si>
  <si>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</si>
  <si>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</si>
  <si>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</si>
  <si>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</si>
  <si>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</si>
  <si>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</si>
  <si>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</si>
  <si>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</si>
  <si>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</si>
  <si>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</si>
  <si>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</si>
  <si>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</si>
  <si>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</si>
  <si>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</si>
  <si>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</si>
  <si>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</si>
  <si>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</si>
  <si>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</si>
  <si>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</si>
  <si>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</si>
  <si>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</si>
  <si>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</si>
  <si>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</si>
  <si>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</si>
  <si>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</si>
  <si>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</si>
  <si>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</si>
  <si>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</si>
  <si>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</si>
  <si>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</si>
  <si>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</si>
  <si>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</si>
  <si>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</si>
  <si>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</si>
  <si>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</si>
  <si>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</si>
  <si>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</si>
  <si>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</si>
  <si>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</si>
  <si>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</si>
  <si>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</si>
  <si>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</si>
  <si>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</si>
  <si>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</si>
  <si>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</si>
  <si>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</si>
  <si>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</si>
  <si>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</si>
  <si>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</si>
  <si>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</si>
  <si>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</si>
  <si>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</si>
  <si>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</si>
  <si>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</si>
  <si>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</si>
  <si>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</si>
  <si>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</si>
  <si>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</si>
  <si>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</si>
  <si>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</si>
  <si>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</si>
  <si>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</si>
  <si>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</si>
  <si>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</si>
  <si>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</si>
  <si>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</si>
  <si>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</si>
  <si>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</si>
  <si>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</si>
  <si>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</si>
  <si>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</si>
  <si>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</si>
  <si>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</si>
  <si>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</si>
  <si>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</si>
  <si>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</si>
  <si>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</si>
  <si>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</si>
  <si>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</si>
  <si>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</si>
  <si>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</si>
  <si>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</si>
  <si>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</si>
  <si>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</si>
  <si>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</si>
  <si>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</si>
  <si>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</si>
  <si>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</si>
  <si>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</si>
  <si>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</si>
  <si>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</si>
  <si>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</si>
  <si>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</si>
  <si>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</si>
  <si>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</si>
  <si>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</si>
  <si>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</si>
  <si>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</si>
  <si>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</si>
  <si>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</si>
  <si>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</si>
  <si>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</si>
  <si>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</si>
  <si>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</si>
  <si>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</si>
  <si>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</si>
  <si>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</si>
  <si>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</si>
  <si>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</si>
  <si>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</si>
  <si>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</si>
  <si>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</si>
  <si>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</si>
  <si>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</si>
  <si>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</si>
  <si>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</si>
  <si>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</si>
  <si>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</si>
  <si>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</si>
  <si>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</si>
  <si>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</si>
  <si>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</si>
  <si>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</si>
  <si>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</si>
  <si>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</si>
  <si>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</si>
  <si>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</si>
  <si>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</si>
  <si>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</si>
  <si>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</si>
  <si>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</si>
  <si>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</si>
  <si>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</si>
  <si>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</si>
  <si>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</si>
  <si>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</si>
  <si>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</si>
  <si>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</si>
  <si>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</si>
  <si>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</si>
  <si>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</si>
  <si>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</si>
  <si>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</si>
  <si>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</si>
  <si>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</si>
  <si>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</si>
  <si>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</si>
  <si>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</si>
  <si>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</si>
  <si>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</si>
  <si>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</si>
  <si>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</si>
  <si>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</si>
  <si>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</si>
  <si>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</si>
  <si>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</si>
  <si>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</si>
  <si>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</si>
  <si>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</si>
  <si>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</si>
  <si>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</si>
  <si>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</si>
  <si>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</si>
  <si>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</si>
  <si>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</si>
  <si>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</si>
  <si>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</si>
  <si>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</si>
  <si>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</si>
  <si>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</si>
  <si>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</si>
  <si>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</si>
  <si>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</si>
  <si>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</si>
  <si>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</si>
  <si>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</si>
  <si>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</si>
  <si>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</si>
  <si>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</si>
  <si>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</si>
  <si>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</si>
  <si>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</si>
  <si>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</si>
  <si>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</si>
  <si>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</si>
  <si>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</si>
  <si>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</si>
  <si>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</si>
  <si>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</si>
  <si>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</si>
  <si>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</si>
  <si>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</si>
  <si>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</si>
  <si>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</si>
  <si>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</si>
  <si>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</si>
  <si>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</si>
  <si>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</si>
  <si>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</si>
  <si>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</si>
  <si>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</si>
  <si>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</si>
  <si>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</si>
  <si>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</si>
  <si>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</si>
  <si>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</si>
  <si>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</si>
  <si>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</si>
  <si>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</si>
  <si>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</si>
  <si>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</si>
  <si>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</si>
  <si>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</si>
  <si>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</si>
  <si>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</si>
  <si>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</si>
  <si>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</si>
  <si>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</si>
  <si>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</si>
  <si>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</si>
  <si>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</si>
  <si>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</si>
  <si>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</si>
  <si>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</si>
  <si>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</si>
  <si>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</si>
  <si>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</si>
  <si>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</si>
  <si>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</si>
  <si>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</si>
  <si>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</si>
  <si>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</si>
  <si>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</si>
  <si>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</si>
  <si>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</si>
  <si>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</si>
  <si>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</si>
  <si>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</si>
  <si>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</si>
  <si>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</si>
  <si>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</si>
  <si>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</si>
  <si>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</si>
  <si>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</si>
  <si>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</si>
  <si>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</si>
  <si>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</si>
  <si>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</si>
  <si>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</si>
  <si>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</si>
  <si>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</si>
  <si>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</si>
  <si>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</si>
  <si>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</si>
  <si>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</si>
  <si>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</si>
  <si>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</si>
  <si>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</si>
  <si>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</si>
  <si>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</si>
  <si>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</si>
  <si>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</si>
  <si>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</si>
  <si>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</si>
  <si>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</si>
  <si>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</si>
  <si>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</si>
  <si>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</si>
  <si>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</si>
  <si>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</si>
  <si>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</si>
  <si>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</si>
  <si>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</si>
  <si>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</si>
  <si>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</si>
  <si>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</si>
  <si>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</si>
  <si>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</si>
  <si>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</si>
  <si>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</si>
  <si>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</si>
  <si>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</si>
  <si>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</si>
  <si>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</si>
  <si>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</si>
  <si>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</si>
  <si>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</si>
  <si>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</si>
  <si>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</si>
  <si>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</si>
  <si>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</si>
  <si>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</si>
  <si>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</si>
  <si>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</si>
  <si>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</si>
  <si>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</si>
  <si>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</si>
  <si>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</si>
  <si>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</si>
  <si>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</si>
  <si>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</si>
  <si>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</si>
  <si>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</si>
  <si>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</si>
  <si>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</si>
  <si>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</si>
  <si>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</si>
  <si>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</si>
  <si>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</si>
  <si>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</si>
  <si>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</si>
  <si>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</si>
  <si>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</si>
  <si>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</si>
  <si>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</si>
  <si>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</si>
  <si>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</si>
  <si>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</si>
  <si>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</si>
  <si>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</si>
  <si>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</si>
  <si>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</si>
  <si>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</si>
  <si>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</si>
  <si>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</si>
  <si>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</si>
  <si>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</si>
  <si>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</si>
  <si>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</si>
  <si>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</si>
  <si>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</si>
  <si>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</si>
  <si>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</si>
  <si>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</si>
  <si>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</si>
  <si>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</si>
  <si>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</si>
  <si>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</si>
  <si>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</si>
  <si>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</si>
  <si>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</si>
  <si>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</si>
  <si>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</si>
  <si>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</si>
  <si>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</si>
  <si>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</si>
  <si>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</si>
  <si>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</si>
  <si>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</si>
  <si>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</si>
  <si>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</si>
  <si>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</si>
  <si>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</si>
  <si>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</si>
  <si>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</si>
  <si>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</si>
  <si>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</si>
  <si>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</si>
  <si>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</si>
  <si>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</si>
  <si>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</si>
  <si>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</si>
  <si>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</si>
  <si>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</si>
  <si>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</si>
  <si>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</si>
  <si>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</si>
  <si>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</si>
  <si>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</si>
  <si>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</si>
  <si>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</si>
  <si>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</si>
  <si>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</si>
  <si>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</si>
  <si>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</si>
  <si>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</si>
  <si>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</si>
  <si>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</si>
  <si>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</si>
  <si>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</si>
  <si>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</si>
  <si>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</si>
  <si>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</si>
  <si>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</si>
  <si>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</si>
  <si>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</si>
  <si>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</si>
  <si>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</si>
  <si>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</si>
  <si>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</si>
  <si>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</si>
  <si>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</si>
  <si>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</si>
  <si>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</si>
  <si>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</si>
  <si>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</si>
  <si>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</si>
  <si>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</si>
  <si>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</si>
  <si>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</si>
  <si>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</si>
  <si>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</si>
  <si>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</si>
  <si>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</si>
  <si>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</si>
  <si>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</si>
  <si>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</si>
  <si>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</si>
  <si>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</si>
  <si>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</si>
  <si>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</si>
  <si>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</si>
  <si>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</si>
  <si>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</si>
  <si>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</si>
  <si>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</si>
  <si>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</si>
  <si>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</si>
  <si>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</si>
  <si>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</si>
  <si>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</si>
  <si>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</si>
  <si>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</si>
  <si>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</si>
  <si>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</si>
  <si>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</si>
  <si>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</si>
  <si>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</si>
  <si>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</si>
  <si>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</si>
  <si>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</si>
  <si>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</si>
  <si>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</si>
  <si>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</si>
  <si>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</si>
  <si>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</si>
  <si>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</si>
  <si>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</si>
  <si>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</si>
  <si>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</si>
  <si>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</si>
  <si>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</si>
  <si>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</si>
  <si>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</si>
  <si>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</si>
  <si>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</si>
  <si>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</si>
  <si>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</si>
  <si>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</si>
  <si>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</si>
  <si>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</si>
  <si>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</si>
  <si>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</si>
  <si>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</si>
  <si>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</si>
  <si>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</si>
  <si>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</si>
  <si>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</si>
  <si>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</si>
  <si>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</si>
  <si>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</si>
  <si>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</si>
  <si>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</si>
  <si>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</si>
  <si>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</si>
  <si>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</si>
  <si>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</si>
  <si>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</si>
  <si>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</si>
  <si>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</si>
  <si>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</si>
  <si>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</si>
  <si>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</si>
  <si>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</si>
  <si>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</si>
  <si>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</si>
  <si>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</si>
  <si>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</si>
  <si>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</si>
  <si>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</si>
  <si>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</si>
  <si>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</si>
  <si>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</si>
  <si>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</si>
  <si>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</si>
  <si>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</si>
  <si>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</si>
  <si>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</si>
  <si>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</si>
  <si>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</si>
  <si>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</si>
  <si>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</si>
  <si>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</si>
  <si>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</si>
  <si>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</si>
  <si>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</si>
  <si>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</si>
  <si>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</si>
  <si>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</si>
  <si>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</si>
  <si>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</si>
  <si>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</si>
  <si>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</si>
  <si>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</si>
  <si>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</si>
  <si>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</si>
  <si>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</si>
  <si>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</si>
  <si>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</si>
  <si>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</si>
  <si>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</si>
  <si>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</si>
  <si>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</si>
  <si>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</si>
  <si>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</si>
  <si>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</si>
  <si>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</si>
  <si>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</si>
  <si>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</si>
  <si>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</si>
  <si>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</si>
  <si>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</si>
  <si>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</si>
  <si>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</si>
  <si>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</si>
  <si>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</si>
  <si>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</si>
  <si>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</si>
  <si>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</si>
  <si>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</si>
  <si>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</si>
  <si>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</si>
  <si>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</si>
  <si>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</si>
  <si>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</si>
  <si>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</si>
  <si>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</si>
  <si>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</si>
  <si>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</si>
  <si>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</si>
  <si>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</si>
  <si>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</si>
  <si>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</si>
  <si>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</si>
  <si>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</si>
  <si>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</si>
  <si>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</si>
  <si>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</si>
  <si>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</si>
  <si>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</si>
  <si>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</si>
  <si>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</si>
  <si>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</si>
  <si>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</si>
  <si>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</si>
  <si>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</si>
  <si>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</si>
  <si>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</si>
  <si>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</si>
  <si>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</si>
  <si>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</si>
  <si>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</si>
  <si>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</si>
  <si>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</si>
  <si>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</si>
  <si>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</si>
  <si>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</si>
  <si>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</si>
  <si>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</si>
  <si>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</si>
  <si>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</si>
  <si>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</si>
  <si>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</si>
  <si>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</si>
  <si>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</si>
  <si>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</si>
  <si>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</si>
  <si>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</si>
  <si>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</si>
  <si>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</si>
  <si>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</si>
  <si>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</si>
  <si>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</si>
  <si>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</si>
  <si>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</si>
  <si>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</si>
  <si>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</si>
  <si>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</si>
  <si>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</si>
  <si>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</si>
  <si>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</si>
  <si>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</si>
  <si>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</si>
  <si>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</si>
  <si>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</si>
  <si>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</si>
  <si>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</si>
  <si>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</si>
  <si>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</si>
  <si>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</si>
  <si>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</si>
  <si>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</si>
  <si>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</si>
  <si>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</si>
  <si>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</si>
  <si>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</si>
  <si>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</si>
  <si>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</si>
  <si>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</si>
  <si>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</si>
  <si>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</si>
  <si>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</si>
  <si>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</si>
  <si>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</si>
  <si>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</si>
  <si>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</si>
  <si>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</si>
  <si>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</si>
  <si>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</si>
  <si>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</si>
  <si>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</si>
  <si>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</si>
  <si>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</si>
  <si>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</si>
  <si>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</si>
  <si>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</si>
  <si>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</si>
  <si>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</si>
  <si>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</si>
  <si>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</si>
  <si>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</si>
  <si>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</si>
  <si>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</si>
  <si>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</si>
  <si>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</si>
  <si>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</si>
  <si>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</si>
  <si>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</si>
  <si>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</si>
  <si>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</si>
  <si>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</si>
  <si>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</si>
  <si>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</si>
  <si>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</si>
  <si>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</si>
  <si>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</si>
  <si>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</si>
  <si>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</si>
  <si>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</si>
  <si>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</si>
  <si>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</si>
  <si>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</si>
  <si>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</si>
  <si>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</si>
  <si>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</si>
  <si>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</si>
  <si>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</si>
  <si>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</si>
  <si>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</si>
  <si>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</si>
  <si>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</si>
  <si>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</si>
  <si>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</si>
  <si>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</si>
  <si>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</si>
  <si>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</si>
  <si>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</si>
  <si>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</si>
  <si>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</si>
  <si>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</si>
  <si>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</si>
  <si>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</si>
  <si>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</si>
  <si>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</si>
  <si>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</si>
  <si>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</si>
  <si>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</si>
  <si>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</si>
  <si>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</si>
  <si>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</si>
  <si>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</si>
  <si>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</si>
  <si>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</si>
  <si>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</si>
  <si>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</si>
  <si>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</si>
  <si>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</si>
  <si>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</si>
  <si>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</si>
  <si>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</si>
  <si>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</si>
  <si>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</si>
  <si>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</si>
  <si>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</si>
  <si>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</si>
  <si>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</si>
  <si>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</si>
  <si>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</si>
  <si>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</si>
  <si>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</si>
  <si>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</si>
  <si>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</si>
  <si>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</si>
  <si>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</si>
  <si>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</si>
  <si>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</si>
  <si>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</si>
  <si>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</si>
  <si>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</si>
  <si>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</si>
  <si>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</si>
  <si>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</si>
  <si>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</si>
  <si>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</si>
  <si>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</si>
  <si>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</si>
  <si>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</si>
  <si>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</si>
  <si>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</si>
  <si>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</si>
  <si>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</si>
  <si>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</si>
  <si>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</si>
  <si>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</si>
  <si>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</si>
  <si>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</si>
  <si>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</si>
  <si>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</si>
  <si>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</si>
  <si>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</si>
  <si>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</si>
  <si>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</si>
  <si>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</si>
  <si>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</si>
  <si>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</si>
  <si>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</si>
  <si>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</si>
  <si>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</si>
  <si>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</si>
  <si>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</si>
  <si>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</si>
  <si>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</si>
  <si>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</si>
  <si>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</si>
  <si>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</si>
  <si>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</si>
  <si>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</si>
  <si>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</si>
  <si>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</si>
  <si>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</si>
  <si>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</si>
  <si>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</si>
  <si>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</si>
  <si>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</si>
  <si>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</si>
  <si>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</si>
  <si>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</si>
  <si>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</si>
  <si>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</si>
  <si>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</si>
  <si>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</si>
  <si>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</si>
  <si>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</si>
  <si>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</si>
  <si>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</si>
  <si>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</si>
  <si>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</si>
  <si>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</si>
  <si>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</si>
  <si>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</si>
  <si>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</si>
  <si>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</si>
  <si>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</si>
  <si>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</si>
  <si>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</si>
  <si>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</si>
  <si>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</si>
  <si>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</si>
  <si>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</si>
  <si>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</si>
  <si>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</si>
  <si>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</si>
  <si>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</si>
  <si>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</si>
  <si>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</si>
  <si>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</si>
  <si>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</si>
  <si>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</si>
  <si>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</si>
  <si>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</si>
  <si>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</si>
  <si>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</si>
  <si>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</si>
  <si>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</si>
  <si>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</si>
  <si>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</si>
  <si>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</si>
  <si>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</si>
  <si>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</si>
  <si>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</si>
  <si>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</si>
  <si>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</si>
  <si>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</si>
  <si>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</si>
  <si>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</si>
  <si>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</si>
  <si>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</si>
  <si>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</si>
  <si>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</si>
  <si>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</si>
  <si>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</si>
  <si>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</si>
  <si>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</si>
  <si>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</si>
  <si>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</si>
  <si>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</si>
  <si>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</si>
  <si>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</si>
  <si>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</si>
  <si>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</si>
  <si>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</si>
  <si>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</si>
  <si>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</si>
  <si>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</si>
  <si>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</si>
  <si>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</si>
  <si>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</si>
  <si>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</si>
  <si>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</si>
  <si>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</si>
  <si>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</si>
  <si>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</si>
  <si>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</si>
  <si>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</si>
  <si>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</si>
  <si>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</si>
  <si>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</si>
  <si>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</si>
  <si>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</si>
  <si>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</si>
  <si>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</si>
  <si>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</si>
  <si>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</si>
  <si>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</si>
  <si>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</si>
  <si>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</si>
  <si>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</si>
  <si>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</si>
  <si>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</si>
  <si>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</si>
  <si>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</si>
  <si>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</si>
  <si>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</si>
  <si>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</si>
  <si>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</si>
  <si>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</si>
  <si>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</si>
  <si>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</si>
  <si>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</si>
  <si>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</si>
  <si>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</si>
  <si>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</si>
  <si>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</si>
  <si>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</si>
  <si>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</si>
  <si>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</si>
  <si>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</si>
  <si>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</si>
  <si>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</si>
  <si>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</si>
  <si>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</si>
  <si>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</si>
  <si>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</si>
  <si>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</si>
  <si>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</si>
  <si>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</si>
  <si>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</si>
  <si>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</si>
  <si>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</si>
  <si>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</si>
  <si>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</si>
  <si>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</si>
  <si>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</si>
  <si>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</si>
  <si>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</si>
  <si>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</si>
  <si>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</si>
  <si>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</si>
  <si>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</si>
  <si>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</si>
  <si>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</si>
  <si>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</si>
  <si>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</si>
  <si>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</si>
  <si>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</si>
  <si>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</si>
  <si>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</si>
  <si>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</si>
  <si>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</si>
  <si>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</si>
  <si>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</si>
  <si>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</si>
  <si>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</si>
  <si>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</si>
  <si>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</si>
  <si>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</si>
  <si>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</si>
  <si>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</si>
  <si>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</si>
  <si>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</si>
  <si>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</si>
  <si>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</si>
  <si>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</si>
  <si>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</si>
  <si>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</si>
  <si>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</si>
  <si>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</si>
  <si>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</si>
  <si>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</si>
  <si>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</si>
  <si>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</si>
  <si>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</si>
  <si>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</si>
  <si>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</si>
  <si>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</si>
  <si>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</si>
  <si>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</si>
  <si>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</si>
  <si>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</si>
  <si>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</si>
  <si>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</si>
  <si>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</si>
  <si>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</si>
  <si>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</si>
  <si>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</si>
  <si>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</si>
  <si>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</si>
  <si>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</si>
  <si>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</si>
  <si>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</si>
  <si>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</si>
  <si>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</si>
  <si>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</si>
  <si>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</si>
  <si>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</si>
  <si>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</si>
  <si>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</si>
  <si>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</si>
  <si>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</si>
  <si>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</si>
  <si>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</si>
  <si>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</si>
  <si>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</si>
  <si>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</si>
  <si>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</si>
  <si>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</si>
  <si>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</si>
  <si>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</si>
  <si>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</si>
  <si>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</si>
  <si>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</si>
  <si>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</si>
  <si>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</si>
  <si>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</si>
  <si>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</si>
  <si>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</si>
  <si>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</si>
  <si>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</si>
  <si>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</si>
  <si>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</si>
  <si>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</si>
  <si>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</si>
  <si>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</si>
  <si>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</si>
  <si>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</si>
  <si>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</si>
  <si>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</si>
  <si>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</si>
  <si>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</si>
  <si>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</si>
  <si>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</si>
  <si>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</si>
  <si>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</si>
  <si>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</si>
  <si>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</si>
  <si>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</si>
  <si>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</si>
  <si>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</si>
  <si>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</si>
  <si>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</si>
  <si>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</si>
  <si>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</si>
  <si>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</si>
  <si>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</si>
  <si>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</si>
  <si>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</si>
  <si>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</si>
  <si>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</si>
  <si>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</si>
  <si>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</si>
  <si>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</si>
  <si>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</si>
  <si>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</si>
  <si>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</si>
  <si>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</si>
  <si>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</si>
  <si>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</si>
  <si>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</si>
  <si>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</si>
  <si>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</si>
  <si>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</si>
  <si>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</si>
  <si>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</si>
  <si>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</si>
  <si>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</si>
  <si>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</si>
  <si>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</si>
  <si>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</si>
  <si>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</si>
  <si>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</si>
  <si>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</si>
  <si>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</si>
  <si>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</si>
  <si>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</si>
  <si>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</si>
  <si>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</si>
  <si>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</si>
  <si>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</si>
  <si>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</si>
  <si>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</si>
  <si>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</si>
  <si>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</si>
  <si>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</si>
  <si>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</si>
  <si>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</si>
  <si>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</si>
  <si>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</si>
  <si>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</si>
  <si>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</si>
  <si>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</si>
  <si>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</si>
  <si>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</si>
  <si>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</si>
  <si>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</si>
  <si>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</si>
  <si>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</si>
  <si>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</si>
  <si>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</si>
  <si>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</si>
  <si>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</si>
  <si>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</si>
  <si>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</si>
  <si>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</si>
  <si>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</si>
  <si>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</si>
  <si>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</si>
  <si>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</si>
  <si>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</si>
  <si>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</si>
  <si>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</si>
  <si>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</si>
  <si>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</si>
  <si>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</si>
  <si>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</si>
  <si>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</si>
  <si>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</si>
  <si>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</si>
  <si>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</si>
  <si>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</si>
  <si>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</si>
  <si>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</si>
  <si>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</si>
  <si>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</si>
  <si>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</si>
  <si>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</si>
  <si>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</si>
  <si>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</si>
  <si>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</si>
  <si>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</si>
  <si>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</si>
  <si>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</si>
  <si>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</si>
  <si>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</si>
  <si>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</si>
  <si>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</si>
  <si>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</si>
  <si>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</si>
  <si>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</si>
  <si>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</si>
  <si>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</si>
  <si>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</si>
  <si>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</si>
  <si>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</si>
  <si>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</si>
  <si>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</si>
  <si>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</si>
  <si>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</si>
  <si>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</si>
  <si>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</si>
  <si>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</si>
  <si>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</si>
  <si>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</si>
  <si>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</si>
  <si>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</si>
  <si>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</si>
  <si>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</si>
  <si>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</si>
  <si>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</si>
  <si>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</si>
  <si>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</si>
  <si>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</si>
  <si>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</si>
  <si>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</si>
  <si>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</si>
  <si>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</si>
  <si>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</si>
  <si>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</si>
  <si>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</si>
  <si>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其他：</t>
  </si>
  <si>
    <t>企业</t>
  </si>
  <si>
    <t>一致</t>
  </si>
  <si>
    <t>符合</t>
  </si>
  <si>
    <t>设备</t>
    <phoneticPr fontId="228" type="noConversion"/>
  </si>
  <si>
    <t>高层</t>
    <phoneticPr fontId="228" type="noConversion"/>
  </si>
  <si>
    <t>别墅</t>
    <phoneticPr fontId="228" type="noConversion"/>
  </si>
  <si>
    <t>地上</t>
    <phoneticPr fontId="228" type="noConversion"/>
  </si>
  <si>
    <t>地下</t>
    <phoneticPr fontId="228" type="noConversion"/>
  </si>
  <si>
    <t>地下车库</t>
    <phoneticPr fontId="228" type="noConversion"/>
  </si>
  <si>
    <t>1号楼</t>
    <phoneticPr fontId="228" type="noConversion"/>
  </si>
  <si>
    <t>2号楼</t>
  </si>
  <si>
    <t>3号楼</t>
  </si>
  <si>
    <t>4号楼</t>
  </si>
  <si>
    <t>5号楼</t>
  </si>
  <si>
    <t>6号楼</t>
  </si>
  <si>
    <t>7号楼</t>
  </si>
  <si>
    <t>8号楼</t>
  </si>
  <si>
    <t>9号楼</t>
  </si>
  <si>
    <t>10号楼</t>
  </si>
  <si>
    <t>配建1号楼</t>
    <phoneticPr fontId="228" type="noConversion"/>
  </si>
  <si>
    <t>变电站1-3</t>
    <phoneticPr fontId="228" type="noConversion"/>
  </si>
  <si>
    <t>变电站4</t>
    <phoneticPr fontId="228" type="noConversion"/>
  </si>
  <si>
    <t>地下车库1</t>
    <phoneticPr fontId="228" type="noConversion"/>
  </si>
  <si>
    <t>别墅1</t>
    <phoneticPr fontId="228" type="noConversion"/>
  </si>
  <si>
    <t>别墅2</t>
    <phoneticPr fontId="228" type="noConversion"/>
  </si>
  <si>
    <t>别墅3</t>
    <phoneticPr fontId="228" type="noConversion"/>
  </si>
  <si>
    <t>地下车库2</t>
    <phoneticPr fontId="228" type="noConversion"/>
  </si>
  <si>
    <t>幼儿园</t>
    <phoneticPr fontId="228" type="noConversion"/>
  </si>
  <si>
    <t>小学</t>
    <phoneticPr fontId="228" type="noConversion"/>
  </si>
  <si>
    <t>是</t>
    <phoneticPr fontId="3" type="noConversion"/>
  </si>
  <si>
    <t>高层</t>
  </si>
  <si>
    <t>地上</t>
  </si>
  <si>
    <t>平层住宅</t>
  </si>
  <si>
    <t>独栋</t>
  </si>
  <si>
    <t>地下</t>
  </si>
  <si>
    <t>车库</t>
  </si>
  <si>
    <t>高层</t>
    <phoneticPr fontId="7" type="noConversion"/>
  </si>
  <si>
    <t>别墅</t>
  </si>
  <si>
    <t>别墅</t>
    <phoneticPr fontId="7" type="noConversion"/>
  </si>
  <si>
    <t>车库</t>
    <phoneticPr fontId="7" type="noConversion"/>
  </si>
  <si>
    <t>利息：取LPR加浮动点数</t>
  </si>
  <si>
    <t>地块名称</t>
  </si>
  <si>
    <t>城市</t>
  </si>
  <si>
    <t>出让方式</t>
  </si>
  <si>
    <t>受让单位</t>
  </si>
  <si>
    <t>溢价率</t>
  </si>
  <si>
    <t>静海区团泊新城东区、天水路北侧</t>
  </si>
  <si>
    <t>天津市</t>
  </si>
  <si>
    <t>住宅用地</t>
  </si>
  <si>
    <t>挂牌</t>
  </si>
  <si>
    <t>2021-05-14</t>
  </si>
  <si>
    <t>天津市团泰建设发展有限公司</t>
  </si>
  <si>
    <t>静海区团泊新城东区</t>
  </si>
  <si>
    <t>综合用地(含住宅)</t>
  </si>
  <si>
    <t>天津晟达资产经营管理有限公司</t>
  </si>
  <si>
    <t>静海区团泊新城西区、常海道东侧</t>
  </si>
  <si>
    <t>住宅:≥1.0,≤2.0;幼儿园:≤0.8;商业:≤1.0</t>
  </si>
  <si>
    <t>2021-03-01</t>
  </si>
  <si>
    <t>天津市静海区团泊房地产开发有限责任公司</t>
  </si>
  <si>
    <t>天津市静海区团泊新城西区、北华路北侧</t>
  </si>
  <si>
    <t>1.0-1.2</t>
  </si>
  <si>
    <t>2020-12-02</t>
  </si>
  <si>
    <t>天津市静海区团泊新城东区、仁爱西道东侧</t>
  </si>
  <si>
    <t>≤1.2且≥1.0</t>
  </si>
  <si>
    <t>2019-05-17</t>
  </si>
  <si>
    <t>北大资源集团投资有限公司</t>
  </si>
  <si>
    <t>天津市静海区大邱庄镇</t>
  </si>
  <si>
    <t>2019-02-27</t>
  </si>
  <si>
    <t>天津宝能城市发展有限公司</t>
  </si>
  <si>
    <t>静海区团泊新城西区、北华南路南侧</t>
  </si>
  <si>
    <t>1.5-2.0(住宅用地);≤0.8(服务设施用地);≤1.0(商业用地)</t>
  </si>
  <si>
    <t>2018-11-29</t>
  </si>
  <si>
    <t>天津市静海区团泊新城开发建设总公司</t>
  </si>
  <si>
    <t>用地性质</t>
  </si>
  <si>
    <t>建设用地面积(㎡)</t>
  </si>
  <si>
    <t>规划建筑面积(㎡)</t>
  </si>
  <si>
    <t>详细规划</t>
  </si>
  <si>
    <t>集中供地</t>
  </si>
  <si>
    <t>截止日期</t>
  </si>
  <si>
    <t>成交日期</t>
  </si>
  <si>
    <t>起始价(万元)</t>
  </si>
  <si>
    <t>成交价(万元)</t>
  </si>
  <si>
    <t>成交楼面价(元/㎡)</t>
  </si>
  <si>
    <t>土地星级</t>
  </si>
  <si>
    <t>＞1.0,≤1.2</t>
  </si>
  <si>
    <t>城镇住宅</t>
  </si>
  <si>
    <t>第一批</t>
  </si>
  <si>
    <t>2星</t>
  </si>
  <si>
    <t>＞1.1,≤1.6</t>
  </si>
  <si>
    <t>城镇住宅、商服</t>
  </si>
  <si>
    <t>城镇住宅、科教、商服</t>
  </si>
  <si>
    <t>3星</t>
  </si>
  <si>
    <t>城镇住宅用地</t>
  </si>
  <si>
    <t>＞1.0且≤1.2</t>
  </si>
  <si>
    <t>1星</t>
  </si>
  <si>
    <t>二类居住用地＞1.0且≤1.2;服务设施用地≤0.7;社会福利用地≤0.8</t>
  </si>
  <si>
    <t>城镇住宅用地、科教用地、医卫慈善用地</t>
  </si>
  <si>
    <t>城镇住宅、商务金融、科教</t>
  </si>
  <si>
    <t>正常</t>
    <phoneticPr fontId="26" type="noConversion"/>
  </si>
  <si>
    <t>正常</t>
    <phoneticPr fontId="26" type="noConversion"/>
  </si>
  <si>
    <t>不动产收益法</t>
  </si>
  <si>
    <t>楼面地价</t>
  </si>
  <si>
    <t>土地（套用方法）</t>
  </si>
  <si>
    <t>按租金收入计税</t>
  </si>
  <si>
    <t>钢混</t>
  </si>
  <si>
    <t>正常</t>
    <phoneticPr fontId="21" type="noConversion"/>
  </si>
  <si>
    <t>融信西海岸</t>
    <phoneticPr fontId="3" type="noConversion"/>
  </si>
  <si>
    <t>鸿坤理想城</t>
    <phoneticPr fontId="3" type="noConversion"/>
  </si>
  <si>
    <t>60-70（含）</t>
  </si>
  <si>
    <t>高层</t>
    <phoneticPr fontId="21" type="noConversion"/>
  </si>
  <si>
    <t>高层</t>
    <phoneticPr fontId="21" type="noConversion"/>
  </si>
  <si>
    <t>售价</t>
  </si>
  <si>
    <t>正常</t>
    <phoneticPr fontId="228" type="noConversion"/>
  </si>
  <si>
    <t>比较法-住宅、综合</t>
  </si>
  <si>
    <t>剩余法-待开发</t>
  </si>
  <si>
    <t>联排</t>
    <phoneticPr fontId="21" type="noConversion"/>
  </si>
  <si>
    <t>联排</t>
    <phoneticPr fontId="21" type="noConversion"/>
  </si>
  <si>
    <t>联排</t>
    <phoneticPr fontId="21" type="noConversion"/>
  </si>
  <si>
    <t>富力新城</t>
    <phoneticPr fontId="3" type="noConversion"/>
  </si>
  <si>
    <t>洋房</t>
    <phoneticPr fontId="21" type="noConversion"/>
  </si>
  <si>
    <t>高层</t>
    <phoneticPr fontId="21" type="noConversion"/>
  </si>
  <si>
    <t>较好</t>
  </si>
  <si>
    <t>一般</t>
  </si>
  <si>
    <t>七通</t>
    <phoneticPr fontId="26" type="noConversion"/>
  </si>
  <si>
    <t>六通</t>
    <phoneticPr fontId="26" type="noConversion"/>
  </si>
  <si>
    <t>五通</t>
    <phoneticPr fontId="26" type="noConversion"/>
  </si>
  <si>
    <t>三通</t>
    <phoneticPr fontId="26" type="noConversion"/>
  </si>
  <si>
    <t>四通</t>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</si>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</sst>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0"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3"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79" fontId="279" fillId="5" borderId="2" xfId="4" applyNumberFormat="1" applyFont="1" applyFill="1" applyBorder="1" applyAlignment="1">
      <alignment horizontal="center"/>
    </xf>
    <xf numFmtId="0" fontId="145" fillId="0" borderId="0" xfId="0" applyFont="1" applyAlignme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9" borderId="0" xfId="0" applyFont="1" applyFill="1">
      <alignment vertical="center"/>
    </xf>
    <xf numFmtId="0" fontId="0" fillId="0" borderId="0" xfId="0" applyFill="1">
      <alignment vertical="center"/>
    </xf>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49" fontId="81" fillId="2" borderId="6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12</xdr:row>
      <xdr:rowOff>19050</xdr:rowOff>
    </xdr:from>
    <xdr:to>
      <xdr:col>12</xdr:col>
      <xdr:colOff>209549</xdr:colOff>
      <xdr:row>58</xdr:row>
      <xdr:rowOff>79835</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4" y="2076450"/>
          <a:ext cx="10010775" cy="7947485"/>
        </a:xfrm>
        <a:prstGeom prst="rect">
          <a:avLst/>
        </a:prstGeom>
      </xdr:spPr>
    </xdr:pic>
    <xdr:clientData/>
  </xdr:twoCellAnchor>
  <xdr:twoCellAnchor editAs="oneCell">
    <xdr:from>
      <xdr:col>0</xdr:col>
      <xdr:colOff>200025</xdr:colOff>
      <xdr:row>13</xdr:row>
      <xdr:rowOff>114300</xdr:rowOff>
    </xdr:from>
    <xdr:to>
      <xdr:col>7</xdr:col>
      <xdr:colOff>475409</xdr:colOff>
      <xdr:row>42</xdr:row>
      <xdr:rowOff>8917</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2343150"/>
          <a:ext cx="6733334" cy="4866667"/>
        </a:xfrm>
        <a:prstGeom prst="rect">
          <a:avLst/>
        </a:prstGeom>
      </xdr:spPr>
    </xdr:pic>
    <xdr:clientData/>
  </xdr:twoCellAnchor>
  <xdr:twoCellAnchor editAs="oneCell">
    <xdr:from>
      <xdr:col>0</xdr:col>
      <xdr:colOff>0</xdr:colOff>
      <xdr:row>59</xdr:row>
      <xdr:rowOff>0</xdr:rowOff>
    </xdr:from>
    <xdr:to>
      <xdr:col>11</xdr:col>
      <xdr:colOff>103613</xdr:colOff>
      <xdr:row>97</xdr:row>
      <xdr:rowOff>103948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304763" cy="6619048"/>
        </a:xfrm>
        <a:prstGeom prst="rect">
          <a:avLst/>
        </a:prstGeom>
      </xdr:spPr>
    </xdr:pic>
    <xdr:clientData/>
  </xdr:twoCellAnchor>
  <xdr:twoCellAnchor editAs="oneCell">
    <xdr:from>
      <xdr:col>0</xdr:col>
      <xdr:colOff>0</xdr:colOff>
      <xdr:row>98</xdr:row>
      <xdr:rowOff>0</xdr:rowOff>
    </xdr:from>
    <xdr:to>
      <xdr:col>10</xdr:col>
      <xdr:colOff>370365</xdr:colOff>
      <xdr:row>136</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885715" cy="6685715"/>
        </a:xfrm>
        <a:prstGeom prst="rect">
          <a:avLst/>
        </a:prstGeom>
      </xdr:spPr>
    </xdr:pic>
    <xdr:clientData/>
  </xdr:twoCellAnchor>
  <xdr:twoCellAnchor editAs="oneCell">
    <xdr:from>
      <xdr:col>0</xdr:col>
      <xdr:colOff>0</xdr:colOff>
      <xdr:row>137</xdr:row>
      <xdr:rowOff>0</xdr:rowOff>
    </xdr:from>
    <xdr:to>
      <xdr:col>10</xdr:col>
      <xdr:colOff>446555</xdr:colOff>
      <xdr:row>174</xdr:row>
      <xdr:rowOff>37303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8961905" cy="6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32</xdr:row>
      <xdr:rowOff>8838</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8285715" cy="5495238"/>
        </a:xfrm>
        <a:prstGeom prst="rect">
          <a:avLst/>
        </a:prstGeom>
      </xdr:spPr>
    </xdr:pic>
    <xdr:clientData/>
  </xdr:twoCellAnchor>
  <xdr:twoCellAnchor editAs="oneCell">
    <xdr:from>
      <xdr:col>0</xdr:col>
      <xdr:colOff>0</xdr:colOff>
      <xdr:row>27</xdr:row>
      <xdr:rowOff>28575</xdr:rowOff>
    </xdr:from>
    <xdr:to>
      <xdr:col>11</xdr:col>
      <xdr:colOff>684772</xdr:colOff>
      <xdr:row>54</xdr:row>
      <xdr:rowOff>37521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657725"/>
          <a:ext cx="8228572" cy="4638096"/>
        </a:xfrm>
        <a:prstGeom prst="rect">
          <a:avLst/>
        </a:prstGeom>
      </xdr:spPr>
    </xdr:pic>
    <xdr:clientData/>
  </xdr:twoCellAnchor>
  <xdr:twoCellAnchor editAs="oneCell">
    <xdr:from>
      <xdr:col>3</xdr:col>
      <xdr:colOff>142875</xdr:colOff>
      <xdr:row>28</xdr:row>
      <xdr:rowOff>0</xdr:rowOff>
    </xdr:from>
    <xdr:to>
      <xdr:col>14</xdr:col>
      <xdr:colOff>589552</xdr:colOff>
      <xdr:row>45</xdr:row>
      <xdr:rowOff>161541</xdr:rowOff>
    </xdr:to>
    <xdr:pic>
      <xdr:nvPicPr>
        <xdr:cNvPr id="7" name="图片 6"/>
        <xdr:cNvPicPr>
          <a:picLocks noChangeAspect="1"/>
        </xdr:cNvPicPr>
      </xdr:nvPicPr>
      <xdr:blipFill>
        <a:blip xmlns:r="http://schemas.openxmlformats.org/officeDocument/2006/relationships" r:embed="rId3"/>
        <a:stretch>
          <a:fillRect/>
        </a:stretch>
      </xdr:blipFill>
      <xdr:spPr>
        <a:xfrm>
          <a:off x="2200275" y="4800600"/>
          <a:ext cx="7990477" cy="3076191"/>
        </a:xfrm>
        <a:prstGeom prst="rect">
          <a:avLst/>
        </a:prstGeom>
      </xdr:spPr>
    </xdr:pic>
    <xdr:clientData/>
  </xdr:twoCellAnchor>
  <xdr:twoCellAnchor editAs="oneCell">
    <xdr:from>
      <xdr:col>0</xdr:col>
      <xdr:colOff>9525</xdr:colOff>
      <xdr:row>54</xdr:row>
      <xdr:rowOff>28575</xdr:rowOff>
    </xdr:from>
    <xdr:to>
      <xdr:col>11</xdr:col>
      <xdr:colOff>27630</xdr:colOff>
      <xdr:row>82</xdr:row>
      <xdr:rowOff>170832</xdr:rowOff>
    </xdr:to>
    <xdr:pic>
      <xdr:nvPicPr>
        <xdr:cNvPr id="8" name="图片 7"/>
        <xdr:cNvPicPr>
          <a:picLocks noChangeAspect="1"/>
        </xdr:cNvPicPr>
      </xdr:nvPicPr>
      <xdr:blipFill>
        <a:blip xmlns:r="http://schemas.openxmlformats.org/officeDocument/2006/relationships" r:embed="rId4"/>
        <a:stretch>
          <a:fillRect/>
        </a:stretch>
      </xdr:blipFill>
      <xdr:spPr>
        <a:xfrm>
          <a:off x="9525" y="9286875"/>
          <a:ext cx="7561905" cy="4942857"/>
        </a:xfrm>
        <a:prstGeom prst="rect">
          <a:avLst/>
        </a:prstGeom>
      </xdr:spPr>
    </xdr:pic>
    <xdr:clientData/>
  </xdr:twoCellAnchor>
  <xdr:twoCellAnchor editAs="oneCell">
    <xdr:from>
      <xdr:col>3</xdr:col>
      <xdr:colOff>257175</xdr:colOff>
      <xdr:row>54</xdr:row>
      <xdr:rowOff>57150</xdr:rowOff>
    </xdr:from>
    <xdr:to>
      <xdr:col>14</xdr:col>
      <xdr:colOff>418137</xdr:colOff>
      <xdr:row>71</xdr:row>
      <xdr:rowOff>56786</xdr:rowOff>
    </xdr:to>
    <xdr:pic>
      <xdr:nvPicPr>
        <xdr:cNvPr id="9" name="图片 8"/>
        <xdr:cNvPicPr>
          <a:picLocks noChangeAspect="1"/>
        </xdr:cNvPicPr>
      </xdr:nvPicPr>
      <xdr:blipFill>
        <a:blip xmlns:r="http://schemas.openxmlformats.org/officeDocument/2006/relationships" r:embed="rId5"/>
        <a:stretch>
          <a:fillRect/>
        </a:stretch>
      </xdr:blipFill>
      <xdr:spPr>
        <a:xfrm>
          <a:off x="2314575" y="9315450"/>
          <a:ext cx="7704762" cy="2914286"/>
        </a:xfrm>
        <a:prstGeom prst="rect">
          <a:avLst/>
        </a:prstGeom>
      </xdr:spPr>
    </xdr:pic>
    <xdr:clientData/>
  </xdr:twoCellAnchor>
  <xdr:twoCellAnchor editAs="oneCell">
    <xdr:from>
      <xdr:col>6</xdr:col>
      <xdr:colOff>9525</xdr:colOff>
      <xdr:row>59</xdr:row>
      <xdr:rowOff>161925</xdr:rowOff>
    </xdr:from>
    <xdr:to>
      <xdr:col>22</xdr:col>
      <xdr:colOff>579583</xdr:colOff>
      <xdr:row>82</xdr:row>
      <xdr:rowOff>47147</xdr:rowOff>
    </xdr:to>
    <xdr:pic>
      <xdr:nvPicPr>
        <xdr:cNvPr id="10" name="图片 9"/>
        <xdr:cNvPicPr>
          <a:picLocks noChangeAspect="1"/>
        </xdr:cNvPicPr>
      </xdr:nvPicPr>
      <xdr:blipFill>
        <a:blip xmlns:r="http://schemas.openxmlformats.org/officeDocument/2006/relationships" r:embed="rId6"/>
        <a:stretch>
          <a:fillRect/>
        </a:stretch>
      </xdr:blipFill>
      <xdr:spPr>
        <a:xfrm>
          <a:off x="4124325" y="10277475"/>
          <a:ext cx="11542858" cy="3828572"/>
        </a:xfrm>
        <a:prstGeom prst="rect">
          <a:avLst/>
        </a:prstGeom>
      </xdr:spPr>
    </xdr:pic>
    <xdr:clientData/>
  </xdr:twoCellAnchor>
  <xdr:twoCellAnchor editAs="oneCell">
    <xdr:from>
      <xdr:col>5</xdr:col>
      <xdr:colOff>400050</xdr:colOff>
      <xdr:row>38</xdr:row>
      <xdr:rowOff>76200</xdr:rowOff>
    </xdr:from>
    <xdr:to>
      <xdr:col>20</xdr:col>
      <xdr:colOff>627336</xdr:colOff>
      <xdr:row>59</xdr:row>
      <xdr:rowOff>56703</xdr:rowOff>
    </xdr:to>
    <xdr:pic>
      <xdr:nvPicPr>
        <xdr:cNvPr id="11" name="图片 10"/>
        <xdr:cNvPicPr>
          <a:picLocks noChangeAspect="1"/>
        </xdr:cNvPicPr>
      </xdr:nvPicPr>
      <xdr:blipFill>
        <a:blip xmlns:r="http://schemas.openxmlformats.org/officeDocument/2006/relationships" r:embed="rId7"/>
        <a:stretch>
          <a:fillRect/>
        </a:stretch>
      </xdr:blipFill>
      <xdr:spPr>
        <a:xfrm>
          <a:off x="3829050" y="6591300"/>
          <a:ext cx="10514286" cy="3580953"/>
        </a:xfrm>
        <a:prstGeom prst="rect">
          <a:avLst/>
        </a:prstGeom>
      </xdr:spPr>
    </xdr:pic>
    <xdr:clientData/>
  </xdr:twoCellAnchor>
  <xdr:twoCellAnchor editAs="oneCell">
    <xdr:from>
      <xdr:col>0</xdr:col>
      <xdr:colOff>0</xdr:colOff>
      <xdr:row>84</xdr:row>
      <xdr:rowOff>0</xdr:rowOff>
    </xdr:from>
    <xdr:to>
      <xdr:col>12</xdr:col>
      <xdr:colOff>84686</xdr:colOff>
      <xdr:row>111</xdr:row>
      <xdr:rowOff>8946</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4401800"/>
          <a:ext cx="8314286" cy="4638096"/>
        </a:xfrm>
        <a:prstGeom prst="rect">
          <a:avLst/>
        </a:prstGeom>
      </xdr:spPr>
    </xdr:pic>
    <xdr:clientData/>
  </xdr:twoCellAnchor>
  <xdr:twoCellAnchor editAs="oneCell">
    <xdr:from>
      <xdr:col>4</xdr:col>
      <xdr:colOff>409575</xdr:colOff>
      <xdr:row>83</xdr:row>
      <xdr:rowOff>9525</xdr:rowOff>
    </xdr:from>
    <xdr:to>
      <xdr:col>16</xdr:col>
      <xdr:colOff>437118</xdr:colOff>
      <xdr:row>116</xdr:row>
      <xdr:rowOff>123104</xdr:rowOff>
    </xdr:to>
    <xdr:pic>
      <xdr:nvPicPr>
        <xdr:cNvPr id="13" name="图片 12"/>
        <xdr:cNvPicPr>
          <a:picLocks noChangeAspect="1"/>
        </xdr:cNvPicPr>
      </xdr:nvPicPr>
      <xdr:blipFill>
        <a:blip xmlns:r="http://schemas.openxmlformats.org/officeDocument/2006/relationships" r:embed="rId9"/>
        <a:stretch>
          <a:fillRect/>
        </a:stretch>
      </xdr:blipFill>
      <xdr:spPr>
        <a:xfrm>
          <a:off x="3152775" y="14239875"/>
          <a:ext cx="8257143" cy="5771429"/>
        </a:xfrm>
        <a:prstGeom prst="rect">
          <a:avLst/>
        </a:prstGeom>
      </xdr:spPr>
    </xdr:pic>
    <xdr:clientData/>
  </xdr:twoCellAnchor>
  <xdr:twoCellAnchor editAs="oneCell">
    <xdr:from>
      <xdr:col>4</xdr:col>
      <xdr:colOff>657225</xdr:colOff>
      <xdr:row>94</xdr:row>
      <xdr:rowOff>95250</xdr:rowOff>
    </xdr:from>
    <xdr:to>
      <xdr:col>19</xdr:col>
      <xdr:colOff>274988</xdr:colOff>
      <xdr:row>115</xdr:row>
      <xdr:rowOff>142419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3400425" y="16211550"/>
          <a:ext cx="9904763" cy="3647619"/>
        </a:xfrm>
        <a:prstGeom prst="rect">
          <a:avLst/>
        </a:prstGeom>
      </xdr:spPr>
    </xdr:pic>
    <xdr:clientData/>
  </xdr:twoCellAnchor>
  <xdr:twoCellAnchor editAs="oneCell">
    <xdr:from>
      <xdr:col>4</xdr:col>
      <xdr:colOff>676275</xdr:colOff>
      <xdr:row>101</xdr:row>
      <xdr:rowOff>114300</xdr:rowOff>
    </xdr:from>
    <xdr:to>
      <xdr:col>18</xdr:col>
      <xdr:colOff>551266</xdr:colOff>
      <xdr:row>115</xdr:row>
      <xdr:rowOff>9238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3419475" y="17430750"/>
          <a:ext cx="9476191" cy="2295238"/>
        </a:xfrm>
        <a:prstGeom prst="rect">
          <a:avLst/>
        </a:prstGeom>
      </xdr:spPr>
    </xdr:pic>
    <xdr:clientData/>
  </xdr:twoCellAnchor>
  <xdr:twoCellAnchor editAs="oneCell">
    <xdr:from>
      <xdr:col>6</xdr:col>
      <xdr:colOff>409575</xdr:colOff>
      <xdr:row>67</xdr:row>
      <xdr:rowOff>95250</xdr:rowOff>
    </xdr:from>
    <xdr:to>
      <xdr:col>22</xdr:col>
      <xdr:colOff>132014</xdr:colOff>
      <xdr:row>78</xdr:row>
      <xdr:rowOff>95014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524375" y="11582400"/>
          <a:ext cx="10695239" cy="1885714"/>
        </a:xfrm>
        <a:prstGeom prst="rect">
          <a:avLst/>
        </a:prstGeom>
      </xdr:spPr>
    </xdr:pic>
    <xdr:clientData/>
  </xdr:twoCellAnchor>
  <xdr:twoCellAnchor editAs="oneCell">
    <xdr:from>
      <xdr:col>5</xdr:col>
      <xdr:colOff>466725</xdr:colOff>
      <xdr:row>44</xdr:row>
      <xdr:rowOff>76200</xdr:rowOff>
    </xdr:from>
    <xdr:to>
      <xdr:col>21</xdr:col>
      <xdr:colOff>36783</xdr:colOff>
      <xdr:row>55</xdr:row>
      <xdr:rowOff>66441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3895725" y="7620000"/>
          <a:ext cx="10542858" cy="1876191"/>
        </a:xfrm>
        <a:prstGeom prst="rect">
          <a:avLst/>
        </a:prstGeom>
      </xdr:spPr>
    </xdr:pic>
    <xdr:clientData/>
  </xdr:twoCellAnchor>
  <xdr:twoCellAnchor editAs="oneCell">
    <xdr:from>
      <xdr:col>3</xdr:col>
      <xdr:colOff>552450</xdr:colOff>
      <xdr:row>0</xdr:row>
      <xdr:rowOff>0</xdr:rowOff>
    </xdr:from>
    <xdr:to>
      <xdr:col>13</xdr:col>
      <xdr:colOff>161117</xdr:colOff>
      <xdr:row>16</xdr:row>
      <xdr:rowOff>171086</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609850" y="0"/>
          <a:ext cx="6466667" cy="2914286"/>
        </a:xfrm>
        <a:prstGeom prst="rect">
          <a:avLst/>
        </a:prstGeom>
      </xdr:spPr>
    </xdr:pic>
    <xdr:clientData/>
  </xdr:twoCellAnchor>
  <xdr:twoCellAnchor editAs="oneCell">
    <xdr:from>
      <xdr:col>4</xdr:col>
      <xdr:colOff>457200</xdr:colOff>
      <xdr:row>7</xdr:row>
      <xdr:rowOff>0</xdr:rowOff>
    </xdr:from>
    <xdr:to>
      <xdr:col>19</xdr:col>
      <xdr:colOff>65439</xdr:colOff>
      <xdr:row>26</xdr:row>
      <xdr:rowOff>151974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3200400" y="1200150"/>
          <a:ext cx="9895239" cy="3409524"/>
        </a:xfrm>
        <a:prstGeom prst="rect">
          <a:avLst/>
        </a:prstGeom>
      </xdr:spPr>
    </xdr:pic>
    <xdr:clientData/>
  </xdr:twoCellAnchor>
  <xdr:twoCellAnchor editAs="oneCell">
    <xdr:from>
      <xdr:col>4</xdr:col>
      <xdr:colOff>609600</xdr:colOff>
      <xdr:row>14</xdr:row>
      <xdr:rowOff>19050</xdr:rowOff>
    </xdr:from>
    <xdr:to>
      <xdr:col>19</xdr:col>
      <xdr:colOff>265458</xdr:colOff>
      <xdr:row>25</xdr:row>
      <xdr:rowOff>28338</xdr:rowOff>
    </xdr:to>
    <xdr:pic>
      <xdr:nvPicPr>
        <xdr:cNvPr id="21" name="图片 20"/>
        <xdr:cNvPicPr>
          <a:picLocks noChangeAspect="1"/>
        </xdr:cNvPicPr>
      </xdr:nvPicPr>
      <xdr:blipFill>
        <a:blip xmlns:r="http://schemas.openxmlformats.org/officeDocument/2006/relationships" r:embed="rId16"/>
        <a:stretch>
          <a:fillRect/>
        </a:stretch>
      </xdr:blipFill>
      <xdr:spPr>
        <a:xfrm>
          <a:off x="3352800" y="2419350"/>
          <a:ext cx="9942858" cy="1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废弃"/>
      <sheetName val="不动产比较法-别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322700.68999999994</v>
          </cell>
          <cell r="C14">
            <v>162918.79999999999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废弃"/>
      <sheetName val="不动产比较法-别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70219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2021年9月29日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根据《国有土地使用证》[]，估价对象（分摊）出让国有建设用地使用权面积为118010.9平方米。根据《建设工程规划许可证》[]、《出让合同》[]，估价对象规划建筑面积为229142.35平方米。</v>
      </c>
    </row>
    <row r="16" spans="1:55" s="2594" customFormat="1">
      <c r="A16" s="2595" t="s">
        <v>2649</v>
      </c>
      <c r="B16" s="2596"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估价期日：2021年9月29日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118010.9</v>
      </c>
    </row>
    <row r="44" spans="1:2">
      <c r="A44" s="2595" t="s">
        <v>2720</v>
      </c>
      <c r="B44" s="2596" t="str">
        <f>'预评函-2'!O3</f>
        <v>规划建筑面积/㎡</v>
      </c>
    </row>
    <row r="45" spans="1:2">
      <c r="A45" s="2595" t="s">
        <v>2702</v>
      </c>
      <c r="B45" s="2596">
        <f>'预评函-2'!O5</f>
        <v>229142.34999999998</v>
      </c>
    </row>
    <row r="46" spans="1:2">
      <c r="A46" s="2595" t="s">
        <v>2703</v>
      </c>
      <c r="B46" s="2596">
        <f ca="1">'预评函-2'!P5</f>
        <v>3940</v>
      </c>
    </row>
    <row r="47" spans="1:2">
      <c r="A47" s="2595" t="s">
        <v>2704</v>
      </c>
      <c r="B47" s="2596">
        <f ca="1">'预评函-2'!Q5</f>
        <v>2029</v>
      </c>
    </row>
    <row r="48" spans="1:2">
      <c r="A48" s="2595" t="s">
        <v>2705</v>
      </c>
      <c r="B48" s="2596">
        <f ca="1">'预评函-2'!R5</f>
        <v>46494</v>
      </c>
    </row>
    <row r="49" spans="1:2">
      <c r="A49" s="2595" t="s">
        <v>2721</v>
      </c>
      <c r="B49" s="2596" t="str">
        <f>'预评函-2'!A6</f>
        <v>抵押价格</v>
      </c>
    </row>
    <row r="50" spans="1:2">
      <c r="A50" s="2595" t="s">
        <v>2706</v>
      </c>
      <c r="B50" s="2596">
        <f ca="1">'预评函-2'!R6</f>
        <v>46494</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70" zoomScaleNormal="100" zoomScaleSheetLayoutView="70" workbookViewId="0">
      <selection activeCell="G25" sqref="G25"/>
    </sheetView>
  </sheetViews>
  <sheetFormatPr defaultColWidth="10" defaultRowHeight="14.25"/>
  <cols>
    <col min="1" max="1" width="15.375" style="1613" customWidth="1"/>
    <col min="2" max="2" width="11.375" style="1613" customWidth="1"/>
    <col min="3" max="3" width="12.625" style="1613" customWidth="1"/>
    <col min="4" max="4" width="12.1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51" t="str">
        <f>IF(B10="北京市","北京市",C10)&amp;F10&amp;B16&amp;"国有建设用地使用权"&amp;B9&amp;"预评估"</f>
        <v>出让国有建设用地使用权抵押价格预评估</v>
      </c>
      <c r="C1" s="3352"/>
      <c r="D1" s="3352"/>
      <c r="E1" s="3352"/>
      <c r="F1" s="3352"/>
      <c r="G1" s="3352"/>
      <c r="H1" s="3352"/>
      <c r="I1" s="3353"/>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44468</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57" t="s">
        <v>1933</v>
      </c>
      <c r="E8" s="1757" t="s">
        <v>3006</v>
      </c>
      <c r="F8" s="1599"/>
      <c r="G8" s="3074"/>
      <c r="H8" s="3074"/>
      <c r="I8" s="3077"/>
      <c r="J8" s="3073"/>
      <c r="K8" s="3056"/>
      <c r="L8" s="3052"/>
      <c r="M8" s="3052"/>
      <c r="N8" s="3053"/>
      <c r="O8" s="3054"/>
      <c r="P8" s="3053"/>
      <c r="Q8" s="3053"/>
      <c r="R8" s="3053"/>
      <c r="S8" s="3053"/>
      <c r="T8" s="3053"/>
      <c r="U8" s="3053"/>
    </row>
    <row r="9" spans="1:21" ht="15" thickBot="1">
      <c r="A9" s="2998" t="s">
        <v>1932</v>
      </c>
      <c r="B9" s="1600" t="s">
        <v>3006</v>
      </c>
      <c r="C9" s="1601"/>
      <c r="D9" s="3358"/>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3007</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3008</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54"/>
      <c r="C12" s="3355"/>
      <c r="D12" s="3356"/>
      <c r="E12" s="1620" t="s">
        <v>2050</v>
      </c>
      <c r="F12" s="3372" t="s">
        <v>2868</v>
      </c>
      <c r="G12" s="3373"/>
      <c r="H12" s="3373"/>
      <c r="I12" s="3374"/>
      <c r="J12" s="3073"/>
      <c r="K12" s="3056"/>
      <c r="L12" s="3052"/>
      <c r="M12" s="3052"/>
      <c r="N12" s="3053"/>
      <c r="O12" s="3054"/>
      <c r="P12" s="3053"/>
      <c r="Q12" s="3053"/>
      <c r="R12" s="3053"/>
      <c r="S12" s="3053"/>
      <c r="T12" s="3053"/>
      <c r="U12" s="3053"/>
    </row>
    <row r="13" spans="1:21">
      <c r="A13" s="1611" t="s">
        <v>2048</v>
      </c>
      <c r="B13" s="3354"/>
      <c r="C13" s="3355"/>
      <c r="D13" s="3356"/>
      <c r="E13" s="1620" t="s">
        <v>2050</v>
      </c>
      <c r="F13" s="3372" t="s">
        <v>2869</v>
      </c>
      <c r="G13" s="3373"/>
      <c r="H13" s="3373"/>
      <c r="I13" s="3374"/>
      <c r="J13" s="3073"/>
      <c r="K13" s="3056"/>
      <c r="L13" s="3052"/>
      <c r="M13" s="3052"/>
      <c r="N13" s="3053"/>
      <c r="O13" s="3054"/>
      <c r="P13" s="3053"/>
      <c r="Q13" s="3053"/>
      <c r="R13" s="3053"/>
      <c r="S13" s="3053"/>
      <c r="T13" s="3053"/>
      <c r="U13" s="3053"/>
    </row>
    <row r="14" spans="1:21">
      <c r="A14" s="1588" t="s">
        <v>2051</v>
      </c>
      <c r="B14" s="1620"/>
      <c r="C14" s="1758" t="s">
        <v>3009</v>
      </c>
      <c r="D14" s="1654" t="str">
        <f>IF(C14="不一致","是否符合证载地类范围","")</f>
        <v/>
      </c>
      <c r="E14" s="1620"/>
      <c r="F14" s="1704" t="s">
        <v>3010</v>
      </c>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2951</v>
      </c>
      <c r="C16" s="1620" t="s">
        <v>1937</v>
      </c>
      <c r="D16" s="2488" t="s">
        <v>1938</v>
      </c>
      <c r="E16" s="1643"/>
      <c r="F16" s="1643"/>
      <c r="G16" s="1643" t="s">
        <v>35</v>
      </c>
      <c r="H16" s="1643"/>
      <c r="I16" s="1610" t="s">
        <v>1943</v>
      </c>
      <c r="J16" s="3073"/>
      <c r="K16" s="2311" t="str">
        <f>IF(D17="","",D16&amp;TEXT(D17,"yyyy年m月d日;;"))</f>
        <v>住宅2083年8月29日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地下车库2063年8月29日</v>
      </c>
      <c r="R16" s="1620" t="str">
        <f>IF(OR(Q16="",S16=""),"","、")</f>
        <v/>
      </c>
      <c r="S16" s="2311" t="str">
        <f>IF(H17="","",H16&amp;TEXT(H17,"yyyy年m月d日;;"))</f>
        <v/>
      </c>
      <c r="T16" s="1620" t="str">
        <f>IF(OR(S16="",U16=""),"","、")</f>
        <v/>
      </c>
      <c r="U16" s="2311" t="str">
        <f>IF(I17="","",I16&amp;TEXT(I17,"yyyy年m月d日;;"))</f>
        <v/>
      </c>
    </row>
    <row r="17" spans="1:21">
      <c r="A17" s="1680"/>
      <c r="B17" s="1607"/>
      <c r="C17" s="3002" t="s">
        <v>1944</v>
      </c>
      <c r="D17" s="1621">
        <v>67082</v>
      </c>
      <c r="E17" s="1621"/>
      <c r="F17" s="1621"/>
      <c r="G17" s="1621">
        <v>59777</v>
      </c>
      <c r="H17" s="1621"/>
      <c r="I17" s="1621"/>
      <c r="J17" s="3073"/>
      <c r="K17" s="3051" t="str">
        <f>CONCATENATE(K16,L16,M16,N16,O16,P16,Q16,R16,S16,T16,,U16)</f>
        <v>住宅2083年8月29日地下车库2063年8月29日</v>
      </c>
      <c r="L17" s="3052"/>
      <c r="M17" s="3052"/>
      <c r="N17" s="3053"/>
      <c r="O17" s="3054"/>
      <c r="P17" s="3053"/>
      <c r="Q17" s="3053"/>
      <c r="R17" s="3053"/>
      <c r="S17" s="3053"/>
      <c r="T17" s="3053"/>
      <c r="U17" s="3053"/>
    </row>
    <row r="18" spans="1:21">
      <c r="A18" s="1680"/>
      <c r="B18" s="1607"/>
      <c r="C18" s="3002" t="s">
        <v>1945</v>
      </c>
      <c r="D18" s="1608">
        <v>70</v>
      </c>
      <c r="E18" s="1608"/>
      <c r="F18" s="1608"/>
      <c r="G18" s="1608">
        <v>50</v>
      </c>
      <c r="H18" s="1608"/>
      <c r="I18" s="1608"/>
      <c r="J18" s="3073"/>
      <c r="K18" s="3056"/>
      <c r="L18" s="3052"/>
      <c r="M18" s="3052"/>
      <c r="N18" s="3053"/>
      <c r="O18" s="3054"/>
      <c r="P18" s="3053"/>
      <c r="Q18" s="3053"/>
      <c r="R18" s="3053"/>
      <c r="S18" s="3053"/>
      <c r="T18" s="3053"/>
      <c r="U18" s="3053"/>
    </row>
    <row r="19" spans="1:21">
      <c r="A19" s="1680"/>
      <c r="B19" s="1607"/>
      <c r="C19" s="1587" t="s">
        <v>1946</v>
      </c>
      <c r="D19" s="1675">
        <f>IF(B16="出让",IF(D17="","",ROUNDDOWN(MIN((D17-$D$3)/365,D18),2)),D18)</f>
        <v>61.95</v>
      </c>
      <c r="E19" s="1609" t="str">
        <f>IF(B16="出让",IF(E17="","",ROUNDDOWN(MIN((E17-$D$3)/365,E18),2)),E18)</f>
        <v/>
      </c>
      <c r="F19" s="1609" t="str">
        <f>IF(B16="出让",IF(F17="","",ROUNDDOWN(MIN((F17-$D$3)/365,F18),2)),F18)</f>
        <v/>
      </c>
      <c r="G19" s="1609">
        <f>IF(B16="出让",IF(G17="","",ROUNDDOWN(MIN((G17-$D$3)/365,G18),2)),G18)</f>
        <v>41.94</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9"/>
      <c r="E20" s="3370"/>
      <c r="F20" s="3370"/>
      <c r="G20" s="3370"/>
      <c r="H20" s="3370"/>
      <c r="I20" s="3371"/>
      <c r="J20" s="3073"/>
      <c r="K20" s="3056"/>
      <c r="L20" s="3052"/>
      <c r="M20" s="3052"/>
      <c r="N20" s="3053"/>
      <c r="O20" s="3054"/>
      <c r="P20" s="3053"/>
      <c r="Q20" s="3053"/>
      <c r="R20" s="3053"/>
      <c r="S20" s="3053"/>
      <c r="T20" s="3053"/>
      <c r="U20" s="3053"/>
    </row>
    <row r="21" spans="1:21">
      <c r="A21" s="1680" t="s">
        <v>1947</v>
      </c>
      <c r="B21" s="1681" t="s">
        <v>1948</v>
      </c>
      <c r="C21" s="1676">
        <f>'数据-汇总表'!E3</f>
        <v>229142.34999999998</v>
      </c>
      <c r="D21" s="1677"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8" t="s">
        <v>1950</v>
      </c>
      <c r="C22" s="1610">
        <f>'数据-汇总表'!D3</f>
        <v>118010.9</v>
      </c>
      <c r="D22" s="1611" t="s">
        <v>1949</v>
      </c>
      <c r="E22" s="3359" t="s">
        <v>2870</v>
      </c>
      <c r="F22" s="3360"/>
      <c r="G22" s="3360"/>
      <c r="H22" s="3360"/>
      <c r="I22" s="3361"/>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62" t="s">
        <v>1955</v>
      </c>
      <c r="C24" s="3363"/>
      <c r="D24" s="3364" t="s">
        <v>1956</v>
      </c>
      <c r="E24" s="3365"/>
      <c r="F24" s="1629" t="s">
        <v>1957</v>
      </c>
      <c r="G24" s="3073"/>
      <c r="H24" s="3073"/>
      <c r="I24" s="3077"/>
      <c r="J24" s="3073"/>
      <c r="K24" s="335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5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5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1"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36"/>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37"/>
      <c r="B34" s="1588"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3"/>
      <c r="C35" s="1690"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6"/>
      <c r="E36" s="3347"/>
      <c r="F36" s="3347"/>
      <c r="G36" s="1611"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36"/>
      <c r="B38" s="3367"/>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37"/>
      <c r="B39" s="3368"/>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9" t="s">
        <v>1974</v>
      </c>
      <c r="T40" s="1652" t="str">
        <f>NUMBERSTRING(7-K40,1)&amp;"通"</f>
        <v>七通</v>
      </c>
      <c r="U40" s="3053"/>
    </row>
    <row r="41" spans="1:28">
      <c r="A41" s="1590"/>
      <c r="B41" s="3341" t="s">
        <v>1712</v>
      </c>
      <c r="C41" s="3341"/>
      <c r="D41" s="3341"/>
      <c r="E41" s="3341"/>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9"/>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118010.9</v>
      </c>
      <c r="B3" s="22">
        <f>IF(C3="否",G5-AT5,G5)</f>
        <v>229142.34999999998</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3039</v>
      </c>
      <c r="J9" s="51"/>
      <c r="K9" s="2731" t="s">
        <v>3039</v>
      </c>
      <c r="L9" s="51"/>
      <c r="M9" s="2731" t="s">
        <v>3042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t="s">
        <v>914</v>
      </c>
      <c r="L10" s="51"/>
      <c r="M10" s="2733" t="s">
        <v>3043</v>
      </c>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3040</v>
      </c>
      <c r="J11" s="71"/>
      <c r="K11" s="2732" t="s">
        <v>3041</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t="str">
        <f>K11</f>
        <v>独栋</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118010.9</v>
      </c>
      <c r="F13" s="81"/>
      <c r="G13" s="82">
        <f t="shared" ref="G13:G20" si="7">H13+AC13+AT13</f>
        <v>229142.34999999998</v>
      </c>
      <c r="H13" s="33">
        <f t="shared" ref="H13:H20" si="8">SUMIF(I$12:AB$12,"总值",I13:AB13)</f>
        <v>196709.24</v>
      </c>
      <c r="I13" s="2730">
        <f>SUM(Sheet1!B3:B12)</f>
        <v>118482.68000000001</v>
      </c>
      <c r="J13" s="2730"/>
      <c r="K13" s="2730">
        <f>SUM(Sheet1!C17:C19)</f>
        <v>41678.300000000003</v>
      </c>
      <c r="L13" s="2730"/>
      <c r="M13" s="2730">
        <f>Sheet1!F16+Sheet1!F20</f>
        <v>36548.259999999995</v>
      </c>
      <c r="N13" s="83"/>
      <c r="O13" s="83"/>
      <c r="P13" s="83"/>
      <c r="Q13" s="83"/>
      <c r="R13" s="83"/>
      <c r="S13" s="83"/>
      <c r="T13" s="83"/>
      <c r="U13" s="83"/>
      <c r="V13" s="83"/>
      <c r="W13" s="83"/>
      <c r="X13" s="83"/>
      <c r="Y13" s="83"/>
      <c r="Z13" s="83"/>
      <c r="AA13" s="83"/>
      <c r="AB13" s="83"/>
      <c r="AC13" s="27">
        <f t="shared" ref="AC13:AC20" si="9">SUMIF(AD$12:AS$12,"总值",AD13:AS13)</f>
        <v>32433.11</v>
      </c>
      <c r="AD13" s="2734">
        <f>Sheet1!D21+Sheet1!D22</f>
        <v>12760</v>
      </c>
      <c r="AE13" s="2734"/>
      <c r="AF13" s="2734"/>
      <c r="AG13" s="2734"/>
      <c r="AH13" s="2734"/>
      <c r="AI13" s="2734"/>
      <c r="AJ13" s="2734"/>
      <c r="AK13" s="2734"/>
      <c r="AL13" s="2734">
        <f>Sheet1!D13+Sheet1!D14+Sheet1!D15</f>
        <v>3387.3</v>
      </c>
      <c r="AM13" s="2734"/>
      <c r="AN13" s="2734">
        <f>SUM(Sheet1!E3:E12,Sheet1!E17:E19)</f>
        <v>16285.810000000001</v>
      </c>
      <c r="AO13" s="2734"/>
      <c r="AP13" s="2734"/>
      <c r="AQ13" s="2734"/>
      <c r="AR13" s="2734"/>
      <c r="AS13" s="2734"/>
      <c r="AT13" s="2735"/>
      <c r="AU13" s="2736"/>
      <c r="AV13" s="17">
        <f t="shared" ref="AV13:AX20" si="10">A13</f>
        <v>0</v>
      </c>
      <c r="AW13" s="17">
        <f t="shared" si="10"/>
        <v>0</v>
      </c>
      <c r="AX13" s="17">
        <f t="shared" si="10"/>
        <v>0</v>
      </c>
      <c r="AY13" s="984">
        <f t="shared" ref="AY13:AY20" si="11">ROUND($AY$6*AZ13/$AZ$5,2)</f>
        <v>118010.9</v>
      </c>
      <c r="AZ13" s="27">
        <f t="shared" ref="AZ13:AZ20" si="12">BA13+BL13</f>
        <v>229142.34999999998</v>
      </c>
      <c r="BA13" s="27">
        <f t="shared" ref="BA13:BA20" si="13">SUM(BB13:BK13)</f>
        <v>196709.24</v>
      </c>
      <c r="BB13" s="27">
        <f t="shared" ref="BB13:BB20" si="14">IF($D13="是",I13-J13,0)</f>
        <v>118482.68000000001</v>
      </c>
      <c r="BC13" s="27">
        <f t="shared" ref="BC13:BC20" si="15">IF($D13="是",K13-L13,0)</f>
        <v>41678.300000000003</v>
      </c>
      <c r="BD13" s="27">
        <f t="shared" ref="BD13:BD20" si="16">IF($D13="是",M13-N13,0)</f>
        <v>36548.259999999995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32433.11</v>
      </c>
      <c r="BM13" s="27">
        <f t="shared" ref="BM13:BM20" si="25">IF($D13="是",AD13-AE13,0)</f>
        <v>12760</v>
      </c>
      <c r="BN13" s="27">
        <f t="shared" ref="BN13:BN20" si="26">IF($D13="是",AF13-AG13,0)</f>
        <v>0</v>
      </c>
      <c r="BO13" s="27">
        <f t="shared" ref="BO13:BO20" si="27">IF($D13="是",AH13-AI13,0)</f>
        <v>0</v>
      </c>
      <c r="BP13" s="27">
        <f t="shared" ref="BP13:BP20" si="28">IF($D13="是",AJ13-AK13,0)</f>
        <v>0</v>
      </c>
      <c r="BQ13" s="27">
        <f t="shared" ref="BQ13:BQ20" si="29">IF($D13="是",AL13-AM13,0)</f>
        <v>3387.3</v>
      </c>
      <c r="BR13" s="27">
        <f t="shared" ref="BR13:BR20" si="30">IF($D13="是",AN13-AO13,0)</f>
        <v>16285.810000000001</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t="s">
        <v>3037</v>
      </c>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t="s">
        <v>3037</v>
      </c>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24" sqref="I24"/>
    </sheetView>
  </sheetViews>
  <sheetFormatPr defaultRowHeight="13.5"/>
  <sheetData>
    <row r="1" spans="1:6">
      <c r="D1" s="3379" t="s">
        <v>3011</v>
      </c>
      <c r="E1" s="3380"/>
    </row>
    <row r="2" spans="1:6">
      <c r="B2" s="3248" t="s">
        <v>3012</v>
      </c>
      <c r="C2" s="3248" t="s">
        <v>3013</v>
      </c>
      <c r="D2" s="3248" t="s">
        <v>3014</v>
      </c>
      <c r="E2" s="3248" t="s">
        <v>3015</v>
      </c>
      <c r="F2" s="3248" t="s">
        <v>3016</v>
      </c>
    </row>
    <row r="3" spans="1:6">
      <c r="A3" s="3248" t="s">
        <v>3017</v>
      </c>
      <c r="B3">
        <v>15042.66</v>
      </c>
      <c r="E3">
        <v>623.32000000000005</v>
      </c>
    </row>
    <row r="4" spans="1:6">
      <c r="A4" s="3248" t="s">
        <v>3018</v>
      </c>
      <c r="B4">
        <v>15117.17</v>
      </c>
      <c r="E4">
        <v>1071.98</v>
      </c>
    </row>
    <row r="5" spans="1:6">
      <c r="A5" s="3248" t="s">
        <v>3019</v>
      </c>
      <c r="B5">
        <v>15042.66</v>
      </c>
      <c r="E5">
        <v>1026.48</v>
      </c>
    </row>
    <row r="6" spans="1:6">
      <c r="A6" s="3248" t="s">
        <v>3020</v>
      </c>
      <c r="B6">
        <v>15042.66</v>
      </c>
      <c r="E6">
        <v>1026.48</v>
      </c>
    </row>
    <row r="7" spans="1:6">
      <c r="A7" s="3248" t="s">
        <v>3021</v>
      </c>
      <c r="B7">
        <v>14705.14</v>
      </c>
      <c r="E7">
        <v>582.80999999999995</v>
      </c>
    </row>
    <row r="8" spans="1:6">
      <c r="A8" s="3248" t="s">
        <v>3022</v>
      </c>
      <c r="B8">
        <v>14705.14</v>
      </c>
      <c r="E8">
        <v>582.80999999999995</v>
      </c>
    </row>
    <row r="9" spans="1:6">
      <c r="A9" s="3248" t="s">
        <v>3023</v>
      </c>
      <c r="B9">
        <v>14705.14</v>
      </c>
      <c r="E9">
        <v>672.74</v>
      </c>
    </row>
    <row r="10" spans="1:6">
      <c r="A10" s="3293" t="s">
        <v>3024</v>
      </c>
      <c r="B10">
        <v>5542.03</v>
      </c>
      <c r="E10">
        <v>735.64</v>
      </c>
    </row>
    <row r="11" spans="1:6">
      <c r="A11" s="3293" t="s">
        <v>3025</v>
      </c>
      <c r="B11">
        <v>3721.39</v>
      </c>
      <c r="E11">
        <v>494.56</v>
      </c>
    </row>
    <row r="12" spans="1:6">
      <c r="A12" s="3293" t="s">
        <v>3026</v>
      </c>
      <c r="B12">
        <v>4858.6899999999996</v>
      </c>
      <c r="E12">
        <v>643.61</v>
      </c>
    </row>
    <row r="13" spans="1:6">
      <c r="A13" s="3248" t="s">
        <v>3027</v>
      </c>
      <c r="D13">
        <v>2483.61</v>
      </c>
    </row>
    <row r="14" spans="1:6">
      <c r="A14" s="3248" t="s">
        <v>3028</v>
      </c>
      <c r="D14">
        <v>699</v>
      </c>
    </row>
    <row r="15" spans="1:6">
      <c r="A15" s="3248" t="s">
        <v>3029</v>
      </c>
      <c r="D15">
        <v>204.69</v>
      </c>
    </row>
    <row r="16" spans="1:6">
      <c r="A16" s="3248" t="s">
        <v>3030</v>
      </c>
      <c r="F16" s="3294">
        <v>19134.259999999998</v>
      </c>
    </row>
    <row r="17" spans="1:6">
      <c r="A17" s="3248" t="s">
        <v>3031</v>
      </c>
      <c r="C17">
        <v>5509</v>
      </c>
      <c r="E17">
        <v>1161.1600000000001</v>
      </c>
      <c r="F17" s="3294"/>
    </row>
    <row r="18" spans="1:6">
      <c r="A18" s="3248" t="s">
        <v>3032</v>
      </c>
      <c r="C18">
        <v>8194.06</v>
      </c>
      <c r="E18">
        <v>1733.76</v>
      </c>
      <c r="F18" s="3294"/>
    </row>
    <row r="19" spans="1:6">
      <c r="A19" s="3248" t="s">
        <v>3033</v>
      </c>
      <c r="C19">
        <v>27975.24</v>
      </c>
      <c r="E19">
        <v>5930.46</v>
      </c>
      <c r="F19" s="3294"/>
    </row>
    <row r="20" spans="1:6">
      <c r="A20" s="3248" t="s">
        <v>3034</v>
      </c>
      <c r="F20" s="3294">
        <v>17414</v>
      </c>
    </row>
    <row r="21" spans="1:6">
      <c r="A21" s="3248" t="s">
        <v>3035</v>
      </c>
      <c r="D21">
        <v>3400</v>
      </c>
    </row>
    <row r="22" spans="1:6">
      <c r="A22" s="3248" t="s">
        <v>3036</v>
      </c>
      <c r="D22">
        <v>9360</v>
      </c>
    </row>
  </sheetData>
  <mergeCells count="1">
    <mergeCell ref="D1:E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3" sqref="I4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90" t="s">
        <v>203</v>
      </c>
      <c r="B2" s="3390"/>
      <c r="C2" s="3390"/>
      <c r="D2" s="1889" t="s">
        <v>204</v>
      </c>
      <c r="E2" s="106" t="s">
        <v>205</v>
      </c>
      <c r="F2" s="3082"/>
      <c r="G2" s="1181"/>
      <c r="H2" s="1182"/>
      <c r="I2" s="1183" t="s">
        <v>849</v>
      </c>
      <c r="J2" s="3082"/>
      <c r="K2" s="3082"/>
      <c r="L2" s="3082"/>
      <c r="M2" s="3082"/>
      <c r="N2" s="3082"/>
      <c r="O2" s="3082"/>
      <c r="P2" s="3082"/>
    </row>
    <row r="3" spans="1:16" ht="15.75" thickBot="1">
      <c r="A3" s="3391" t="s">
        <v>206</v>
      </c>
      <c r="B3" s="3391"/>
      <c r="C3" s="3391"/>
      <c r="D3" s="107">
        <f>'数据-基础表'!AY6</f>
        <v>118010.9</v>
      </c>
      <c r="E3" s="107">
        <f>'数据-基础表'!AZ5</f>
        <v>229142.34999999998</v>
      </c>
      <c r="F3" s="3082"/>
      <c r="G3" s="278" t="s">
        <v>850</v>
      </c>
      <c r="H3" s="273" t="s">
        <v>851</v>
      </c>
      <c r="I3" s="1890">
        <f>ROUND('数据-基础表'!B3/'数据-基础表'!A3,2)</f>
        <v>1.94</v>
      </c>
      <c r="J3" s="3082"/>
      <c r="K3" s="3082"/>
      <c r="L3" s="3082"/>
      <c r="M3" s="3082"/>
      <c r="N3" s="3082"/>
      <c r="O3" s="3082"/>
      <c r="P3" s="3082"/>
    </row>
    <row r="4" spans="1:16" ht="15">
      <c r="A4" s="3392"/>
      <c r="B4" s="3393"/>
      <c r="C4" s="3394"/>
      <c r="D4" s="108" t="s">
        <v>204</v>
      </c>
      <c r="E4" s="109" t="s">
        <v>205</v>
      </c>
      <c r="F4" s="3082"/>
      <c r="G4" s="1184"/>
      <c r="H4" s="273" t="s">
        <v>852</v>
      </c>
      <c r="I4" s="1890">
        <f>ROUND(SUMIF('数据-基础表'!I9:AS9,"地上",'数据-基础表'!I5:AS5)/'数据-基础表'!A3,2)</f>
        <v>1.49</v>
      </c>
      <c r="J4" s="3082"/>
      <c r="K4" s="3082"/>
      <c r="L4" s="3082"/>
      <c r="M4" s="3082"/>
      <c r="N4" s="3082"/>
      <c r="O4" s="3082"/>
      <c r="P4" s="3082"/>
    </row>
    <row r="5" spans="1:16">
      <c r="A5" s="110" t="s">
        <v>207</v>
      </c>
      <c r="B5" s="3395" t="s">
        <v>230</v>
      </c>
      <c r="C5" s="3395"/>
      <c r="D5" s="111">
        <f>ROUND($D$3*E5/$E$3,2)</f>
        <v>82484.710000000006</v>
      </c>
      <c r="E5" s="112">
        <f>SUMIF('数据-基础表'!$11:$11,"住宅",'数据-基础表'!$5:$5)</f>
        <v>160160.98000000001</v>
      </c>
      <c r="F5" s="3082"/>
      <c r="G5" s="278" t="s">
        <v>853</v>
      </c>
      <c r="H5" s="273" t="s">
        <v>851</v>
      </c>
      <c r="I5" s="1890">
        <f>ROUND(E31/D31,2)</f>
        <v>1.94</v>
      </c>
      <c r="J5" s="3082"/>
      <c r="K5" s="3082"/>
      <c r="L5" s="3082"/>
      <c r="M5" s="3082"/>
      <c r="N5" s="3082"/>
      <c r="O5" s="3082"/>
      <c r="P5" s="3082"/>
    </row>
    <row r="6" spans="1:16" ht="15" thickBot="1">
      <c r="A6" s="113"/>
      <c r="B6" s="3395" t="s">
        <v>208</v>
      </c>
      <c r="C6" s="3395"/>
      <c r="D6" s="111">
        <f>ROUND($D$3*E6/$E$3,2)</f>
        <v>35526.19</v>
      </c>
      <c r="E6" s="112">
        <f>E3-E5</f>
        <v>68981.369999999966</v>
      </c>
      <c r="F6" s="3082"/>
      <c r="G6" s="1184"/>
      <c r="H6" s="273" t="s">
        <v>852</v>
      </c>
      <c r="I6" s="1890">
        <f>ROUND(F31/D31,2)</f>
        <v>1.49</v>
      </c>
      <c r="J6" s="3082"/>
      <c r="K6" s="3082"/>
      <c r="L6" s="3082"/>
      <c r="M6" s="3082"/>
      <c r="N6" s="3082"/>
      <c r="O6" s="3082"/>
      <c r="P6" s="3082"/>
    </row>
    <row r="7" spans="1:16" ht="15">
      <c r="A7" s="3387"/>
      <c r="B7" s="3388"/>
      <c r="C7" s="338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82484.710000000006</v>
      </c>
      <c r="E8" s="116">
        <f>SUMIF('数据-基础表'!BB10:BK10,"地上",'数据-基础表'!BB5:BK5)</f>
        <v>160160.98000000001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18822.77</v>
      </c>
      <c r="E13" s="116">
        <f>SUMPRODUCT(('数据-基础表'!BB10:BK10="地下")*('数据-基础表'!BB11:BK11="车库")*('数据-基础表'!BB5:BK5))</f>
        <v>36548.259999999995</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101307.48000000001</v>
      </c>
      <c r="E16" s="120">
        <f>SUM(E8:E15)</f>
        <v>196709.24</v>
      </c>
      <c r="F16" s="3082"/>
      <c r="G16" s="3083"/>
      <c r="H16" s="956" t="s">
        <v>219</v>
      </c>
      <c r="I16" s="957"/>
      <c r="J16" s="1898"/>
      <c r="K16" s="3381" t="s">
        <v>2547</v>
      </c>
      <c r="L16" s="3382"/>
      <c r="M16" s="3382"/>
      <c r="N16" s="3382"/>
      <c r="O16" s="3382"/>
      <c r="P16" s="3383"/>
    </row>
    <row r="17" spans="1:19" ht="15">
      <c r="A17" s="121" t="s">
        <v>216</v>
      </c>
      <c r="B17" s="122" t="s">
        <v>217</v>
      </c>
      <c r="C17" s="2178" t="s">
        <v>2301</v>
      </c>
      <c r="D17" s="108" t="s">
        <v>204</v>
      </c>
      <c r="E17" s="124" t="s">
        <v>205</v>
      </c>
      <c r="F17" s="125"/>
      <c r="G17" s="1319"/>
      <c r="H17" s="958" t="s">
        <v>218</v>
      </c>
      <c r="I17" s="959" t="s">
        <v>2300</v>
      </c>
      <c r="J17" s="1898"/>
      <c r="K17" s="3384" t="s">
        <v>2548</v>
      </c>
      <c r="L17" s="3385"/>
      <c r="M17" s="3386"/>
      <c r="N17" s="3384" t="s">
        <v>2549</v>
      </c>
      <c r="O17" s="3385"/>
      <c r="P17" s="338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3044</v>
      </c>
      <c r="D19" s="111">
        <f t="shared" ref="D19:D26" si="1">ROUND($D$3*E19/$E$3,2)</f>
        <v>61019.92</v>
      </c>
      <c r="E19" s="134">
        <f t="shared" ref="E19:E26" si="2">SUM(F19:G19)</f>
        <v>118482.68000000001</v>
      </c>
      <c r="F19" s="3084">
        <f>'数据-基础表'!I13</f>
        <v>118482.68000000001</v>
      </c>
      <c r="G19" s="3085"/>
      <c r="H19" s="962">
        <f>ROUND($D$3*I19/$E$3,2)</f>
        <v>6102.67</v>
      </c>
      <c r="I19" s="116">
        <f>IF($I$17="自定义",P19,M19)</f>
        <v>11849.58</v>
      </c>
      <c r="J19" s="1898"/>
      <c r="K19" s="2452">
        <f t="shared" ref="K19:K26" si="3">ROUND(E$28*E19/E$27,2)</f>
        <v>11849.58</v>
      </c>
      <c r="L19" s="273">
        <f t="shared" ref="L19:L26" si="4">ROUND(IF(COUNTIF(C19,"*住宅*")&gt;0,E$29*E19/E$32,0),2)</f>
        <v>0</v>
      </c>
      <c r="M19" s="2453">
        <f>K19+L19</f>
        <v>11849.58</v>
      </c>
      <c r="N19" s="2454"/>
      <c r="O19" s="2455"/>
      <c r="P19" s="2456">
        <f>N19+O19</f>
        <v>0</v>
      </c>
      <c r="R19" s="273">
        <f t="shared" ref="R19:S26" si="5">D19+H19</f>
        <v>67122.59</v>
      </c>
      <c r="S19" s="2181">
        <f t="shared" si="5"/>
        <v>130332.26000000001</v>
      </c>
    </row>
    <row r="20" spans="1:19">
      <c r="A20" s="137"/>
      <c r="B20" s="115" t="s">
        <v>226</v>
      </c>
      <c r="C20" s="2737" t="s">
        <v>3046</v>
      </c>
      <c r="D20" s="111">
        <f t="shared" si="1"/>
        <v>21464.799999999999</v>
      </c>
      <c r="E20" s="134">
        <f t="shared" si="2"/>
        <v>41678.300000000003</v>
      </c>
      <c r="F20" s="3084">
        <f>'数据-基础表'!K13</f>
        <v>41678.300000000003</v>
      </c>
      <c r="G20" s="3085"/>
      <c r="H20" s="962">
        <f t="shared" ref="H20:H26" si="6">ROUND($D$3*I20/$E$3,2)</f>
        <v>2146.7199999999998</v>
      </c>
      <c r="I20" s="116">
        <f t="shared" ref="I20:I26" si="7">IF($I$17="自定义",P20,M20)</f>
        <v>4168.29</v>
      </c>
      <c r="J20" s="1898"/>
      <c r="K20" s="2452">
        <f t="shared" si="3"/>
        <v>4168.29</v>
      </c>
      <c r="L20" s="273">
        <f t="shared" si="4"/>
        <v>0</v>
      </c>
      <c r="M20" s="2453">
        <f t="shared" ref="M20:M26" si="8">K20+L20</f>
        <v>4168.29</v>
      </c>
      <c r="N20" s="2454"/>
      <c r="O20" s="2455"/>
      <c r="P20" s="2456">
        <f t="shared" ref="P20:P26" si="9">N20+O20</f>
        <v>0</v>
      </c>
      <c r="R20" s="273">
        <f t="shared" si="5"/>
        <v>23611.52</v>
      </c>
      <c r="S20" s="2181">
        <f t="shared" si="5"/>
        <v>45846.590000000004</v>
      </c>
    </row>
    <row r="21" spans="1:19">
      <c r="A21" s="137"/>
      <c r="B21" s="115" t="s">
        <v>226</v>
      </c>
      <c r="C21" s="2737" t="s">
        <v>3047</v>
      </c>
      <c r="D21" s="111">
        <f t="shared" si="1"/>
        <v>18822.77</v>
      </c>
      <c r="E21" s="134">
        <f t="shared" si="2"/>
        <v>36548.259999999995</v>
      </c>
      <c r="F21" s="3084"/>
      <c r="G21" s="3085">
        <f>'数据-基础表'!M13</f>
        <v>36548.259999999995</v>
      </c>
      <c r="H21" s="962">
        <f t="shared" si="6"/>
        <v>1882.48</v>
      </c>
      <c r="I21" s="116">
        <f t="shared" si="7"/>
        <v>3655.23</v>
      </c>
      <c r="J21" s="1898"/>
      <c r="K21" s="2452">
        <f t="shared" si="3"/>
        <v>3655.23</v>
      </c>
      <c r="L21" s="273">
        <f t="shared" si="4"/>
        <v>0</v>
      </c>
      <c r="M21" s="2453">
        <f t="shared" si="8"/>
        <v>3655.23</v>
      </c>
      <c r="N21" s="2454"/>
      <c r="O21" s="2455"/>
      <c r="P21" s="2456">
        <f t="shared" si="9"/>
        <v>0</v>
      </c>
      <c r="R21" s="273">
        <f t="shared" si="5"/>
        <v>20705.25</v>
      </c>
      <c r="S21" s="2181">
        <f t="shared" si="5"/>
        <v>40203.49</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43.5" thickBot="1">
      <c r="A27" s="137"/>
      <c r="B27" s="111"/>
      <c r="C27" s="127" t="s">
        <v>215</v>
      </c>
      <c r="D27" s="134">
        <f>SUM(D19:D26)</f>
        <v>101307.49</v>
      </c>
      <c r="E27" s="141">
        <f>IF(SUM(E19:E26)='数据-基础表'!BA5,SUM(E19:E26),IF(F27="地上面积有误","面积有误","地下面积有误"))</f>
        <v>196709.24</v>
      </c>
      <c r="F27" s="134">
        <f>IF(SUM(F19:F26)=E8,SUM(F19:F26),"地上面积有误")</f>
        <v>160160.98000000001</v>
      </c>
      <c r="G27" s="112">
        <f>SUM(G19:G26)</f>
        <v>36548.259999999995</v>
      </c>
      <c r="H27" s="963">
        <f>SUM(H19:H26)</f>
        <v>10131.869999999999</v>
      </c>
      <c r="I27" s="964">
        <f>SUM(I19:I26)</f>
        <v>19673.099999999999</v>
      </c>
      <c r="J27" s="1898"/>
      <c r="K27" s="2461">
        <f>SUM(K19:K26)</f>
        <v>19673.099999999999</v>
      </c>
      <c r="L27" s="2462">
        <f>SUM(L19:L26)</f>
        <v>0</v>
      </c>
      <c r="M27" s="2463">
        <f>SUM(M19:M26)</f>
        <v>19673.099999999999</v>
      </c>
      <c r="N27" s="2461">
        <f t="shared" ref="N27:O27" si="10">SUM(N19:N26)</f>
        <v>0</v>
      </c>
      <c r="O27" s="2462">
        <f t="shared" si="10"/>
        <v>0</v>
      </c>
      <c r="P27" s="2464">
        <f>SUM(P19:P26)</f>
        <v>0</v>
      </c>
      <c r="R27" s="2185" t="str">
        <f>IF(SUM(R19:R26)=$D$3,SUM(R19:R26),SUM(R19:R26)&amp;"误差"&amp;ROUND(SUM(R19:R26)-$D$3,2))</f>
        <v>111439.36误差-6571.54</v>
      </c>
      <c r="S27" s="273" t="str">
        <f>IF(SUM(S19:S26)=$E$3,SUM(S19:S26),SUM(S19:S26)&amp;"误差"&amp;ROUND(SUM(S19:S26)-E3,2))</f>
        <v>216382.34误差-12760.01</v>
      </c>
    </row>
    <row r="28" spans="1:19">
      <c r="A28" s="137"/>
      <c r="B28" s="115" t="s">
        <v>227</v>
      </c>
      <c r="C28" s="135" t="s">
        <v>228</v>
      </c>
      <c r="D28" s="111">
        <f>ROUND($D$3*E28/$E$3,2)</f>
        <v>10131.870000000001</v>
      </c>
      <c r="E28" s="134">
        <f>SUM(F28:G28)</f>
        <v>19673.11</v>
      </c>
      <c r="F28" s="142">
        <f>'数据-基础表'!BQ5+'数据-基础表'!BS5</f>
        <v>3387.3</v>
      </c>
      <c r="G28" s="143">
        <f>'数据-基础表'!BR5+'数据-基础表'!BT5</f>
        <v>16285.810000000001</v>
      </c>
      <c r="H28" s="3082"/>
      <c r="I28" s="3082"/>
      <c r="J28" s="3082"/>
      <c r="K28" s="3082"/>
      <c r="L28" s="3082"/>
      <c r="M28" s="3082"/>
      <c r="N28" s="3082"/>
      <c r="O28" s="3082"/>
      <c r="P28" s="3082"/>
    </row>
    <row r="29" spans="1:19">
      <c r="A29" s="137"/>
      <c r="B29" s="115" t="s">
        <v>227</v>
      </c>
      <c r="C29" s="2193" t="s">
        <v>2308</v>
      </c>
      <c r="D29" s="111">
        <f>ROUND($D$3*E29/$E$3,2)</f>
        <v>6571.54</v>
      </c>
      <c r="E29" s="134">
        <f>SUM(F29:G29)</f>
        <v>12760</v>
      </c>
      <c r="F29" s="142">
        <f>'数据-基础表'!BM5+'数据-基础表'!BO5</f>
        <v>12760</v>
      </c>
      <c r="G29" s="144">
        <f>'数据-基础表'!BN5+'数据-基础表'!BP5</f>
        <v>0</v>
      </c>
      <c r="H29" s="3082"/>
      <c r="I29" s="3082"/>
      <c r="J29" s="3082"/>
      <c r="K29" s="3082"/>
      <c r="L29" s="3082"/>
      <c r="M29" s="3082"/>
      <c r="N29" s="3082"/>
      <c r="O29" s="3082"/>
      <c r="P29" s="3082"/>
    </row>
    <row r="30" spans="1:19">
      <c r="A30" s="137"/>
      <c r="B30" s="111"/>
      <c r="C30" s="145" t="s">
        <v>215</v>
      </c>
      <c r="D30" s="134">
        <f>SUM(D28:D29)</f>
        <v>16703.41</v>
      </c>
      <c r="E30" s="134">
        <f>SUM(E28:E29)</f>
        <v>32433.11</v>
      </c>
      <c r="F30" s="134">
        <f>SUM(F28:F29)</f>
        <v>16147.3</v>
      </c>
      <c r="G30" s="112">
        <f>SUM(G28:G29)</f>
        <v>16285.810000000001</v>
      </c>
      <c r="H30" s="3082"/>
      <c r="I30" s="3082"/>
      <c r="J30" s="3082"/>
      <c r="K30" s="3082"/>
      <c r="L30" s="3082"/>
      <c r="M30" s="3082"/>
      <c r="N30" s="3082"/>
      <c r="O30" s="3082"/>
      <c r="P30" s="3082"/>
    </row>
    <row r="31" spans="1:19" ht="32.25" customHeight="1" thickBot="1">
      <c r="A31" s="1321"/>
      <c r="B31" s="1322" t="s">
        <v>229</v>
      </c>
      <c r="C31" s="2210" t="s">
        <v>2310</v>
      </c>
      <c r="D31" s="1323">
        <f>D27+D30</f>
        <v>118010.90000000001</v>
      </c>
      <c r="E31" s="1323">
        <f>E27+E30</f>
        <v>229142.34999999998</v>
      </c>
      <c r="F31" s="1324">
        <f>F27+F30</f>
        <v>176308.28</v>
      </c>
      <c r="G31" s="1325">
        <f>G27+G30</f>
        <v>52834.069999999992</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I6" activePane="bottomRight" state="frozen"/>
      <selection pane="topRight" activeCell="D1" sqref="D1"/>
      <selection pane="bottomLeft" activeCell="A4" sqref="A4"/>
      <selection pane="bottomRight" activeCell="AO22" sqref="AO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44468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高层</v>
      </c>
      <c r="B6" s="2217" t="str">
        <f>IF(A6=0,"","经营性")</f>
        <v>经营性</v>
      </c>
      <c r="C6" s="171" t="s">
        <v>914</v>
      </c>
      <c r="D6" s="2188">
        <f>SUMIF(项目基本情况!D$15:I$15,C6,项目基本情况!D$18:I$18)</f>
        <v>70</v>
      </c>
      <c r="E6" s="2189">
        <f>IF(B6="","",SUMIF(项目基本情况!D$15:I$15,C6,项目基本情况!D$17:I$17))</f>
        <v>67082</v>
      </c>
      <c r="F6" s="172">
        <f>SUMIF(项目基本情况!D$15:I$15,C6,项目基本情况!D$19:I$19)</f>
        <v>61.95</v>
      </c>
      <c r="G6" s="173">
        <f>IF(ISERROR(ROUND(POWER(1+H6,D6-F6)*(POWER(1+H6,F6)-1)/(POWER(1+H6,D6)-1),3)),0,ROUND(POWER(1+H6,D6-F6)*(POWER(1+H6,F6)-1)/(POWER(1+H6,D6)-1),3))</f>
        <v>0.98</v>
      </c>
      <c r="H6" s="2738">
        <v>4.4999999999999998E-2</v>
      </c>
      <c r="I6" s="2738">
        <v>0.05</v>
      </c>
      <c r="J6" s="174">
        <v>7.0000000000000007E-2</v>
      </c>
      <c r="K6" s="177">
        <f>SUMIF('数据-汇总表'!C$19:C$33,'数据-取费表'!A6,'数据-汇总表'!E$19:E$33)</f>
        <v>118482.68000000001</v>
      </c>
      <c r="L6" s="2739">
        <v>2300</v>
      </c>
      <c r="M6" s="175">
        <f t="shared" ref="M6:M14" si="0">ROUND(K6*L6/10000,0)</f>
        <v>27251</v>
      </c>
      <c r="N6" s="2740">
        <v>0</v>
      </c>
      <c r="O6" s="175">
        <f>IF($N$5="成新度","——",ROUND(M6*N6,0))</f>
        <v>0</v>
      </c>
      <c r="P6" s="176">
        <f>IF($N$5="成新度","——",M6-O6)</f>
        <v>27251</v>
      </c>
      <c r="Q6" s="2741">
        <v>0.08</v>
      </c>
      <c r="R6" s="177">
        <f>SUMIF('数据-汇总表'!C$19:C$33,A6,'数据-汇总表'!R$19:R$33)</f>
        <v>67122.59</v>
      </c>
      <c r="S6" s="132">
        <f>IF('数据-汇总表'!$I$17="按面积比例",SUMIF('数据-汇总表'!C$19:C$33,A6,'数据-汇总表'!K$19:K$33),SUMIF('数据-汇总表'!C$19:C$33,A6,'数据-汇总表'!N$19:N$33))</f>
        <v>11849.58</v>
      </c>
      <c r="T6" s="2114">
        <f>IF($T$4="按面积比例",IF(ISERROR(ROUND($M$14*S6/S$16,0)),"0",ROUND($M$14*S6/S$16,0)),"需自行计算录入")</f>
        <v>2133</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0.93500000000000005</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别墅</v>
      </c>
      <c r="B7" s="2217" t="str">
        <f t="shared" ref="B7:B13" si="1">IF(A7=0,"","经营性")</f>
        <v>经营性</v>
      </c>
      <c r="C7" s="171" t="s">
        <v>914</v>
      </c>
      <c r="D7" s="2188">
        <f>SUMIF(项目基本情况!D$15:I$15,C7,项目基本情况!D$18:I$18)</f>
        <v>70</v>
      </c>
      <c r="E7" s="2189">
        <f>IF(B7="","",SUMIF(项目基本情况!D$15:I$15,C7,项目基本情况!D$17:I$17))</f>
        <v>67082</v>
      </c>
      <c r="F7" s="172">
        <f>SUMIF(项目基本情况!D$15:I$15,C7,项目基本情况!D$19:I$19)</f>
        <v>61.95</v>
      </c>
      <c r="G7" s="173">
        <f t="shared" ref="G7:G11" si="2">IF(ISERROR(ROUND(POWER(1+H7,D7-F7)*(POWER(1+H7,F7)-1)/(POWER(1+H7,D7)-1),3)),0,ROUND(POWER(1+H7,D7-F7)*(POWER(1+H7,F7)-1)/(POWER(1+H7,D7)-1),3))</f>
        <v>0.98</v>
      </c>
      <c r="H7" s="2738">
        <v>4.4999999999999998E-2</v>
      </c>
      <c r="I7" s="2738">
        <v>0.05</v>
      </c>
      <c r="J7" s="174">
        <v>7.0000000000000007E-2</v>
      </c>
      <c r="K7" s="177">
        <f>SUMIF('数据-汇总表'!C$19:C$33,'数据-取费表'!A7,'数据-汇总表'!E$19:E$33)</f>
        <v>41678.300000000003</v>
      </c>
      <c r="L7" s="2739">
        <v>2500</v>
      </c>
      <c r="M7" s="175">
        <f t="shared" si="0"/>
        <v>10420</v>
      </c>
      <c r="N7" s="2740">
        <v>0</v>
      </c>
      <c r="O7" s="175">
        <f t="shared" ref="O7:O14" si="3">IF($N$5="成新度","——",ROUND(M7*N7,0))</f>
        <v>0</v>
      </c>
      <c r="P7" s="176">
        <f t="shared" ref="P7:P14" si="4">IF($N$5="成新度","——",M7-O7)</f>
        <v>10420</v>
      </c>
      <c r="Q7" s="2741">
        <v>0.1</v>
      </c>
      <c r="R7" s="177">
        <f>SUMIF('数据-汇总表'!C$19:C$33,A7,'数据-汇总表'!R$19:R$33)</f>
        <v>23611.52</v>
      </c>
      <c r="S7" s="132">
        <f>IF('数据-汇总表'!$I$17="按面积比例",SUMIF('数据-汇总表'!C$19:C$33,A7,'数据-汇总表'!K$19:K$33),SUMIF('数据-汇总表'!C$19:C$33,A7,'数据-汇总表'!N$19:N$33))</f>
        <v>4168.29</v>
      </c>
      <c r="T7" s="2114">
        <f t="shared" ref="T7:T13" si="5">IF($T$4="按面积比例",IF(ISERROR(ROUND($M$14*S7/S$16,0)),"0",ROUND($M$14*S7/S$16,0)),"需自行计算录入")</f>
        <v>750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0.93500000000000005</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车库</v>
      </c>
      <c r="B8" s="2217" t="str">
        <f t="shared" si="1"/>
        <v>经营性</v>
      </c>
      <c r="C8" s="171" t="s">
        <v>3043</v>
      </c>
      <c r="D8" s="2188">
        <f>SUMIF(项目基本情况!D$15:I$15,C8,项目基本情况!D$18:I$18)</f>
        <v>50</v>
      </c>
      <c r="E8" s="2189">
        <f>IF(B8="","",SUMIF(项目基本情况!D$15:I$15,C8,项目基本情况!D$17:I$17))</f>
        <v>59777</v>
      </c>
      <c r="F8" s="172">
        <f>SUMIF(项目基本情况!D$15:I$15,C8,项目基本情况!D$19:I$19)</f>
        <v>41.94</v>
      </c>
      <c r="G8" s="173">
        <f t="shared" si="2"/>
        <v>0</v>
      </c>
      <c r="H8" s="2738"/>
      <c r="I8" s="2738">
        <v>0.05</v>
      </c>
      <c r="J8" s="174">
        <v>7.0000000000000007E-2</v>
      </c>
      <c r="K8" s="177">
        <f>SUMIF('数据-汇总表'!C$19:C$33,'数据-取费表'!A8,'数据-汇总表'!E$19:E$33)</f>
        <v>36548.259999999995</v>
      </c>
      <c r="L8" s="2739">
        <v>1800</v>
      </c>
      <c r="M8" s="175">
        <f>ROUND(K8*L8/10000,0)</f>
        <v>6579</v>
      </c>
      <c r="N8" s="2740">
        <v>0</v>
      </c>
      <c r="O8" s="175">
        <f t="shared" si="3"/>
        <v>0</v>
      </c>
      <c r="P8" s="176">
        <f t="shared" si="4"/>
        <v>6579</v>
      </c>
      <c r="Q8" s="2741">
        <v>0.03</v>
      </c>
      <c r="R8" s="177">
        <f>SUMIF('数据-汇总表'!C$19:C$33,A8,'数据-汇总表'!R$19:R$33)</f>
        <v>20705.25</v>
      </c>
      <c r="S8" s="132">
        <f>IF('数据-汇总表'!$I$17="按面积比例",SUMIF('数据-汇总表'!C$19:C$33,A8,'数据-汇总表'!K$19:K$33),SUMIF('数据-汇总表'!C$19:C$33,A8,'数据-汇总表'!N$19:N$33))</f>
        <v>3655.23</v>
      </c>
      <c r="T8" s="2114">
        <f t="shared" si="5"/>
        <v>658</v>
      </c>
      <c r="U8" s="178">
        <v>0.5</v>
      </c>
      <c r="V8" s="179">
        <v>0.02</v>
      </c>
      <c r="W8" s="179">
        <v>0.1</v>
      </c>
      <c r="X8" s="2201"/>
      <c r="Y8" s="180">
        <v>1</v>
      </c>
      <c r="Z8" s="181"/>
      <c r="AA8" s="174"/>
      <c r="AB8" s="174"/>
      <c r="AC8" s="2204"/>
      <c r="AD8" s="182"/>
      <c r="AE8" s="960">
        <f t="shared" ca="1" si="6"/>
        <v>39.94</v>
      </c>
      <c r="AF8" s="139"/>
      <c r="AG8" s="1196">
        <f t="shared" si="7"/>
        <v>0</v>
      </c>
      <c r="AH8" s="139"/>
      <c r="AI8" s="185">
        <v>365</v>
      </c>
      <c r="AJ8" s="186"/>
      <c r="AK8" s="187">
        <v>1.4999999999999999E-2</v>
      </c>
      <c r="AL8" s="188">
        <v>1.5E-3</v>
      </c>
      <c r="AM8" s="2245">
        <v>0.02</v>
      </c>
      <c r="AN8" s="2247" t="s">
        <v>3108</v>
      </c>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19673.11</v>
      </c>
      <c r="L14" s="191">
        <v>1800</v>
      </c>
      <c r="M14" s="175">
        <f t="shared" si="0"/>
        <v>3541</v>
      </c>
      <c r="N14" s="192">
        <v>0</v>
      </c>
      <c r="O14" s="175">
        <f t="shared" si="3"/>
        <v>0</v>
      </c>
      <c r="P14" s="176">
        <f t="shared" si="4"/>
        <v>3541</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12760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v>
      </c>
      <c r="H16" s="201">
        <f>ROUND(SUMPRODUCT(H6:H13,K6:K13)/SUMPRODUCT((H6:H13&gt;0)*(K6:K13)),3)</f>
        <v>4.4999999999999998E-2</v>
      </c>
      <c r="I16" s="202"/>
      <c r="J16" s="202"/>
      <c r="K16" s="203">
        <f>SUM(K6:K15)</f>
        <v>229142.34999999998</v>
      </c>
      <c r="L16" s="204">
        <f>ROUND(M16*10000/SUM(K6:K14),0)</f>
        <v>2209</v>
      </c>
      <c r="M16" s="204">
        <f>SUM(M6:M14)</f>
        <v>47791</v>
      </c>
      <c r="N16" s="205">
        <f>ROUND(SUMPRODUCT(M6:M14,N6:N14)/M16,3)</f>
        <v>0</v>
      </c>
      <c r="O16" s="204">
        <f>SUM(O6:O14)</f>
        <v>0</v>
      </c>
      <c r="P16" s="204">
        <f>SUM(P6:P14)</f>
        <v>47791</v>
      </c>
      <c r="Q16" s="206">
        <f>ROUND(SUMPRODUCT(Q6:Q13,K6:K13)/SUMPRODUCT((Q6:Q13&gt;0)*(K6:K13)),2)</f>
        <v>7.0000000000000007E-2</v>
      </c>
      <c r="R16" s="2191">
        <f>SUM(R6:R13)</f>
        <v>111439.36</v>
      </c>
      <c r="S16" s="207">
        <f>SUM(S6:S13)</f>
        <v>19673.099999999999</v>
      </c>
      <c r="T16" s="208">
        <f>IF(SUMIF(T6:T13,"&lt;9E307")=M14,SUMIF(T6:T13,"&lt;9E307"),"有误，请检查")</f>
        <v>3541</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0.93500000000000005</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180</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180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27.75" thickBot="1">
      <c r="A40" s="3279" t="s">
        <v>3048</v>
      </c>
      <c r="B40" s="2334">
        <f ca="1">IF(A40="利息：取LPR",存贷款利率!E2,存贷款利率!E2+C40)</f>
        <v>4.3499999999999997E-2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5.5500000000000008E-2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5.5000000000000014E-3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5.0000000000000001E-4</v>
      </c>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1402</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25</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20</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15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10</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5</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v>1</v>
      </c>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6" t="s">
        <v>1654</v>
      </c>
      <c r="B1" s="3397"/>
      <c r="C1" s="3397"/>
      <c r="D1" s="3397"/>
      <c r="E1" s="3397"/>
      <c r="F1" s="3397"/>
      <c r="G1" s="339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5" sqref="H5"/>
    </sheetView>
  </sheetViews>
  <sheetFormatPr defaultColWidth="14.625" defaultRowHeight="13.5"/>
  <cols>
    <col min="1" max="1" width="24.375" style="3186" customWidth="1"/>
    <col min="2" max="16384" width="14.625" style="3186"/>
  </cols>
  <sheetData>
    <row r="1" spans="1:10" ht="16.5">
      <c r="A1" s="3185" t="s">
        <v>2823</v>
      </c>
      <c r="B1" s="3185">
        <f>SUM(B14:B23)</f>
        <v>551843.03999999992</v>
      </c>
      <c r="C1" s="3194"/>
      <c r="D1" s="3194"/>
      <c r="E1" s="3194"/>
      <c r="F1" s="3194"/>
      <c r="G1" s="3195"/>
      <c r="H1" s="3195"/>
      <c r="I1" s="3195"/>
      <c r="J1" s="3195"/>
    </row>
    <row r="2" spans="1:10" ht="16.5">
      <c r="A2" s="3185" t="s">
        <v>2824</v>
      </c>
      <c r="B2" s="3185">
        <f>SUM(C14:C23)</f>
        <v>280929.69999999995</v>
      </c>
      <c r="C2" s="3194"/>
      <c r="D2" s="3194"/>
      <c r="E2" s="3194"/>
      <c r="F2" s="3194"/>
      <c r="G2" s="3195"/>
      <c r="H2" s="3195"/>
      <c r="I2" s="3195"/>
      <c r="J2" s="3195"/>
    </row>
    <row r="3" spans="1:10" ht="16.5">
      <c r="A3" s="3185" t="s">
        <v>2825</v>
      </c>
      <c r="B3" s="3187">
        <f>项目基本情况!D3</f>
        <v>44468</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116713</v>
      </c>
      <c r="C5" s="3185">
        <f ca="1">ROUND(B5*10000/$B$1,0)</f>
        <v>2115</v>
      </c>
      <c r="D5" s="3185">
        <f ca="1">ROUND(B5*10000/$B$2,0)</f>
        <v>4155</v>
      </c>
      <c r="E5" s="3194"/>
      <c r="F5" s="3194"/>
      <c r="G5" s="3195"/>
      <c r="H5" s="3195"/>
      <c r="I5" s="3195"/>
      <c r="J5" s="3195"/>
    </row>
    <row r="6" spans="1:10" ht="16.5">
      <c r="A6" s="3185" t="s">
        <v>2831</v>
      </c>
      <c r="B6" s="3185">
        <f ca="1">SUM(G14:G23)</f>
        <v>116713</v>
      </c>
      <c r="C6" s="3185">
        <f t="shared" ref="C6:C8" ca="1" si="0">ROUND(B6*10000/$B$1,0)</f>
        <v>2115</v>
      </c>
      <c r="D6" s="3185">
        <f t="shared" ref="D6:D8" ca="1" si="1">ROUND(B6*10000/$B$2,0)</f>
        <v>4155</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229142.34999999998</v>
      </c>
      <c r="C14" s="3191">
        <f>结果表!K38</f>
        <v>118010.9</v>
      </c>
      <c r="D14" s="3191">
        <f ca="1">结果表!C42</f>
        <v>46494</v>
      </c>
      <c r="E14" s="3191">
        <f ca="1">ROUND(D14*10000/B14,0)</f>
        <v>2029</v>
      </c>
      <c r="F14" s="3191">
        <f ca="1">ROUND(D14*10000/C14,0)</f>
        <v>3940</v>
      </c>
      <c r="G14" s="3191">
        <f ca="1">结果表!C44</f>
        <v>46494</v>
      </c>
      <c r="H14" s="3191" t="str">
        <f>结果表!C45</f>
        <v>——</v>
      </c>
      <c r="I14" s="3191" t="str">
        <f>结果表!C46</f>
        <v>——</v>
      </c>
      <c r="J14" s="3195">
        <f ca="1">D14*10000/'数据-汇总表'!F27</f>
        <v>2902.9542651399856</v>
      </c>
    </row>
    <row r="15" spans="1:10" ht="16.5">
      <c r="A15" s="3190" t="s">
        <v>2840</v>
      </c>
      <c r="B15" s="3192">
        <f>[1]系统读取表!$B$14</f>
        <v>322700.68999999994</v>
      </c>
      <c r="C15" s="3192">
        <f>[1]系统读取表!$C$14</f>
        <v>162918.79999999999</v>
      </c>
      <c r="D15" s="3192">
        <f>[2]系统读取表!$D$14</f>
        <v>70219</v>
      </c>
      <c r="E15" s="3191">
        <f t="shared" ref="E15:E23" si="2">ROUND(D15*10000/B15,0)</f>
        <v>2176</v>
      </c>
      <c r="F15" s="3191">
        <f t="shared" ref="F15:F23" si="3">ROUND(D15*10000/C15,0)</f>
        <v>4310</v>
      </c>
      <c r="G15" s="2757">
        <f>D15</f>
        <v>70219</v>
      </c>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 zoomScale="130" zoomScaleNormal="100" zoomScaleSheetLayoutView="130" zoomScalePageLayoutView="80" workbookViewId="0">
      <selection activeCell="K18" sqref="K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2" t="str">
        <f>项目基本情况!K2</f>
        <v>出让国有建设用地使用权</v>
      </c>
      <c r="B2" s="3443"/>
      <c r="C2" s="3444"/>
      <c r="D2" s="3444"/>
      <c r="E2" s="3444"/>
      <c r="F2" s="3444"/>
      <c r="G2" s="3443"/>
      <c r="H2" s="3443"/>
      <c r="I2" s="3445"/>
      <c r="J2" s="1913"/>
      <c r="K2" s="1912"/>
      <c r="L2" s="1912"/>
      <c r="M2" s="1912"/>
      <c r="N2" s="1912"/>
      <c r="O2" s="1912"/>
      <c r="P2" s="1912"/>
      <c r="Q2" s="1912"/>
      <c r="R2" s="1912"/>
      <c r="S2" s="1912"/>
      <c r="T2" s="1912"/>
      <c r="U2" s="1912"/>
      <c r="V2" s="1912"/>
    </row>
    <row r="3" spans="1:22" ht="14.25">
      <c r="A3" s="3435" t="s">
        <v>298</v>
      </c>
      <c r="B3" s="3436"/>
      <c r="C3" s="3436"/>
      <c r="D3" s="3436"/>
      <c r="E3" s="3436"/>
      <c r="F3" s="3436"/>
      <c r="G3" s="3436"/>
      <c r="H3" s="3436"/>
      <c r="I3" s="3436"/>
      <c r="J3" s="1913"/>
      <c r="K3" s="1912"/>
      <c r="L3" s="1912"/>
      <c r="M3" s="1912"/>
      <c r="N3" s="1912"/>
      <c r="O3" s="1912"/>
      <c r="P3" s="1912"/>
      <c r="Q3" s="1912"/>
      <c r="R3" s="1912"/>
      <c r="S3" s="1912"/>
      <c r="T3" s="1912"/>
      <c r="U3" s="1912"/>
      <c r="V3" s="1912"/>
    </row>
    <row r="4" spans="1:22" ht="14.25">
      <c r="A4" s="256" t="s">
        <v>299</v>
      </c>
      <c r="B4" s="257" t="s">
        <v>300</v>
      </c>
      <c r="C4" s="258" t="s">
        <v>3121</v>
      </c>
      <c r="D4" s="258" t="s">
        <v>3122</v>
      </c>
      <c r="E4" s="3401" t="s">
        <v>301</v>
      </c>
      <c r="F4" s="3402"/>
      <c r="G4" s="3402"/>
      <c r="H4" s="3402"/>
      <c r="I4" s="3437"/>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00" t="s">
        <v>302</v>
      </c>
      <c r="B5" s="3429">
        <v>25</v>
      </c>
      <c r="C5" s="3427"/>
      <c r="D5" s="3431"/>
      <c r="E5" s="259" t="s">
        <v>303</v>
      </c>
      <c r="F5" s="260"/>
      <c r="G5" s="260"/>
      <c r="H5" s="260"/>
      <c r="I5" s="261"/>
      <c r="J5" s="1913"/>
      <c r="K5" s="1912"/>
      <c r="L5" s="1912"/>
      <c r="M5" s="1912"/>
      <c r="N5" s="1912"/>
      <c r="O5" s="1912"/>
      <c r="P5" s="1912"/>
      <c r="Q5" s="1912"/>
      <c r="R5" s="1912"/>
      <c r="S5" s="1912"/>
      <c r="T5" s="1912"/>
      <c r="U5" s="1912"/>
      <c r="V5" s="1912"/>
    </row>
    <row r="6" spans="1:22" ht="14.25">
      <c r="A6" s="3400"/>
      <c r="B6" s="3429"/>
      <c r="C6" s="3430"/>
      <c r="D6" s="3431"/>
      <c r="E6" s="259" t="s">
        <v>304</v>
      </c>
      <c r="F6" s="260"/>
      <c r="G6" s="260"/>
      <c r="H6" s="260"/>
      <c r="I6" s="261"/>
      <c r="J6" s="1913"/>
      <c r="K6" s="1912"/>
      <c r="L6" s="1912"/>
      <c r="M6" s="1912"/>
      <c r="N6" s="1912"/>
      <c r="O6" s="1912"/>
      <c r="P6" s="1912"/>
      <c r="Q6" s="1912"/>
      <c r="R6" s="1912"/>
      <c r="S6" s="1912"/>
      <c r="T6" s="1912"/>
      <c r="U6" s="1912"/>
      <c r="V6" s="1912"/>
    </row>
    <row r="7" spans="1:22" ht="14.25">
      <c r="A7" s="3400"/>
      <c r="B7" s="3429"/>
      <c r="C7" s="3428"/>
      <c r="D7" s="3431"/>
      <c r="E7" s="259" t="s">
        <v>305</v>
      </c>
      <c r="F7" s="260"/>
      <c r="G7" s="260"/>
      <c r="H7" s="260"/>
      <c r="I7" s="261"/>
      <c r="J7" s="1913"/>
      <c r="K7" s="1912"/>
      <c r="L7" s="1912"/>
      <c r="M7" s="1912"/>
      <c r="N7" s="1912"/>
      <c r="O7" s="1912"/>
      <c r="P7" s="1912"/>
      <c r="Q7" s="1912"/>
      <c r="R7" s="1912"/>
      <c r="S7" s="1912"/>
      <c r="T7" s="1912"/>
      <c r="U7" s="1912"/>
      <c r="V7" s="1912"/>
    </row>
    <row r="8" spans="1:22" ht="14.25">
      <c r="A8" s="3400" t="s">
        <v>306</v>
      </c>
      <c r="B8" s="3429">
        <v>15</v>
      </c>
      <c r="C8" s="3427"/>
      <c r="D8" s="3431"/>
      <c r="E8" s="259" t="s">
        <v>307</v>
      </c>
      <c r="F8" s="260"/>
      <c r="G8" s="260"/>
      <c r="H8" s="260"/>
      <c r="I8" s="261"/>
      <c r="J8" s="1913"/>
      <c r="K8" s="1912"/>
      <c r="L8" s="1912"/>
      <c r="M8" s="1912"/>
      <c r="N8" s="1912"/>
      <c r="O8" s="1912"/>
      <c r="P8" s="1912"/>
      <c r="Q8" s="1912"/>
      <c r="R8" s="1912"/>
      <c r="S8" s="1912"/>
      <c r="T8" s="1912"/>
      <c r="U8" s="1912"/>
      <c r="V8" s="1912"/>
    </row>
    <row r="9" spans="1:22" ht="14.25">
      <c r="A9" s="3400"/>
      <c r="B9" s="3429"/>
      <c r="C9" s="3428"/>
      <c r="D9" s="3431"/>
      <c r="E9" s="259" t="s">
        <v>308</v>
      </c>
      <c r="F9" s="260"/>
      <c r="G9" s="260"/>
      <c r="H9" s="260"/>
      <c r="I9" s="261"/>
      <c r="J9" s="1913"/>
      <c r="K9" s="1912"/>
      <c r="L9" s="1912"/>
      <c r="M9" s="1912"/>
      <c r="N9" s="1912"/>
      <c r="O9" s="1912"/>
      <c r="P9" s="1912"/>
      <c r="Q9" s="1912"/>
      <c r="R9" s="1912"/>
      <c r="S9" s="1912"/>
      <c r="T9" s="1912"/>
      <c r="U9" s="1912"/>
      <c r="V9" s="1912"/>
    </row>
    <row r="10" spans="1:22" ht="14.25">
      <c r="A10" s="3400" t="s">
        <v>309</v>
      </c>
      <c r="B10" s="3429">
        <v>15</v>
      </c>
      <c r="C10" s="3427"/>
      <c r="D10" s="3431"/>
      <c r="E10" s="259" t="s">
        <v>310</v>
      </c>
      <c r="F10" s="260"/>
      <c r="G10" s="260"/>
      <c r="H10" s="260"/>
      <c r="I10" s="261"/>
      <c r="J10" s="1913"/>
      <c r="K10" s="1912"/>
      <c r="L10" s="1912"/>
      <c r="M10" s="1912"/>
      <c r="N10" s="1912"/>
      <c r="O10" s="1912"/>
      <c r="P10" s="1912"/>
      <c r="Q10" s="1912"/>
      <c r="R10" s="1912"/>
      <c r="S10" s="1912"/>
      <c r="T10" s="1912"/>
      <c r="U10" s="1912"/>
      <c r="V10" s="1912"/>
    </row>
    <row r="11" spans="1:22" ht="14.25">
      <c r="A11" s="3400"/>
      <c r="B11" s="3429"/>
      <c r="C11" s="3428"/>
      <c r="D11" s="3431"/>
      <c r="E11" s="259" t="s">
        <v>311</v>
      </c>
      <c r="F11" s="260"/>
      <c r="G11" s="260"/>
      <c r="H11" s="260"/>
      <c r="I11" s="261"/>
      <c r="J11" s="1913"/>
      <c r="K11" s="1912"/>
      <c r="L11" s="1912"/>
      <c r="M11" s="1912"/>
      <c r="N11" s="1912"/>
      <c r="O11" s="1912"/>
      <c r="P11" s="1912"/>
      <c r="Q11" s="1912"/>
      <c r="R11" s="1912"/>
      <c r="S11" s="1912"/>
      <c r="T11" s="1912"/>
      <c r="U11" s="1912"/>
      <c r="V11" s="1912"/>
    </row>
    <row r="12" spans="1:22" ht="14.25">
      <c r="A12" s="3400" t="s">
        <v>312</v>
      </c>
      <c r="B12" s="3429">
        <v>15</v>
      </c>
      <c r="C12" s="3427"/>
      <c r="D12" s="3431"/>
      <c r="E12" s="259" t="s">
        <v>313</v>
      </c>
      <c r="F12" s="260"/>
      <c r="G12" s="260"/>
      <c r="H12" s="260"/>
      <c r="I12" s="261"/>
      <c r="J12" s="1913"/>
      <c r="K12" s="1912"/>
      <c r="L12" s="1912"/>
      <c r="M12" s="1912"/>
      <c r="N12" s="1912"/>
      <c r="O12" s="1912"/>
      <c r="P12" s="1912"/>
      <c r="Q12" s="1912"/>
      <c r="R12" s="1912"/>
      <c r="S12" s="1912"/>
      <c r="T12" s="1912"/>
      <c r="U12" s="1912"/>
      <c r="V12" s="1912"/>
    </row>
    <row r="13" spans="1:22" ht="14.25">
      <c r="A13" s="3400"/>
      <c r="B13" s="3429"/>
      <c r="C13" s="3428"/>
      <c r="D13" s="3431"/>
      <c r="E13" s="259" t="s">
        <v>314</v>
      </c>
      <c r="F13" s="260"/>
      <c r="G13" s="260"/>
      <c r="H13" s="260"/>
      <c r="I13" s="261"/>
      <c r="J13" s="1913"/>
      <c r="K13" s="1912"/>
      <c r="L13" s="1912"/>
      <c r="M13" s="1912"/>
      <c r="N13" s="1912"/>
      <c r="O13" s="1912"/>
      <c r="P13" s="1912"/>
      <c r="Q13" s="1912"/>
      <c r="R13" s="1912"/>
      <c r="S13" s="1912"/>
      <c r="T13" s="1912"/>
      <c r="U13" s="1912"/>
      <c r="V13" s="1912"/>
    </row>
    <row r="14" spans="1:22" ht="14.25">
      <c r="A14" s="3400" t="s">
        <v>315</v>
      </c>
      <c r="B14" s="3429">
        <v>30</v>
      </c>
      <c r="C14" s="3427">
        <v>5</v>
      </c>
      <c r="D14" s="3431">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00"/>
      <c r="B15" s="3429"/>
      <c r="C15" s="3430"/>
      <c r="D15" s="3431"/>
      <c r="E15" s="259" t="s">
        <v>317</v>
      </c>
      <c r="F15" s="260"/>
      <c r="G15" s="260"/>
      <c r="H15" s="260"/>
      <c r="I15" s="261"/>
      <c r="J15" s="1913"/>
      <c r="K15" s="1912"/>
      <c r="L15" s="1912"/>
      <c r="M15" s="1912"/>
      <c r="N15" s="1912"/>
      <c r="O15" s="1912"/>
      <c r="P15" s="1912"/>
      <c r="Q15" s="1912"/>
      <c r="R15" s="1912"/>
      <c r="S15" s="1912"/>
      <c r="T15" s="1912"/>
      <c r="U15" s="1912"/>
      <c r="V15" s="1912"/>
    </row>
    <row r="16" spans="1:22" ht="14.25">
      <c r="A16" s="3400"/>
      <c r="B16" s="3429"/>
      <c r="C16" s="3428"/>
      <c r="D16" s="343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32" t="s">
        <v>2964</v>
      </c>
      <c r="F18" s="3433"/>
      <c r="G18" s="3433"/>
      <c r="H18" s="3433"/>
      <c r="I18" s="343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50259</v>
      </c>
      <c r="D19" s="269">
        <f ca="1">SUMIF(INDIRECT("'"&amp;D4&amp;"'"&amp;"!A:A"),结果表!B19,INDIRECT("'"&amp;D4&amp;"'"&amp;"!B:B"))</f>
        <v>42729</v>
      </c>
      <c r="E19" s="266" t="s">
        <v>323</v>
      </c>
      <c r="F19" s="267" t="s">
        <v>322</v>
      </c>
      <c r="G19" s="270">
        <f ca="1">ROUND(C19*$C$18+D19*$D$18,0)</f>
        <v>46494</v>
      </c>
      <c r="H19" s="271" t="s">
        <v>324</v>
      </c>
      <c r="I19" s="309"/>
      <c r="J19" s="1912"/>
      <c r="K19" s="1912">
        <f ca="1">G19/'数据-汇总表'!F31</f>
        <v>0.26370854505528613</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2193</v>
      </c>
      <c r="D20" s="275">
        <f ca="1">SUMIF(INDIRECT("'"&amp;D4&amp;"'"&amp;"!A:A"),结果表!B20,INDIRECT("'"&amp;D4&amp;"'"&amp;"!B:B"))</f>
        <v>1865</v>
      </c>
      <c r="E20" s="272"/>
      <c r="F20" s="273" t="s">
        <v>325</v>
      </c>
      <c r="G20" s="276">
        <f ca="1">ROUND(C20*$C$18+D20*$D$18,0)</f>
        <v>2029</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4259</v>
      </c>
      <c r="D21" s="149">
        <f ca="1">SUMIF(INDIRECT("'"&amp;D4&amp;"'"&amp;"!A:A"),结果表!B21,INDIRECT("'"&amp;D4&amp;"'"&amp;"!B:B"))</f>
        <v>3621</v>
      </c>
      <c r="E21" s="272"/>
      <c r="F21" s="278" t="s">
        <v>327</v>
      </c>
      <c r="G21" s="280">
        <f ca="1">ROUND(C21*$C$18+D21*$D$18,0)</f>
        <v>3940</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0.17622691848627392</v>
      </c>
      <c r="E22" s="282"/>
      <c r="F22" s="283"/>
      <c r="G22" s="284">
        <f ca="1">ROUND(G19/('数据-汇总表'!D3/666.67),0)</f>
        <v>263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7"/>
      <c r="B25" s="1275" t="s">
        <v>331</v>
      </c>
      <c r="C25" s="288">
        <f>IF(B30=0,0,C30)</f>
        <v>0</v>
      </c>
      <c r="D25" s="289"/>
      <c r="E25" s="309"/>
      <c r="F25" s="309"/>
      <c r="G25" s="309"/>
      <c r="H25" s="309"/>
      <c r="I25" s="309"/>
      <c r="J25" s="1912"/>
      <c r="K25" s="1209" t="str">
        <f ca="1">项目基本情况!B16&amp;"国有建设用地使用权价格："&amp;O38&amp;"万元"</f>
        <v>出让国有建设用地使用权价格：46494万元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大写金额：人民币肆亿陆仟肆佰玖拾肆万元整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单位面积地价：3940元/平方米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楼面地价：2029元/平方米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抵押价格：46494万元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大写金额：人民币肆亿陆仟肆佰玖拾肆万元整</v>
      </c>
      <c r="L30" s="1206"/>
      <c r="M30" s="1206"/>
      <c r="N30" s="1206"/>
      <c r="O30" s="1205"/>
      <c r="P30" s="1912"/>
      <c r="V30" s="1912"/>
    </row>
    <row r="31" spans="1:26" ht="24" customHeight="1" thickBot="1">
      <c r="A31" s="3434" t="s">
        <v>2966</v>
      </c>
      <c r="B31" s="3434"/>
      <c r="C31" s="3434"/>
      <c r="D31" s="3434"/>
      <c r="E31" s="3434"/>
      <c r="F31" s="3434"/>
      <c r="G31" s="3434"/>
      <c r="H31" s="3434"/>
      <c r="I31" s="343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46494</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2029</v>
      </c>
      <c r="D33" s="1334" t="s">
        <v>1682</v>
      </c>
      <c r="E33" s="3406"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3940</v>
      </c>
      <c r="D34" s="1336" t="s">
        <v>1682</v>
      </c>
      <c r="E34" s="345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263</v>
      </c>
      <c r="D35" s="1339" t="s">
        <v>1684</v>
      </c>
      <c r="E35" s="3451"/>
      <c r="F35" s="299" t="s">
        <v>342</v>
      </c>
      <c r="G35" s="970"/>
      <c r="H35" s="969" t="s">
        <v>343</v>
      </c>
      <c r="I35" s="309"/>
      <c r="J35" s="1912"/>
      <c r="K35" s="3424" t="s">
        <v>350</v>
      </c>
      <c r="L35" s="3424" t="s">
        <v>351</v>
      </c>
      <c r="M35" s="1218" t="s">
        <v>352</v>
      </c>
      <c r="N35" s="3424" t="s">
        <v>353</v>
      </c>
      <c r="O35" s="3424" t="s">
        <v>354</v>
      </c>
      <c r="P35" s="1912"/>
      <c r="V35" s="1912"/>
    </row>
    <row r="36" spans="1:26" ht="16.5" customHeight="1">
      <c r="A36" s="301" t="s">
        <v>344</v>
      </c>
      <c r="B36" s="302" t="s">
        <v>333</v>
      </c>
      <c r="C36" s="303" t="s">
        <v>345</v>
      </c>
      <c r="D36" s="303" t="s">
        <v>346</v>
      </c>
      <c r="E36" s="304" t="s">
        <v>347</v>
      </c>
      <c r="F36" s="309"/>
      <c r="G36" s="309"/>
      <c r="H36" s="309"/>
      <c r="I36" s="309"/>
      <c r="J36" s="1914"/>
      <c r="K36" s="3425"/>
      <c r="L36" s="3425"/>
      <c r="M36" s="1220" t="s">
        <v>355</v>
      </c>
      <c r="N36" s="3425"/>
      <c r="O36" s="3425"/>
      <c r="P36" s="1912"/>
      <c r="V36" s="1912"/>
    </row>
    <row r="37" spans="1:26" ht="16.5" customHeight="1" thickBot="1">
      <c r="A37" s="1214" t="s">
        <v>348</v>
      </c>
      <c r="B37" s="305"/>
      <c r="C37" s="292"/>
      <c r="D37" s="292"/>
      <c r="E37" s="293"/>
      <c r="F37" s="309"/>
      <c r="G37" s="309"/>
      <c r="H37" s="309"/>
      <c r="I37" s="309"/>
      <c r="J37" s="1914"/>
      <c r="K37" s="3426"/>
      <c r="L37" s="3426"/>
      <c r="M37" s="1221"/>
      <c r="N37" s="3426"/>
      <c r="O37" s="3426"/>
      <c r="P37" s="1912"/>
      <c r="V37" s="1912"/>
    </row>
    <row r="38" spans="1:26" ht="16.5" customHeight="1" thickBot="1">
      <c r="A38" s="1214" t="s">
        <v>349</v>
      </c>
      <c r="B38" s="305"/>
      <c r="C38" s="292"/>
      <c r="D38" s="292"/>
      <c r="E38" s="293"/>
      <c r="F38" s="309"/>
      <c r="G38" s="309"/>
      <c r="H38" s="309"/>
      <c r="I38" s="309"/>
      <c r="J38" s="1914"/>
      <c r="K38" s="1222">
        <f>'数据-汇总表'!D3</f>
        <v>118010.9</v>
      </c>
      <c r="L38" s="1223">
        <f>'数据-汇总表'!E3</f>
        <v>229142.34999999998</v>
      </c>
      <c r="M38" s="1223">
        <f ca="1">C34</f>
        <v>3940</v>
      </c>
      <c r="N38" s="1223">
        <f ca="1">C33</f>
        <v>2029</v>
      </c>
      <c r="O38" s="1224">
        <f ca="1">C32</f>
        <v>46494</v>
      </c>
      <c r="P38" s="1912"/>
      <c r="V38" s="1912"/>
    </row>
    <row r="39" spans="1:26" ht="16.5" customHeight="1" thickBot="1">
      <c r="A39" s="1219"/>
      <c r="B39" s="306"/>
      <c r="C39" s="307"/>
      <c r="D39" s="307"/>
      <c r="E39" s="308"/>
      <c r="F39" s="309"/>
      <c r="G39" s="309"/>
      <c r="H39" s="309"/>
      <c r="I39" s="309"/>
      <c r="J39" s="1914"/>
      <c r="K39" s="3464" t="str">
        <f>MID(A44,3,LEN(A44)-2)</f>
        <v>抵押价格</v>
      </c>
      <c r="L39" s="3465"/>
      <c r="M39" s="3465"/>
      <c r="N39" s="3466"/>
      <c r="O39" s="1341">
        <f ca="1">C44</f>
        <v>46494</v>
      </c>
      <c r="P39" s="1912"/>
      <c r="V39" s="1912"/>
    </row>
    <row r="40" spans="1:26" ht="19.5" thickBot="1">
      <c r="A40" s="104" t="s">
        <v>864</v>
      </c>
      <c r="B40" s="309"/>
      <c r="C40" s="309"/>
      <c r="D40" s="309"/>
      <c r="E40" s="309"/>
      <c r="F40" s="309"/>
      <c r="G40" s="309"/>
      <c r="H40" s="309"/>
      <c r="I40" s="309"/>
      <c r="J40" s="1914"/>
      <c r="K40" s="3464" t="str">
        <f t="shared" ref="K40:K41" si="0">MID(A45,3,LEN(A45)-2)</f>
        <v/>
      </c>
      <c r="L40" s="3465"/>
      <c r="M40" s="3465"/>
      <c r="N40" s="346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64" t="str">
        <f t="shared" si="0"/>
        <v/>
      </c>
      <c r="L41" s="3465"/>
      <c r="M41" s="3465"/>
      <c r="N41" s="3466"/>
      <c r="O41" s="1341" t="str">
        <f>C46</f>
        <v>——</v>
      </c>
      <c r="P41" s="1912"/>
      <c r="V41" s="1912"/>
    </row>
    <row r="42" spans="1:26" ht="29.25">
      <c r="A42" s="3408" t="s">
        <v>2056</v>
      </c>
      <c r="B42" s="3409"/>
      <c r="C42" s="262">
        <f ca="1">C32</f>
        <v>46494</v>
      </c>
      <c r="D42" s="315">
        <f ca="1">C33</f>
        <v>2029</v>
      </c>
      <c r="E42" s="315">
        <f ca="1">C34</f>
        <v>3940</v>
      </c>
      <c r="F42" s="316">
        <f ca="1">C35</f>
        <v>263</v>
      </c>
      <c r="G42" s="309"/>
      <c r="H42" s="309"/>
      <c r="I42" s="317"/>
      <c r="J42" s="1914"/>
      <c r="K42" s="1225" t="s">
        <v>361</v>
      </c>
      <c r="L42" s="1931" t="s">
        <v>362</v>
      </c>
      <c r="M42" s="1226" t="s">
        <v>363</v>
      </c>
      <c r="N42" s="1932" t="s">
        <v>364</v>
      </c>
      <c r="O42" s="1933" t="s">
        <v>365</v>
      </c>
      <c r="P42" s="1912"/>
      <c r="V42" s="1912"/>
    </row>
    <row r="43" spans="1:26" ht="30">
      <c r="A43" s="3419" t="s">
        <v>2710</v>
      </c>
      <c r="B43" s="342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50259</v>
      </c>
      <c r="M43" s="1229">
        <f>C18</f>
        <v>0.5</v>
      </c>
      <c r="N43" s="1230">
        <f ca="1">IF(N42="测算结果/万元",G19,G20)</f>
        <v>46494</v>
      </c>
      <c r="O43" s="1231">
        <f ca="1">IF(O42="最终结果/万元",C32,C33)</f>
        <v>46494</v>
      </c>
      <c r="P43" s="1912"/>
      <c r="V43" s="1912"/>
    </row>
    <row r="44" spans="1:26" ht="30.75" thickBot="1">
      <c r="A44" s="3408" t="str">
        <f>IF(OR(项目基本情况!E8="抵押价格",项目基本情况!E8="已注销及未注销"),"3.抵押价格","——")</f>
        <v>3.抵押价格</v>
      </c>
      <c r="B44" s="3409"/>
      <c r="C44" s="262">
        <f ca="1">IF(A44="——","——",C42-C43)</f>
        <v>46494</v>
      </c>
      <c r="D44" s="315">
        <f ca="1">ROUND(C44*10000/'数据-汇总表'!E3,0)</f>
        <v>2029</v>
      </c>
      <c r="E44" s="315">
        <f ca="1">ROUND(C44*10000/'数据-汇总表'!D3,0)</f>
        <v>3940</v>
      </c>
      <c r="F44" s="316">
        <f ca="1">ROUND(C44/('数据-汇总表'!D3/666.67),0)</f>
        <v>263</v>
      </c>
      <c r="G44" s="309"/>
      <c r="H44" s="309"/>
      <c r="I44" s="317"/>
      <c r="J44" s="1914"/>
      <c r="K44" s="1232" t="str">
        <f>D4</f>
        <v>剩余法-待开发</v>
      </c>
      <c r="L44" s="1233">
        <f ca="1">IF(L42="估价结果/万元",D19,D20)</f>
        <v>42729</v>
      </c>
      <c r="M44" s="1234">
        <f>D18</f>
        <v>0.5</v>
      </c>
      <c r="N44" s="1235"/>
      <c r="O44" s="1236"/>
      <c r="P44" s="1912"/>
      <c r="V44" s="1912"/>
    </row>
    <row r="45" spans="1:26" ht="15">
      <c r="A45" s="3414" t="str">
        <f>IF(项目基本情况!E8="已注销及未注销","4.抵押担保权已注销时的抵押价格",IF(项目基本情况!E8="已注销","3.抵押担保权已注销时的抵押价格","——"))</f>
        <v>——</v>
      </c>
      <c r="B45" s="341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10" t="str">
        <f>IF(项目基本情况!E9="抵押净值",IF(A45="——","4.抵押净值","5.抵押净值"),"——")</f>
        <v>——</v>
      </c>
      <c r="B46" s="341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8" t="s">
        <v>374</v>
      </c>
      <c r="B63" s="3459"/>
      <c r="C63" s="3460"/>
      <c r="D63" s="339">
        <f ca="1">ROUND(C42*F63,0)</f>
        <v>46494</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6" t="s">
        <v>378</v>
      </c>
      <c r="B64" s="3417"/>
      <c r="C64" s="3417"/>
      <c r="D64" s="3417"/>
      <c r="E64" s="3417"/>
      <c r="F64" s="3417"/>
      <c r="G64" s="341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12" t="s">
        <v>386</v>
      </c>
      <c r="B66" s="3413"/>
      <c r="C66" s="3413"/>
      <c r="D66" s="259" t="b">
        <f>IF(H66="情况1",0,IF(H66="情况2",D70,IF(H66="情况3",D71,IF(H66="情况4",D72))))</f>
        <v>0</v>
      </c>
      <c r="E66" s="981" t="str">
        <f>IF(H66="情况4","(销售额-原购置价)×税（费）率","销售额×税（费）率")</f>
        <v>销售额×税（费）率</v>
      </c>
      <c r="F66" s="348">
        <f>IF(H66="情况1","免征",'数据-取费表'!B41)</f>
        <v>5.5500000000000008E-2</v>
      </c>
      <c r="G66" s="349" t="s">
        <v>387</v>
      </c>
      <c r="H66" s="189"/>
      <c r="I66" s="1242"/>
      <c r="J66" s="1918"/>
      <c r="K66" s="1245">
        <v>1</v>
      </c>
      <c r="L66" s="3473" t="s">
        <v>385</v>
      </c>
      <c r="M66" s="3474"/>
      <c r="N66" s="2313"/>
      <c r="O66" s="2314"/>
      <c r="P66" s="2315"/>
      <c r="Q66" s="1912"/>
      <c r="R66" s="1912"/>
      <c r="S66" s="1912"/>
      <c r="T66" s="1912"/>
      <c r="U66" s="1912"/>
      <c r="V66" s="1912"/>
    </row>
    <row r="67" spans="1:22" ht="25.5" customHeight="1">
      <c r="A67" s="350" t="s">
        <v>389</v>
      </c>
      <c r="B67" s="3403" t="s">
        <v>390</v>
      </c>
      <c r="C67" s="3403"/>
      <c r="D67" s="351">
        <v>0</v>
      </c>
      <c r="E67" s="41" t="s">
        <v>391</v>
      </c>
      <c r="F67" s="62" t="s">
        <v>21</v>
      </c>
      <c r="G67" s="3461"/>
      <c r="H67" s="3006" t="s">
        <v>2967</v>
      </c>
      <c r="I67" s="3008"/>
      <c r="J67" s="1919"/>
      <c r="K67" s="1891">
        <v>2</v>
      </c>
      <c r="L67" s="3467" t="s">
        <v>388</v>
      </c>
      <c r="M67" s="3467"/>
      <c r="N67" s="1279">
        <f>'数据-取费表'!B2</f>
        <v>44468</v>
      </c>
      <c r="O67" s="1279"/>
      <c r="P67" s="1279"/>
      <c r="Q67" s="1912"/>
      <c r="R67" s="1912"/>
      <c r="S67" s="1912"/>
      <c r="T67" s="1912"/>
      <c r="U67" s="1912"/>
      <c r="V67" s="1912"/>
    </row>
    <row r="68" spans="1:22" ht="25.5" customHeight="1">
      <c r="A68" s="352"/>
      <c r="B68" s="3403" t="s">
        <v>393</v>
      </c>
      <c r="C68" s="3403"/>
      <c r="D68" s="353"/>
      <c r="E68" s="77"/>
      <c r="F68" s="354"/>
      <c r="G68" s="3462"/>
      <c r="H68" s="3007" t="s">
        <v>2968</v>
      </c>
      <c r="I68" s="3008"/>
      <c r="J68" s="1919"/>
      <c r="K68" s="1891">
        <v>3</v>
      </c>
      <c r="L68" s="3467" t="s">
        <v>392</v>
      </c>
      <c r="M68" s="3467"/>
      <c r="N68" s="1247">
        <f ca="1">C42</f>
        <v>46494</v>
      </c>
      <c r="O68" s="1247"/>
      <c r="P68" s="1247"/>
      <c r="Q68" s="1912"/>
      <c r="R68" s="1912"/>
      <c r="S68" s="1912"/>
      <c r="T68" s="1912"/>
      <c r="U68" s="1912"/>
      <c r="V68" s="1912"/>
    </row>
    <row r="69" spans="1:22" ht="23.45" customHeight="1">
      <c r="A69" s="355"/>
      <c r="B69" s="3403" t="s">
        <v>394</v>
      </c>
      <c r="C69" s="3403"/>
      <c r="D69" s="356"/>
      <c r="E69" s="73"/>
      <c r="F69" s="354"/>
      <c r="G69" s="3463"/>
      <c r="H69" s="3007" t="s">
        <v>2969</v>
      </c>
      <c r="I69" s="3008"/>
      <c r="J69" s="1919"/>
      <c r="K69" s="1248">
        <v>4</v>
      </c>
      <c r="L69" s="3477" t="s">
        <v>2862</v>
      </c>
      <c r="M69" s="3478"/>
      <c r="N69" s="1249">
        <f ca="1">C44</f>
        <v>46494</v>
      </c>
      <c r="O69" s="1249"/>
      <c r="P69" s="1249"/>
      <c r="Q69" s="1912"/>
      <c r="R69" s="1912"/>
      <c r="S69" s="1912"/>
      <c r="T69" s="1912"/>
      <c r="U69" s="1912"/>
      <c r="V69" s="1912"/>
    </row>
    <row r="70" spans="1:22" ht="24" customHeight="1">
      <c r="A70" s="357" t="s">
        <v>395</v>
      </c>
      <c r="B70" s="3403" t="s">
        <v>396</v>
      </c>
      <c r="C70" s="3403"/>
      <c r="D70" s="356">
        <f ca="1">ROUND(D63*'数据-取费表'!B41/(1+'数据-取费表'!C42),0)</f>
        <v>2458</v>
      </c>
      <c r="E70" s="17" t="s">
        <v>397</v>
      </c>
      <c r="F70" s="358">
        <f>'数据-取费表'!B41</f>
        <v>5.5500000000000008E-2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04" t="s">
        <v>2998</v>
      </c>
      <c r="C71" s="3405"/>
      <c r="D71" s="356">
        <f ca="1">ROUND(D63*'数据-取费表'!B41/(1+'数据-取费表'!C42),0)</f>
        <v>2458</v>
      </c>
      <c r="E71" s="17" t="s">
        <v>397</v>
      </c>
      <c r="F71" s="358">
        <f>'数据-取费表'!B41</f>
        <v>5.5500000000000008E-2</v>
      </c>
      <c r="G71" s="359"/>
      <c r="H71" s="309"/>
      <c r="I71" s="1246"/>
      <c r="J71" s="1919"/>
      <c r="K71" s="2764" t="s">
        <v>398</v>
      </c>
      <c r="L71" s="3479" t="s">
        <v>399</v>
      </c>
      <c r="M71" s="3479"/>
      <c r="N71" s="2764" t="s">
        <v>400</v>
      </c>
      <c r="O71" s="2764" t="s">
        <v>401</v>
      </c>
      <c r="P71" s="2764" t="s">
        <v>402</v>
      </c>
      <c r="Q71" s="1912"/>
      <c r="R71" s="1912"/>
      <c r="S71" s="1912"/>
      <c r="T71" s="1912"/>
      <c r="U71" s="1912"/>
      <c r="V71" s="1912"/>
    </row>
    <row r="72" spans="1:22" ht="12" customHeight="1">
      <c r="A72" s="357" t="s">
        <v>405</v>
      </c>
      <c r="B72" s="3404" t="s">
        <v>2999</v>
      </c>
      <c r="C72" s="3405"/>
      <c r="D72" s="356">
        <f ca="1">C86</f>
        <v>2458</v>
      </c>
      <c r="E72" s="73" t="s">
        <v>406</v>
      </c>
      <c r="F72" s="358">
        <f>'数据-取费表'!B41</f>
        <v>5.5500000000000008E-2</v>
      </c>
      <c r="G72" s="359"/>
      <c r="H72" s="1252"/>
      <c r="I72" s="1246"/>
      <c r="J72" s="1919"/>
      <c r="K72" s="1891">
        <v>1</v>
      </c>
      <c r="L72" s="3454" t="s">
        <v>404</v>
      </c>
      <c r="M72" s="3454"/>
      <c r="N72" s="1250" t="b">
        <f>D66</f>
        <v>0</v>
      </c>
      <c r="O72" s="1774" t="str">
        <f>E66</f>
        <v>销售额×税（费）率</v>
      </c>
      <c r="P72" s="1251">
        <f>F66</f>
        <v>5.5500000000000008E-2</v>
      </c>
      <c r="Q72" s="1912"/>
      <c r="R72" s="1912"/>
      <c r="S72" s="1912"/>
      <c r="T72" s="1912"/>
      <c r="U72" s="1912"/>
      <c r="V72" s="1912"/>
    </row>
    <row r="73" spans="1:22" ht="24" customHeight="1">
      <c r="A73" s="3449" t="s">
        <v>408</v>
      </c>
      <c r="B73" s="3413"/>
      <c r="C73" s="3413"/>
      <c r="D73" s="360">
        <f ca="1">IF(H73="个人住宅",0,ROUND(D63*I73,0))</f>
        <v>23</v>
      </c>
      <c r="E73" s="17" t="s">
        <v>409</v>
      </c>
      <c r="F73" s="358" t="str">
        <f>IF(H73="正常",I73,"免征")</f>
        <v>免征</v>
      </c>
      <c r="G73" s="359"/>
      <c r="H73" s="189"/>
      <c r="I73" s="358">
        <f>'数据-取费表'!B49</f>
        <v>5.0000000000000001E-4</v>
      </c>
      <c r="J73" s="1919"/>
      <c r="K73" s="1891">
        <v>2</v>
      </c>
      <c r="L73" s="3454" t="s">
        <v>407</v>
      </c>
      <c r="M73" s="3454"/>
      <c r="N73" s="1250">
        <f t="shared" ref="N73:P74" ca="1" si="1">D73</f>
        <v>23</v>
      </c>
      <c r="O73" s="1774" t="str">
        <f t="shared" si="1"/>
        <v>销售额×税（费）率</v>
      </c>
      <c r="P73" s="1251" t="str">
        <f t="shared" si="1"/>
        <v>免征</v>
      </c>
      <c r="Q73" s="1912"/>
      <c r="R73" s="1912"/>
      <c r="S73" s="1912"/>
      <c r="T73" s="1912"/>
      <c r="U73" s="1912"/>
      <c r="V73" s="1912"/>
    </row>
    <row r="74" spans="1:22" ht="24.75">
      <c r="A74" s="3449" t="s">
        <v>411</v>
      </c>
      <c r="B74" s="3413"/>
      <c r="C74" s="3413"/>
      <c r="D74" s="360">
        <f ca="1">IF(H74="个人住宅",D75,D76)</f>
        <v>26336</v>
      </c>
      <c r="E74" s="17" t="s">
        <v>412</v>
      </c>
      <c r="F74" s="358" t="str">
        <f>IF(H74="正常",F76,"免征")</f>
        <v>免征</v>
      </c>
      <c r="G74" s="971" t="s">
        <v>413</v>
      </c>
      <c r="H74" s="361"/>
      <c r="I74" s="42"/>
      <c r="J74" s="1919"/>
      <c r="K74" s="1891">
        <v>3</v>
      </c>
      <c r="L74" s="3454" t="s">
        <v>410</v>
      </c>
      <c r="M74" s="3454"/>
      <c r="N74" s="1250">
        <f t="shared" ca="1" si="1"/>
        <v>26336</v>
      </c>
      <c r="O74" s="1774" t="str">
        <f t="shared" si="1"/>
        <v>增值额×税（费）率</v>
      </c>
      <c r="P74" s="1253" t="str">
        <f t="shared" si="1"/>
        <v>免征</v>
      </c>
      <c r="Q74" s="1912"/>
      <c r="R74" s="1912"/>
      <c r="S74" s="1912"/>
      <c r="T74" s="1912"/>
      <c r="U74" s="1912"/>
      <c r="V74" s="1912"/>
    </row>
    <row r="75" spans="1:22" ht="12.75">
      <c r="A75" s="357" t="s">
        <v>414</v>
      </c>
      <c r="B75" s="3401" t="s">
        <v>415</v>
      </c>
      <c r="C75" s="3437"/>
      <c r="D75" s="362">
        <v>0</v>
      </c>
      <c r="E75" s="41" t="s">
        <v>416</v>
      </c>
      <c r="F75" s="363"/>
      <c r="G75" s="359"/>
      <c r="H75" s="42"/>
      <c r="I75" s="42"/>
      <c r="J75" s="1919"/>
      <c r="K75" s="2758">
        <f>IF(H77="非个人房产","",4)</f>
        <v>4</v>
      </c>
      <c r="L75" s="3454" t="str">
        <f>IF(H77="非个人房产","——","个人所得税")</f>
        <v>个人所得税</v>
      </c>
      <c r="M75" s="3454"/>
      <c r="N75" s="1254">
        <f>D77</f>
        <v>0</v>
      </c>
      <c r="O75" s="1787" t="str">
        <f>E77</f>
        <v>差额计税</v>
      </c>
      <c r="P75" s="1255">
        <f>F77</f>
        <v>0.01</v>
      </c>
      <c r="Q75" s="1912"/>
      <c r="R75" s="1912"/>
      <c r="S75" s="1912"/>
      <c r="T75" s="1912"/>
      <c r="U75" s="1912"/>
      <c r="V75" s="1912"/>
    </row>
    <row r="76" spans="1:22" ht="24.75">
      <c r="A76" s="357" t="s">
        <v>395</v>
      </c>
      <c r="B76" s="3401" t="s">
        <v>418</v>
      </c>
      <c r="C76" s="3402"/>
      <c r="D76" s="360">
        <f ca="1">IF(H76="转让取得",C99,C115)</f>
        <v>26336</v>
      </c>
      <c r="E76" s="17" t="s">
        <v>419</v>
      </c>
      <c r="F76" s="53" t="s">
        <v>21</v>
      </c>
      <c r="G76" s="359"/>
      <c r="H76" s="361"/>
      <c r="I76" s="42"/>
      <c r="J76" s="1919"/>
      <c r="K76" s="2758" t="str">
        <f>IF(项目基本情况!K6="上海银行",IF(K75="",4,K75+1),"")</f>
        <v/>
      </c>
      <c r="L76" s="3469" t="str">
        <f>IF(项目基本情况!K6="上海银行","其他处置费用","")</f>
        <v/>
      </c>
      <c r="M76" s="3470"/>
      <c r="N76" s="1250" t="str">
        <f>IF(项目基本情况!K6="上海银行",N89,"")</f>
        <v/>
      </c>
      <c r="O76" s="3471" t="str">
        <f>IF(项目基本情况!K6="上海银行","包含处置中涉及的律师、诉讼、拍卖、评估等费用","")</f>
        <v/>
      </c>
      <c r="P76" s="3472"/>
      <c r="Q76" s="1912"/>
      <c r="R76" s="1912"/>
      <c r="S76" s="1912"/>
      <c r="T76" s="1912"/>
      <c r="U76" s="1912"/>
      <c r="V76" s="1912"/>
    </row>
    <row r="77" spans="1:22" ht="24.75" thickBot="1">
      <c r="A77" s="3456" t="s">
        <v>421</v>
      </c>
      <c r="B77" s="3457"/>
      <c r="C77" s="345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2970</v>
      </c>
      <c r="J77" s="1919"/>
      <c r="K77" s="3455">
        <f>IF(AND(K75="",K76=""),4,IF(项目基本情况!K6="上海银行",K76+1,K75+1))</f>
        <v>5</v>
      </c>
      <c r="L77" s="3454" t="s">
        <v>2863</v>
      </c>
      <c r="M77" s="2763" t="s">
        <v>417</v>
      </c>
      <c r="N77" s="1256"/>
      <c r="O77" s="1257">
        <f ca="1">SUMIF(N72:N76,"&lt;9e307")</f>
        <v>26359</v>
      </c>
      <c r="P77" s="1258"/>
      <c r="Q77" s="2761">
        <f ca="1">O77/N69</f>
        <v>0.56693336774637593</v>
      </c>
      <c r="R77" s="1912"/>
      <c r="S77" s="1912"/>
      <c r="T77" s="1912"/>
      <c r="U77" s="1912"/>
      <c r="V77" s="1912"/>
    </row>
    <row r="78" spans="1:22" ht="12" customHeight="1">
      <c r="A78" s="1259"/>
      <c r="B78" s="309"/>
      <c r="C78" s="309"/>
      <c r="D78" s="309"/>
      <c r="E78" s="42"/>
      <c r="F78" s="42"/>
      <c r="G78" s="42"/>
      <c r="H78" s="991"/>
      <c r="I78" s="309"/>
      <c r="J78" s="1919"/>
      <c r="K78" s="3455"/>
      <c r="L78" s="3454"/>
      <c r="M78" s="2763" t="s">
        <v>420</v>
      </c>
      <c r="N78" s="1256"/>
      <c r="O78" s="1257" t="str">
        <f ca="1">NUMBERSTRING(INT(O77*10000),2)&amp;"元整"</f>
        <v>贰亿陆仟叁佰伍拾玖万元整</v>
      </c>
      <c r="P78" s="1258"/>
      <c r="Q78" s="1912"/>
      <c r="R78" s="1912"/>
      <c r="S78" s="1912"/>
      <c r="T78" s="1912"/>
      <c r="U78" s="1912"/>
      <c r="V78" s="1912"/>
    </row>
    <row r="79" spans="1:22" ht="13.5" thickBot="1">
      <c r="A79" s="3421" t="s">
        <v>422</v>
      </c>
      <c r="B79" s="3421"/>
      <c r="C79" s="3421"/>
      <c r="D79" s="3421"/>
      <c r="E79" s="3421"/>
      <c r="F79" s="42"/>
      <c r="G79" s="42"/>
      <c r="H79" s="991"/>
      <c r="I79" s="309"/>
      <c r="J79" s="1919"/>
      <c r="K79" s="3475">
        <f>K77+1</f>
        <v>6</v>
      </c>
      <c r="L79" s="3454" t="s">
        <v>2864</v>
      </c>
      <c r="M79" s="2763" t="s">
        <v>417</v>
      </c>
      <c r="N79" s="1256"/>
      <c r="O79" s="1257">
        <f ca="1">N69-O77</f>
        <v>20135</v>
      </c>
      <c r="P79" s="1258"/>
      <c r="Q79" s="1912"/>
      <c r="R79" s="1912"/>
      <c r="S79" s="1912"/>
      <c r="T79" s="1912"/>
      <c r="U79" s="1912"/>
      <c r="V79" s="1912"/>
    </row>
    <row r="80" spans="1:22" ht="25.5">
      <c r="A80" s="3422" t="s">
        <v>423</v>
      </c>
      <c r="B80" s="3423"/>
      <c r="C80" s="982"/>
      <c r="D80" s="982" t="s">
        <v>424</v>
      </c>
      <c r="E80" s="364" t="s">
        <v>425</v>
      </c>
      <c r="F80" s="42"/>
      <c r="G80" s="42"/>
      <c r="H80" s="991"/>
      <c r="I80" s="309"/>
      <c r="J80" s="1912"/>
      <c r="K80" s="3476"/>
      <c r="L80" s="3454"/>
      <c r="M80" s="2763" t="s">
        <v>420</v>
      </c>
      <c r="N80" s="1256"/>
      <c r="O80" s="1257" t="str">
        <f ca="1">NUMBERSTRING(INT(O79*10000),2)&amp;"元整"</f>
        <v>贰亿零壹佰叁拾伍万元整</v>
      </c>
      <c r="P80" s="1258"/>
      <c r="Q80" s="1912"/>
      <c r="R80" s="1912"/>
      <c r="S80" s="1912"/>
      <c r="T80" s="1912"/>
      <c r="U80" s="1912"/>
      <c r="V80" s="1912"/>
    </row>
    <row r="81" spans="1:26" ht="13.5" thickBot="1">
      <c r="A81" s="375" t="s">
        <v>1814</v>
      </c>
      <c r="B81" s="365" t="s">
        <v>426</v>
      </c>
      <c r="C81" s="366">
        <f ca="1">ROUND((C82+C83)/(1+'数据-取费表'!C42),0)</f>
        <v>44280</v>
      </c>
      <c r="D81" s="367"/>
      <c r="E81" s="368"/>
      <c r="F81" s="42"/>
      <c r="G81" s="42"/>
      <c r="H81" s="991"/>
      <c r="I81" s="309"/>
      <c r="J81" s="1912"/>
      <c r="K81" s="2758">
        <f>K79+1</f>
        <v>7</v>
      </c>
      <c r="L81" s="3452" t="s">
        <v>2865</v>
      </c>
      <c r="M81" s="3453"/>
      <c r="N81" s="1260"/>
      <c r="O81" s="1261">
        <f ca="1">ROUND(O79*10000/'数据-汇总表'!E3,0)</f>
        <v>879</v>
      </c>
      <c r="P81" s="1262"/>
      <c r="Q81" s="1912"/>
      <c r="R81" s="1912"/>
      <c r="S81" s="1912"/>
      <c r="T81" s="1912"/>
      <c r="U81" s="1912"/>
      <c r="V81" s="1912"/>
    </row>
    <row r="82" spans="1:26" ht="13.5" thickTop="1">
      <c r="A82" s="369" t="s">
        <v>1815</v>
      </c>
      <c r="B82" s="370" t="s">
        <v>427</v>
      </c>
      <c r="C82" s="371">
        <f ca="1">D63</f>
        <v>46494</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8" t="s">
        <v>2853</v>
      </c>
      <c r="L83" s="2769" t="s">
        <v>2854</v>
      </c>
      <c r="M83" s="2759">
        <f ca="1">IF(N69&gt;10000,N69*0.5%,IF(AND(N69&gt;1000,N69&lt;=10000),N69*1%,IF(AND(N69&gt;100,N69&lt;=1000),N69*3%,IF(AND(N69&gt;10,N69&lt;=100),N69*5%,N69*8%))))</f>
        <v>232.47</v>
      </c>
      <c r="N83" s="53">
        <f ca="1">ROUND(M83,1)</f>
        <v>232.5</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68"/>
      <c r="L84" s="2769" t="s">
        <v>2855</v>
      </c>
      <c r="M84" s="2759">
        <f ca="1">IF(N69&gt;2000,N69*0.5%,IF(AND(N69&gt;1000,N69&lt;=2000),N69*0.6%,IF(AND(N69&gt;500,N69&lt;=1000),N69*0.7%,IF(AND(N69&gt;200,N69&lt;=500),N69*0.8%,IF(AND(N69&gt;100,N69&lt;=200),N69*0.9%,IF(AND(N69&gt;50,N69&lt;=100),N69*1%,IF(AND(N69&gt;20,N69&lt;=50),N69*1.5%,IF(AND(N69&gt;10,N69&lt;=20),N69*2%,IF(AND(N69&gt;1,N69&lt;=10),N69*2.5%)))))))))</f>
        <v>232.47</v>
      </c>
      <c r="N84" s="53">
        <f t="shared" ref="N84:N85" ca="1" si="2">ROUND(M84,1)</f>
        <v>232.5</v>
      </c>
      <c r="O84" s="1912" t="s">
        <v>2856</v>
      </c>
      <c r="P84" s="1912"/>
      <c r="Q84" s="1912"/>
      <c r="R84" s="1912"/>
      <c r="S84" s="1912"/>
      <c r="T84" s="1912"/>
      <c r="U84" s="1912"/>
      <c r="V84" s="1912"/>
    </row>
    <row r="85" spans="1:26" ht="12.75">
      <c r="A85" s="375" t="s">
        <v>1818</v>
      </c>
      <c r="B85" s="376" t="s">
        <v>430</v>
      </c>
      <c r="C85" s="379">
        <f ca="1">C81-C84</f>
        <v>44280</v>
      </c>
      <c r="D85" s="372" t="s">
        <v>19</v>
      </c>
      <c r="E85" s="373"/>
      <c r="F85" s="42"/>
      <c r="G85" s="42"/>
      <c r="H85" s="991"/>
      <c r="I85" s="309"/>
      <c r="J85" s="1912"/>
      <c r="K85" s="3468"/>
      <c r="L85" s="2769" t="s">
        <v>2857</v>
      </c>
      <c r="M85" s="2759">
        <f ca="1">IF(N69&gt;1000,N69*0.1%,IF(AND(N69&gt;500,N69&lt;=1000),N69*0.5%,IF(AND(N69&gt;50,N69&lt;=500),N69*1%,IF(AND(N69&gt;1,N69&lt;=50),N69*1.5%))))</f>
        <v>46.494</v>
      </c>
      <c r="N85" s="53">
        <f t="shared" ca="1" si="2"/>
        <v>46.5</v>
      </c>
      <c r="O85" s="1912" t="s">
        <v>2856</v>
      </c>
      <c r="P85" s="1912"/>
      <c r="Q85" s="1912"/>
      <c r="R85" s="1912"/>
      <c r="S85" s="1912"/>
      <c r="T85" s="1912"/>
      <c r="U85" s="1912"/>
      <c r="V85" s="1912"/>
    </row>
    <row r="86" spans="1:26" ht="13.5" thickBot="1">
      <c r="A86" s="380" t="s">
        <v>1819</v>
      </c>
      <c r="B86" s="381" t="s">
        <v>431</v>
      </c>
      <c r="C86" s="382">
        <f ca="1">IF(C85&lt;=0,0,ROUND(C85*D86,0))</f>
        <v>2458</v>
      </c>
      <c r="D86" s="383">
        <f>'数据-取费表'!B41</f>
        <v>5.5500000000000008E-2</v>
      </c>
      <c r="E86" s="384"/>
      <c r="F86" s="42"/>
      <c r="G86" s="42"/>
      <c r="H86" s="991"/>
      <c r="I86" s="309"/>
      <c r="J86" s="1912"/>
      <c r="K86" s="3468"/>
      <c r="L86" s="2769" t="s">
        <v>2858</v>
      </c>
      <c r="M86" s="2759">
        <f ca="1">N69*0.5%</f>
        <v>232.47</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8"/>
      <c r="L87" s="2769" t="s">
        <v>2860</v>
      </c>
      <c r="M87" s="2759">
        <f ca="1">IF(N69&gt;=10000,(8.25+(N69-10000)*0.01%),IF(AND(N69&gt;=8000,N69&lt;10000),(7.85+(N69-8000)*0.02%),IF(AND(N69&gt;=5000,N69&lt;8000),(6.65+(N69-5000)*0.04%),IF(AND(N69&gt;=2000,N69&lt;5000),(4.25+(PN69-2000)*0.08%),IF(AND(N69&gt;=1000,N69&lt;2000),(2.75+(N69-1000)*0.15%),IF(AND(N69&gt;=100,N69&lt;1000),(0.5+(N69-100)*0.25%),IF(AND(N69&gt;0,N69&lt;100),N69*0.5%)))))))</f>
        <v>11.8994</v>
      </c>
      <c r="N87" s="53">
        <f ca="1">ROUND(M87*0.9,1)</f>
        <v>10.7</v>
      </c>
      <c r="O87" s="2762"/>
      <c r="P87" s="1912"/>
      <c r="Q87" s="1912"/>
      <c r="R87" s="1912"/>
      <c r="S87" s="1912"/>
      <c r="T87" s="1912"/>
      <c r="U87" s="1912"/>
      <c r="V87" s="1912"/>
      <c r="W87" s="290"/>
      <c r="X87" s="290"/>
      <c r="Y87" s="290"/>
      <c r="Z87" s="290"/>
    </row>
    <row r="88" spans="1:26" s="1268" customFormat="1" ht="15" thickBot="1">
      <c r="A88" s="3447" t="s">
        <v>432</v>
      </c>
      <c r="B88" s="3448"/>
      <c r="C88" s="3448"/>
      <c r="D88" s="3448"/>
      <c r="E88" s="3448"/>
      <c r="F88" s="3448"/>
      <c r="G88" s="3448"/>
      <c r="H88" s="3448"/>
      <c r="I88" s="1269"/>
      <c r="J88" s="1920"/>
      <c r="K88" s="3468"/>
      <c r="L88" s="2769" t="s">
        <v>2861</v>
      </c>
      <c r="M88" s="2759">
        <f ca="1">IF(N69&gt;10000,N69*0.5%,IF(AND(N69&gt;5000,N69&lt;=10000),N69*1%,IF(AND(N69&gt;1000,N69&lt;=5000),N69*2%,IF(AND(N69&gt;200,N69&lt;=1000),N69*3%,N69*5%))))</f>
        <v>232.47</v>
      </c>
      <c r="N88" s="53">
        <f ca="1">ROUND(M88,1)</f>
        <v>232.5</v>
      </c>
      <c r="O88" s="2762"/>
      <c r="P88" s="1917"/>
      <c r="Q88" s="1917"/>
      <c r="R88" s="1917"/>
      <c r="S88" s="1917"/>
      <c r="T88" s="1917"/>
      <c r="U88" s="1917"/>
      <c r="V88" s="1917"/>
      <c r="W88" s="1921"/>
      <c r="X88" s="1921"/>
      <c r="Y88" s="1921"/>
      <c r="Z88" s="1921"/>
    </row>
    <row r="89" spans="1:26" s="1268" customFormat="1" ht="14.25">
      <c r="A89" s="3422" t="s">
        <v>423</v>
      </c>
      <c r="B89" s="3423"/>
      <c r="C89" s="982"/>
      <c r="D89" s="982" t="s">
        <v>424</v>
      </c>
      <c r="E89" s="385" t="s">
        <v>433</v>
      </c>
      <c r="F89" s="386"/>
      <c r="G89" s="386"/>
      <c r="H89" s="387"/>
      <c r="I89" s="1270"/>
      <c r="J89" s="1922"/>
      <c r="K89" s="3468"/>
      <c r="L89" s="2769" t="s">
        <v>27</v>
      </c>
      <c r="M89" s="2760"/>
      <c r="N89" s="53">
        <f ca="1">ROUND(SUM(N83:N88),0)</f>
        <v>755</v>
      </c>
      <c r="O89" s="2770">
        <f ca="1">N89/N69</f>
        <v>1.6238654450036565E-2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44280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244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04" t="s">
        <v>441</v>
      </c>
      <c r="F94" s="3403"/>
      <c r="G94" s="3403"/>
      <c r="H94" s="344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244</v>
      </c>
      <c r="D96" s="400">
        <f>'数据-取费表'!B43</f>
        <v>5.5000000000000014E-3</v>
      </c>
      <c r="E96" s="3438" t="s">
        <v>2413</v>
      </c>
      <c r="F96" s="3439"/>
      <c r="G96" s="3439"/>
      <c r="H96" s="344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44036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180.47540983606558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26336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7" t="s">
        <v>448</v>
      </c>
      <c r="B101" s="3448"/>
      <c r="C101" s="3448"/>
      <c r="D101" s="3448"/>
      <c r="E101" s="3448"/>
      <c r="F101" s="3448"/>
      <c r="G101" s="3448"/>
      <c r="H101" s="344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2" t="s">
        <v>423</v>
      </c>
      <c r="B102" s="342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44280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244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8" t="s">
        <v>2962</v>
      </c>
      <c r="H108" s="3399"/>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1" t="s">
        <v>456</v>
      </c>
      <c r="F109" s="3439"/>
      <c r="G109" s="343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41" t="s">
        <v>458</v>
      </c>
      <c r="F110" s="3439"/>
      <c r="G110" s="3439"/>
      <c r="H110" s="3440"/>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244</v>
      </c>
      <c r="D111" s="400">
        <f>'数据-取费表'!B43</f>
        <v>5.5000000000000014E-3</v>
      </c>
      <c r="E111" s="3438" t="s">
        <v>2413</v>
      </c>
      <c r="F111" s="3439"/>
      <c r="G111" s="3439"/>
      <c r="H111" s="344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1" t="s">
        <v>2436</v>
      </c>
      <c r="F112" s="3439"/>
      <c r="G112" s="3439"/>
      <c r="H112" s="344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44036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180.47540983606558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26336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60" zoomScaleNormal="95" workbookViewId="0">
      <selection activeCell="B35" sqref="B35"/>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50259</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2193</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4259</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284</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9" t="s">
        <v>516</v>
      </c>
      <c r="D6" s="3490"/>
      <c r="E6" s="3489" t="s">
        <v>517</v>
      </c>
      <c r="F6" s="3490"/>
      <c r="G6" s="3489" t="s">
        <v>518</v>
      </c>
      <c r="H6" s="3490"/>
      <c r="I6" s="3489" t="s">
        <v>519</v>
      </c>
      <c r="J6" s="3490"/>
      <c r="K6" s="508" t="s">
        <v>520</v>
      </c>
      <c r="L6" s="2016"/>
      <c r="M6" s="2015"/>
      <c r="N6" s="2015"/>
      <c r="O6" s="2017"/>
      <c r="P6" s="3491" t="s">
        <v>521</v>
      </c>
      <c r="Q6" s="3492"/>
      <c r="R6" s="3497" t="s">
        <v>517</v>
      </c>
      <c r="S6" s="3498"/>
      <c r="T6" s="3497" t="s">
        <v>518</v>
      </c>
      <c r="U6" s="3498"/>
      <c r="V6" s="3484" t="s">
        <v>519</v>
      </c>
      <c r="W6" s="3484"/>
      <c r="X6" s="1502"/>
      <c r="Y6" s="3497" t="s">
        <v>521</v>
      </c>
      <c r="Z6" s="3498"/>
      <c r="AA6" s="3486" t="s">
        <v>517</v>
      </c>
      <c r="AB6" s="3487" t="s">
        <v>518</v>
      </c>
      <c r="AC6" s="3486" t="s">
        <v>519</v>
      </c>
    </row>
    <row r="7" spans="1:30" ht="20.25">
      <c r="A7" s="509"/>
      <c r="B7" s="510"/>
      <c r="C7" s="3505" t="s">
        <v>2897</v>
      </c>
      <c r="D7" s="3506"/>
      <c r="E7" s="3505" t="str">
        <f>Sheet2!A2</f>
        <v>静海区团泊新城东区、天水路北侧</v>
      </c>
      <c r="F7" s="3506"/>
      <c r="G7" s="3505" t="str">
        <f>Sheet2!A3</f>
        <v>静海区团泊新城东区</v>
      </c>
      <c r="H7" s="3506"/>
      <c r="I7" s="3505" t="str">
        <f>Sheet2!A7</f>
        <v>天津市静海区大邱庄镇</v>
      </c>
      <c r="J7" s="3506"/>
      <c r="K7" s="508"/>
      <c r="L7" s="2016"/>
      <c r="M7" s="2015"/>
      <c r="N7" s="2015"/>
      <c r="O7" s="2017"/>
      <c r="P7" s="3493"/>
      <c r="Q7" s="3494"/>
      <c r="R7" s="3499"/>
      <c r="S7" s="3500"/>
      <c r="T7" s="3499"/>
      <c r="U7" s="3500"/>
      <c r="V7" s="3484"/>
      <c r="W7" s="3484"/>
      <c r="X7" s="1502"/>
      <c r="Y7" s="3499"/>
      <c r="Z7" s="3500"/>
      <c r="AA7" s="3487"/>
      <c r="AB7" s="3487"/>
      <c r="AC7" s="3487"/>
    </row>
    <row r="8" spans="1:30" ht="21" thickBot="1">
      <c r="A8" s="509"/>
      <c r="B8" s="510"/>
      <c r="C8" s="3507" t="s">
        <v>2901</v>
      </c>
      <c r="D8" s="3508"/>
      <c r="E8" s="3507" t="s">
        <v>2901</v>
      </c>
      <c r="F8" s="3508"/>
      <c r="G8" s="3503" t="s">
        <v>2901</v>
      </c>
      <c r="H8" s="3504"/>
      <c r="I8" s="3503" t="s">
        <v>2901</v>
      </c>
      <c r="J8" s="3504"/>
      <c r="K8" s="508" t="s">
        <v>522</v>
      </c>
      <c r="L8" s="2016"/>
      <c r="M8" s="2015"/>
      <c r="N8" s="2015"/>
      <c r="O8" s="2017"/>
      <c r="P8" s="3495"/>
      <c r="Q8" s="3496"/>
      <c r="R8" s="3499"/>
      <c r="S8" s="3500"/>
      <c r="T8" s="3501"/>
      <c r="U8" s="3502"/>
      <c r="V8" s="3484"/>
      <c r="W8" s="3484"/>
      <c r="X8" s="1502"/>
      <c r="Y8" s="3501"/>
      <c r="Z8" s="3502"/>
      <c r="AA8" s="3488"/>
      <c r="AB8" s="3488"/>
      <c r="AC8" s="3488"/>
    </row>
    <row r="9" spans="1:30" s="1203" customFormat="1" ht="21" thickBot="1">
      <c r="A9" s="2630"/>
      <c r="B9" s="2637" t="s">
        <v>523</v>
      </c>
      <c r="C9" s="2629">
        <f>'数据-取费表'!B2</f>
        <v>44468</v>
      </c>
      <c r="D9" s="514">
        <v>100</v>
      </c>
      <c r="E9" s="515" t="str">
        <f>Sheet2!K2</f>
        <v>2021-05-14</v>
      </c>
      <c r="F9" s="516">
        <f>SUMIF(72:72,YEAR(E9)&amp;"-"&amp;INT((MONTH(E9)+2)/3),73:73)</f>
        <v>99.7</v>
      </c>
      <c r="G9" s="517" t="str">
        <f>Sheet2!K3</f>
        <v>2021-05-14</v>
      </c>
      <c r="H9" s="514">
        <f>SUMIF(72:72,YEAR(G9)&amp;"-"&amp;INT((MONTH(G9)+2)/3),73:73)</f>
        <v>99.7</v>
      </c>
      <c r="I9" s="517" t="str">
        <f>Sheet2!K7</f>
        <v>2019-02-27</v>
      </c>
      <c r="J9" s="514">
        <f>SUMIF(72:72,YEAR(I9)&amp;"-"&amp;INT((MONTH(I9)+2)/3),73:73)</f>
        <v>97</v>
      </c>
      <c r="K9" s="518"/>
      <c r="L9" s="2018"/>
      <c r="M9" s="2015"/>
      <c r="N9" s="2015"/>
      <c r="O9" s="2019"/>
      <c r="P9" s="3514" t="s">
        <v>524</v>
      </c>
      <c r="Q9" s="3516"/>
      <c r="R9" s="1503" t="s">
        <v>8</v>
      </c>
      <c r="S9" s="1504">
        <f t="shared" ref="S9:S17" si="0">F9</f>
        <v>99.7</v>
      </c>
      <c r="T9" s="1503" t="s">
        <v>8</v>
      </c>
      <c r="U9" s="1504">
        <f t="shared" ref="U9:U17" si="1">H9</f>
        <v>99.7</v>
      </c>
      <c r="V9" s="1503" t="s">
        <v>8</v>
      </c>
      <c r="W9" s="1504">
        <f t="shared" ref="W9:W17" si="2">J9</f>
        <v>97</v>
      </c>
      <c r="X9" s="1505"/>
      <c r="Y9" s="3514" t="s">
        <v>524</v>
      </c>
      <c r="Z9" s="3515"/>
      <c r="AA9" s="1506">
        <f>D9/F9</f>
        <v>1.0030090270812437</v>
      </c>
      <c r="AB9" s="1506">
        <f>D9/H9</f>
        <v>1.0030090270812437</v>
      </c>
      <c r="AC9" s="1506">
        <f>D9/J9</f>
        <v>1.0309278350515463</v>
      </c>
    </row>
    <row r="10" spans="1:30" s="1203" customFormat="1" ht="21" thickBot="1">
      <c r="A10" s="2631"/>
      <c r="B10" s="2638" t="s">
        <v>525</v>
      </c>
      <c r="C10" s="845" t="s">
        <v>526</v>
      </c>
      <c r="D10" s="514">
        <v>100</v>
      </c>
      <c r="E10" s="3298" t="s">
        <v>3106</v>
      </c>
      <c r="F10" s="516">
        <f>SUMIF(75:75,E10,76:76)-SUMIF(75:75,C10,76:76)+100</f>
        <v>100</v>
      </c>
      <c r="G10" s="3298" t="s">
        <v>3107</v>
      </c>
      <c r="H10" s="514">
        <f>SUMIF(75:75,G10,76:76)-SUMIF(75:75,C10,76:76)+100</f>
        <v>100</v>
      </c>
      <c r="I10" s="3298" t="s">
        <v>3106</v>
      </c>
      <c r="J10" s="514">
        <f>SUMIF(75:75,I10,76:76)-SUMIF(75:75,C10,76:76)+100</f>
        <v>100</v>
      </c>
      <c r="K10" s="518"/>
      <c r="L10" s="2018"/>
      <c r="M10" s="2015"/>
      <c r="N10" s="2015"/>
      <c r="O10" s="2019"/>
      <c r="P10" s="3514" t="s">
        <v>527</v>
      </c>
      <c r="Q10" s="3515"/>
      <c r="R10" s="1503" t="s">
        <v>8</v>
      </c>
      <c r="S10" s="1504">
        <f t="shared" si="0"/>
        <v>100</v>
      </c>
      <c r="T10" s="1503" t="s">
        <v>8</v>
      </c>
      <c r="U10" s="1504">
        <f t="shared" si="1"/>
        <v>100</v>
      </c>
      <c r="V10" s="1503" t="s">
        <v>8</v>
      </c>
      <c r="W10" s="1504">
        <f t="shared" si="2"/>
        <v>100</v>
      </c>
      <c r="X10" s="1505"/>
      <c r="Y10" s="3514" t="s">
        <v>527</v>
      </c>
      <c r="Z10" s="3515"/>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2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83"/>
      <c r="Q12" s="1134" t="str">
        <f t="shared" si="6"/>
        <v>土地使用年限（年）</v>
      </c>
      <c r="R12" s="1503" t="s">
        <v>8</v>
      </c>
      <c r="S12" s="1504">
        <f t="shared" si="0"/>
        <v>102</v>
      </c>
      <c r="T12" s="1503" t="s">
        <v>8</v>
      </c>
      <c r="U12" s="1504">
        <f t="shared" si="1"/>
        <v>102</v>
      </c>
      <c r="V12" s="1503" t="s">
        <v>8</v>
      </c>
      <c r="W12" s="1504">
        <f t="shared" si="2"/>
        <v>102</v>
      </c>
      <c r="X12" s="1505"/>
      <c r="Y12" s="3429"/>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f>'数据-汇总表'!I6</f>
        <v>1.49</v>
      </c>
      <c r="D13" s="253">
        <v>100</v>
      </c>
      <c r="E13" s="527">
        <v>1.2</v>
      </c>
      <c r="F13" s="253">
        <f>LOOKUP(E13,82:82,83:83)-LOOKUP(C13,82:82,83:83)+100</f>
        <v>100</v>
      </c>
      <c r="G13" s="528">
        <v>1.6</v>
      </c>
      <c r="H13" s="253">
        <f>LOOKUP(G13,82:82,83:83)-LOOKUP(C13,82:82,83:83)+100</f>
        <v>100</v>
      </c>
      <c r="I13" s="527">
        <v>1.2</v>
      </c>
      <c r="J13" s="253">
        <f>LOOKUP(I13,82:82,83:83)-LOOKUP(C13,82:82,83:83)+100</f>
        <v>100</v>
      </c>
      <c r="K13" s="529">
        <v>2</v>
      </c>
      <c r="L13" s="2023"/>
      <c r="M13" s="2015"/>
      <c r="N13" s="2015"/>
      <c r="O13" s="2024"/>
      <c r="P13" s="3483"/>
      <c r="Q13" s="1134" t="str">
        <f t="shared" si="6"/>
        <v>容积率</v>
      </c>
      <c r="R13" s="1503" t="s">
        <v>8</v>
      </c>
      <c r="S13" s="1504">
        <f t="shared" si="0"/>
        <v>100</v>
      </c>
      <c r="T13" s="1503" t="s">
        <v>8</v>
      </c>
      <c r="U13" s="1504">
        <f t="shared" si="1"/>
        <v>100</v>
      </c>
      <c r="V13" s="1503" t="s">
        <v>8</v>
      </c>
      <c r="W13" s="1504">
        <f t="shared" si="2"/>
        <v>100</v>
      </c>
      <c r="X13" s="1505"/>
      <c r="Y13" s="3429"/>
      <c r="Z13" s="1133" t="str">
        <f t="shared" si="7"/>
        <v>容积率</v>
      </c>
      <c r="AA13" s="1506">
        <f t="shared" si="3"/>
        <v>1</v>
      </c>
      <c r="AB13" s="1506">
        <f t="shared" si="4"/>
        <v>1</v>
      </c>
      <c r="AC13" s="1506">
        <f t="shared" si="5"/>
        <v>1</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3"/>
      <c r="Q14" s="1134" t="str">
        <f t="shared" si="6"/>
        <v>配建</v>
      </c>
      <c r="R14" s="1503" t="s">
        <v>8</v>
      </c>
      <c r="S14" s="1504">
        <f t="shared" si="0"/>
        <v>100</v>
      </c>
      <c r="T14" s="1503" t="s">
        <v>8</v>
      </c>
      <c r="U14" s="1504">
        <f t="shared" si="1"/>
        <v>100</v>
      </c>
      <c r="V14" s="1503" t="s">
        <v>8</v>
      </c>
      <c r="W14" s="1504">
        <f t="shared" si="2"/>
        <v>100</v>
      </c>
      <c r="X14" s="1505"/>
      <c r="Y14" s="342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3"/>
      <c r="Q15" s="1134">
        <f t="shared" si="6"/>
        <v>111</v>
      </c>
      <c r="R15" s="1503" t="s">
        <v>8</v>
      </c>
      <c r="S15" s="1504">
        <f t="shared" si="0"/>
        <v>100</v>
      </c>
      <c r="T15" s="1503" t="s">
        <v>8</v>
      </c>
      <c r="U15" s="1504">
        <f t="shared" si="1"/>
        <v>100</v>
      </c>
      <c r="V15" s="1503" t="s">
        <v>8</v>
      </c>
      <c r="W15" s="1504">
        <f t="shared" si="2"/>
        <v>100</v>
      </c>
      <c r="X15" s="1505"/>
      <c r="Y15" s="342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3"/>
      <c r="Q16" s="1134">
        <f t="shared" si="6"/>
        <v>111</v>
      </c>
      <c r="R16" s="1503" t="s">
        <v>8</v>
      </c>
      <c r="S16" s="1504">
        <f t="shared" si="0"/>
        <v>100</v>
      </c>
      <c r="T16" s="1503" t="s">
        <v>8</v>
      </c>
      <c r="U16" s="1504">
        <f t="shared" si="1"/>
        <v>100</v>
      </c>
      <c r="V16" s="1503" t="s">
        <v>8</v>
      </c>
      <c r="W16" s="1504">
        <f t="shared" si="2"/>
        <v>100</v>
      </c>
      <c r="X16" s="1505"/>
      <c r="Y16" s="342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98</v>
      </c>
      <c r="K17" s="529">
        <v>2</v>
      </c>
      <c r="L17" s="2025"/>
      <c r="M17" s="2015"/>
      <c r="N17" s="2015"/>
      <c r="O17" s="2024"/>
      <c r="P17" s="3517" t="s">
        <v>534</v>
      </c>
      <c r="Q17" s="1507" t="str">
        <f t="shared" si="6"/>
        <v>居住社区成熟度</v>
      </c>
      <c r="R17" s="1508" t="s">
        <v>8</v>
      </c>
      <c r="S17" s="1509">
        <f t="shared" si="0"/>
        <v>100</v>
      </c>
      <c r="T17" s="1508" t="s">
        <v>8</v>
      </c>
      <c r="U17" s="1509">
        <f t="shared" si="1"/>
        <v>100</v>
      </c>
      <c r="V17" s="1508" t="s">
        <v>8</v>
      </c>
      <c r="W17" s="1509">
        <f t="shared" si="2"/>
        <v>98</v>
      </c>
      <c r="X17" s="1502"/>
      <c r="Y17" s="3517" t="s">
        <v>534</v>
      </c>
      <c r="Z17" s="1510" t="str">
        <f t="shared" si="7"/>
        <v>居住社区成熟度</v>
      </c>
      <c r="AA17" s="1511">
        <f t="shared" si="3"/>
        <v>1</v>
      </c>
      <c r="AB17" s="1511">
        <f t="shared" si="4"/>
        <v>1</v>
      </c>
      <c r="AC17" s="1511">
        <f t="shared" si="5"/>
        <v>1.0204081632653061</v>
      </c>
    </row>
    <row r="18" spans="1:29" ht="20.25">
      <c r="A18" s="526"/>
      <c r="B18" s="547"/>
      <c r="C18" s="548" t="s">
        <v>3129</v>
      </c>
      <c r="D18" s="551"/>
      <c r="E18" s="552" t="s">
        <v>3129</v>
      </c>
      <c r="F18" s="549"/>
      <c r="G18" s="550" t="s">
        <v>3129</v>
      </c>
      <c r="H18" s="553"/>
      <c r="I18" s="552" t="s">
        <v>3130</v>
      </c>
      <c r="J18" s="549"/>
      <c r="K18" s="525"/>
      <c r="L18" s="2025"/>
      <c r="M18" s="2015"/>
      <c r="N18" s="2015"/>
      <c r="O18" s="2024"/>
      <c r="P18" s="3518"/>
      <c r="Q18" s="1507"/>
      <c r="R18" s="1508"/>
      <c r="S18" s="1509"/>
      <c r="T18" s="1508"/>
      <c r="U18" s="1509"/>
      <c r="V18" s="1508"/>
      <c r="W18" s="1509"/>
      <c r="X18" s="1502"/>
      <c r="Y18" s="3518"/>
      <c r="Z18" s="1510"/>
      <c r="AA18" s="1511">
        <v>1</v>
      </c>
      <c r="AB18" s="1511">
        <v>1</v>
      </c>
      <c r="AC18" s="1511">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18"/>
      <c r="Q19" s="1507" t="str">
        <f>B19</f>
        <v>商业繁华度</v>
      </c>
      <c r="R19" s="1508" t="s">
        <v>8</v>
      </c>
      <c r="S19" s="1509">
        <f>F19</f>
        <v>100</v>
      </c>
      <c r="T19" s="1508" t="s">
        <v>8</v>
      </c>
      <c r="U19" s="1509">
        <f>H19</f>
        <v>100</v>
      </c>
      <c r="V19" s="1508" t="s">
        <v>8</v>
      </c>
      <c r="W19" s="1509">
        <f>J19</f>
        <v>100</v>
      </c>
      <c r="X19" s="1502"/>
      <c r="Y19" s="3518"/>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5"/>
      <c r="M20" s="2015"/>
      <c r="N20" s="2015"/>
      <c r="O20" s="2024"/>
      <c r="P20" s="3518"/>
      <c r="Q20" s="1507"/>
      <c r="R20" s="1508"/>
      <c r="S20" s="1509"/>
      <c r="T20" s="1508"/>
      <c r="U20" s="1509"/>
      <c r="V20" s="1508"/>
      <c r="W20" s="1509"/>
      <c r="X20" s="1502"/>
      <c r="Y20" s="3518"/>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8"/>
      <c r="Q21" s="1507" t="str">
        <f>B21</f>
        <v>办公集聚程度</v>
      </c>
      <c r="R21" s="1508" t="s">
        <v>8</v>
      </c>
      <c r="S21" s="1509">
        <f>F21</f>
        <v>100</v>
      </c>
      <c r="T21" s="1508" t="s">
        <v>8</v>
      </c>
      <c r="U21" s="1509">
        <f>H21</f>
        <v>100</v>
      </c>
      <c r="V21" s="1508" t="s">
        <v>8</v>
      </c>
      <c r="W21" s="1509">
        <f>J21</f>
        <v>100</v>
      </c>
      <c r="X21" s="1502"/>
      <c r="Y21" s="3518"/>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18"/>
      <c r="Q22" s="1507"/>
      <c r="R22" s="1508"/>
      <c r="S22" s="1509"/>
      <c r="T22" s="1508"/>
      <c r="U22" s="1509"/>
      <c r="V22" s="1508"/>
      <c r="W22" s="1509"/>
      <c r="X22" s="1502"/>
      <c r="Y22" s="351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98</v>
      </c>
      <c r="K23" s="529">
        <v>2</v>
      </c>
      <c r="L23" s="2025"/>
      <c r="M23" s="2015"/>
      <c r="N23" s="2015"/>
      <c r="O23" s="2024"/>
      <c r="P23" s="3518"/>
      <c r="Q23" s="1507" t="str">
        <f>B23</f>
        <v>交通便捷度</v>
      </c>
      <c r="R23" s="1508" t="s">
        <v>8</v>
      </c>
      <c r="S23" s="1509">
        <f>F23</f>
        <v>100</v>
      </c>
      <c r="T23" s="1508" t="s">
        <v>8</v>
      </c>
      <c r="U23" s="1509">
        <f>H23</f>
        <v>100</v>
      </c>
      <c r="V23" s="1508" t="s">
        <v>8</v>
      </c>
      <c r="W23" s="1509">
        <f>J23</f>
        <v>98</v>
      </c>
      <c r="X23" s="1502"/>
      <c r="Y23" s="3518"/>
      <c r="Z23" s="1510" t="str">
        <f>Q23</f>
        <v>交通便捷度</v>
      </c>
      <c r="AA23" s="1511">
        <f t="shared" si="3"/>
        <v>1</v>
      </c>
      <c r="AB23" s="1511">
        <f t="shared" si="4"/>
        <v>1</v>
      </c>
      <c r="AC23" s="1511">
        <f t="shared" si="5"/>
        <v>1.0204081632653061</v>
      </c>
    </row>
    <row r="24" spans="1:29" ht="20.25">
      <c r="A24" s="526"/>
      <c r="B24" s="572"/>
      <c r="C24" s="548" t="s">
        <v>3129</v>
      </c>
      <c r="D24" s="551"/>
      <c r="E24" s="552" t="s">
        <v>3129</v>
      </c>
      <c r="F24" s="549"/>
      <c r="G24" s="550" t="s">
        <v>3129</v>
      </c>
      <c r="H24" s="549"/>
      <c r="I24" s="552" t="s">
        <v>3130</v>
      </c>
      <c r="J24" s="549"/>
      <c r="K24" s="525"/>
      <c r="L24" s="2025"/>
      <c r="M24" s="2015"/>
      <c r="N24" s="2015"/>
      <c r="O24" s="2024"/>
      <c r="P24" s="3518"/>
      <c r="Q24" s="1507"/>
      <c r="R24" s="1508"/>
      <c r="S24" s="1509"/>
      <c r="T24" s="1508"/>
      <c r="U24" s="1509"/>
      <c r="V24" s="1508"/>
      <c r="W24" s="1509"/>
      <c r="X24" s="1502"/>
      <c r="Y24" s="351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8"/>
      <c r="Q25" s="1507" t="str">
        <f t="shared" ref="Q25:Q39" si="8">B25</f>
        <v>区域土地利用方向</v>
      </c>
      <c r="R25" s="1508" t="s">
        <v>8</v>
      </c>
      <c r="S25" s="1509">
        <f>F25</f>
        <v>100</v>
      </c>
      <c r="T25" s="1508" t="s">
        <v>8</v>
      </c>
      <c r="U25" s="1509">
        <f>H25</f>
        <v>100</v>
      </c>
      <c r="V25" s="1508" t="s">
        <v>8</v>
      </c>
      <c r="W25" s="1509">
        <f>J25</f>
        <v>100</v>
      </c>
      <c r="X25" s="1502"/>
      <c r="Y25" s="351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18"/>
      <c r="Q26" s="1507"/>
      <c r="R26" s="1508"/>
      <c r="S26" s="1509"/>
      <c r="T26" s="1508"/>
      <c r="U26" s="1509"/>
      <c r="V26" s="1508"/>
      <c r="W26" s="1509"/>
      <c r="X26" s="1502"/>
      <c r="Y26" s="351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18"/>
      <c r="Q27" s="1507" t="str">
        <f t="shared" si="8"/>
        <v>自然及人文环境状况</v>
      </c>
      <c r="R27" s="1508" t="s">
        <v>8</v>
      </c>
      <c r="S27" s="1509">
        <f>F27</f>
        <v>100</v>
      </c>
      <c r="T27" s="1508" t="s">
        <v>8</v>
      </c>
      <c r="U27" s="1509">
        <f>H27</f>
        <v>100</v>
      </c>
      <c r="V27" s="1508" t="s">
        <v>8</v>
      </c>
      <c r="W27" s="1509">
        <f>J27</f>
        <v>100</v>
      </c>
      <c r="X27" s="1502"/>
      <c r="Y27" s="351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18"/>
      <c r="Q28" s="1507"/>
      <c r="R28" s="1508"/>
      <c r="S28" s="1509"/>
      <c r="T28" s="1508"/>
      <c r="U28" s="1509"/>
      <c r="V28" s="1508"/>
      <c r="W28" s="1509"/>
      <c r="X28" s="1502"/>
      <c r="Y28" s="351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18"/>
      <c r="Q29" s="1134" t="str">
        <f t="shared" si="8"/>
        <v>公共配套设施</v>
      </c>
      <c r="R29" s="1503" t="s">
        <v>8</v>
      </c>
      <c r="S29" s="1504">
        <f>F29</f>
        <v>100</v>
      </c>
      <c r="T29" s="1503" t="s">
        <v>8</v>
      </c>
      <c r="U29" s="1504">
        <f>H29</f>
        <v>100</v>
      </c>
      <c r="V29" s="1503" t="s">
        <v>8</v>
      </c>
      <c r="W29" s="1504">
        <f>J29</f>
        <v>100</v>
      </c>
      <c r="X29" s="1505"/>
      <c r="Y29" s="351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18"/>
      <c r="Q30" s="1134"/>
      <c r="R30" s="1503"/>
      <c r="S30" s="1504"/>
      <c r="T30" s="1503"/>
      <c r="U30" s="1504"/>
      <c r="V30" s="1503"/>
      <c r="W30" s="1504"/>
      <c r="X30" s="1505"/>
      <c r="Y30" s="351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8"/>
      <c r="Q31" s="2429" t="str">
        <f t="shared" ref="Q31" si="9">B31</f>
        <v>基础设施水平</v>
      </c>
      <c r="R31" s="1503" t="s">
        <v>8</v>
      </c>
      <c r="S31" s="1504">
        <f>F31</f>
        <v>100</v>
      </c>
      <c r="T31" s="1503" t="s">
        <v>8</v>
      </c>
      <c r="U31" s="1504">
        <f>H31</f>
        <v>100</v>
      </c>
      <c r="V31" s="1503" t="s">
        <v>8</v>
      </c>
      <c r="W31" s="1504">
        <f>J31</f>
        <v>100</v>
      </c>
      <c r="X31" s="1505"/>
      <c r="Y31" s="351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18"/>
      <c r="Q32" s="2429"/>
      <c r="R32" s="1503"/>
      <c r="S32" s="1504"/>
      <c r="T32" s="1503"/>
      <c r="U32" s="1504"/>
      <c r="V32" s="1503"/>
      <c r="W32" s="1504"/>
      <c r="X32" s="1505"/>
      <c r="Y32" s="351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8"/>
      <c r="Q34" s="1507" t="str">
        <f t="shared" si="8"/>
        <v>毗邻道路的类型与等级</v>
      </c>
      <c r="R34" s="1508" t="s">
        <v>8</v>
      </c>
      <c r="S34" s="1509">
        <f t="shared" si="10"/>
        <v>100</v>
      </c>
      <c r="T34" s="1508" t="s">
        <v>8</v>
      </c>
      <c r="U34" s="1509">
        <f t="shared" si="11"/>
        <v>100</v>
      </c>
      <c r="V34" s="1508" t="s">
        <v>8</v>
      </c>
      <c r="W34" s="1509">
        <f t="shared" si="12"/>
        <v>100</v>
      </c>
      <c r="X34" s="1502"/>
      <c r="Y34" s="351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18"/>
      <c r="Q35" s="1507"/>
      <c r="R35" s="1508"/>
      <c r="S35" s="1509"/>
      <c r="T35" s="1508"/>
      <c r="U35" s="1509"/>
      <c r="V35" s="1508"/>
      <c r="W35" s="1509"/>
      <c r="X35" s="1502"/>
      <c r="Y35" s="351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8"/>
      <c r="Q36" s="1507" t="str">
        <f t="shared" si="8"/>
        <v>土地级别</v>
      </c>
      <c r="R36" s="1508" t="s">
        <v>8</v>
      </c>
      <c r="S36" s="1509">
        <f t="shared" si="10"/>
        <v>100</v>
      </c>
      <c r="T36" s="1508" t="s">
        <v>8</v>
      </c>
      <c r="U36" s="1509">
        <f t="shared" si="11"/>
        <v>100</v>
      </c>
      <c r="V36" s="1508" t="s">
        <v>8</v>
      </c>
      <c r="W36" s="1509">
        <f t="shared" si="12"/>
        <v>100</v>
      </c>
      <c r="X36" s="1502"/>
      <c r="Y36" s="351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8"/>
      <c r="Q37" s="1507">
        <f t="shared" si="8"/>
        <v>111</v>
      </c>
      <c r="R37" s="1508" t="s">
        <v>8</v>
      </c>
      <c r="S37" s="1509">
        <f t="shared" si="10"/>
        <v>100</v>
      </c>
      <c r="T37" s="1508" t="s">
        <v>8</v>
      </c>
      <c r="U37" s="1509">
        <f t="shared" si="11"/>
        <v>100</v>
      </c>
      <c r="V37" s="1508" t="s">
        <v>8</v>
      </c>
      <c r="W37" s="1509">
        <f t="shared" si="12"/>
        <v>100</v>
      </c>
      <c r="X37" s="1502"/>
      <c r="Y37" s="351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9" t="s">
        <v>544</v>
      </c>
      <c r="Q38" s="1507">
        <f t="shared" si="8"/>
        <v>111</v>
      </c>
      <c r="R38" s="1508" t="s">
        <v>8</v>
      </c>
      <c r="S38" s="1509">
        <f t="shared" si="10"/>
        <v>100</v>
      </c>
      <c r="T38" s="1508" t="s">
        <v>8</v>
      </c>
      <c r="U38" s="1509">
        <f t="shared" si="11"/>
        <v>100</v>
      </c>
      <c r="V38" s="1508" t="s">
        <v>8</v>
      </c>
      <c r="W38" s="1509">
        <f t="shared" si="12"/>
        <v>100</v>
      </c>
      <c r="X38" s="1502"/>
      <c r="Y38" s="352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20"/>
      <c r="Q39" s="1507">
        <f t="shared" si="8"/>
        <v>111</v>
      </c>
      <c r="R39" s="1512" t="s">
        <v>8</v>
      </c>
      <c r="S39" s="1513">
        <f t="shared" si="10"/>
        <v>100</v>
      </c>
      <c r="T39" s="1512" t="s">
        <v>8</v>
      </c>
      <c r="U39" s="1513">
        <f t="shared" si="11"/>
        <v>100</v>
      </c>
      <c r="V39" s="1512" t="s">
        <v>8</v>
      </c>
      <c r="W39" s="1513">
        <f t="shared" si="12"/>
        <v>100</v>
      </c>
      <c r="X39" s="1514"/>
      <c r="Y39" s="3520"/>
      <c r="Z39" s="1515">
        <f t="shared" si="13"/>
        <v>111</v>
      </c>
      <c r="AA39" s="1511">
        <f t="shared" si="3"/>
        <v>1</v>
      </c>
      <c r="AB39" s="1511">
        <f t="shared" si="4"/>
        <v>1</v>
      </c>
      <c r="AC39" s="1511">
        <f t="shared" si="5"/>
        <v>1</v>
      </c>
    </row>
    <row r="40" spans="1:29" ht="20.25">
      <c r="A40" s="2625" t="s">
        <v>2735</v>
      </c>
      <c r="B40" s="589" t="s">
        <v>546</v>
      </c>
      <c r="C40" s="590">
        <f>'数据-基础表'!A3</f>
        <v>118010.9</v>
      </c>
      <c r="D40" s="591">
        <v>100</v>
      </c>
      <c r="E40" s="590">
        <f>Sheet2!D2</f>
        <v>94861.1</v>
      </c>
      <c r="F40" s="591">
        <f>LOOKUP(E40,119:119,120:120)-LOOKUP(C40,119:119,120:120)+100</f>
        <v>99</v>
      </c>
      <c r="G40" s="590">
        <f>Sheet2!D3</f>
        <v>48585.2</v>
      </c>
      <c r="H40" s="591">
        <f>LOOKUP(G40,119:119,120:120)-LOOKUP(C40,119:119,120:120)+100</f>
        <v>97</v>
      </c>
      <c r="I40" s="592">
        <f>Sheet2!D7</f>
        <v>123633.1</v>
      </c>
      <c r="J40" s="591">
        <f>LOOKUP(I40,119:119,120:120)-LOOKUP(C40,119:119,120:120)+100</f>
        <v>101</v>
      </c>
      <c r="K40" s="575"/>
      <c r="L40" s="2025"/>
      <c r="M40" s="2015"/>
      <c r="N40" s="2015"/>
      <c r="O40" s="2024"/>
      <c r="P40" s="3520"/>
      <c r="Q40" s="1507" t="str">
        <f>B40</f>
        <v>宗地面积</v>
      </c>
      <c r="R40" s="1508" t="s">
        <v>8</v>
      </c>
      <c r="S40" s="1509">
        <f t="shared" si="10"/>
        <v>99</v>
      </c>
      <c r="T40" s="1508" t="s">
        <v>8</v>
      </c>
      <c r="U40" s="1509">
        <f t="shared" si="11"/>
        <v>97</v>
      </c>
      <c r="V40" s="1508" t="s">
        <v>8</v>
      </c>
      <c r="W40" s="1509">
        <f t="shared" si="12"/>
        <v>101</v>
      </c>
      <c r="X40" s="1502"/>
      <c r="Y40" s="3520"/>
      <c r="Z40" s="1510" t="str">
        <f t="shared" si="13"/>
        <v>宗地面积</v>
      </c>
      <c r="AA40" s="1511">
        <f t="shared" si="3"/>
        <v>1.0101010101010102</v>
      </c>
      <c r="AB40" s="1511">
        <f t="shared" si="4"/>
        <v>1.0309278350515463</v>
      </c>
      <c r="AC40" s="1511">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20"/>
      <c r="Q41" s="1507" t="str">
        <f t="shared" ref="Q41:Q47" si="14">B41</f>
        <v>宗地形状</v>
      </c>
      <c r="R41" s="1508" t="s">
        <v>8</v>
      </c>
      <c r="S41" s="1509">
        <f t="shared" si="10"/>
        <v>100</v>
      </c>
      <c r="T41" s="1508" t="s">
        <v>8</v>
      </c>
      <c r="U41" s="1509">
        <f t="shared" si="11"/>
        <v>100</v>
      </c>
      <c r="V41" s="1508" t="s">
        <v>8</v>
      </c>
      <c r="W41" s="1509">
        <f t="shared" si="12"/>
        <v>100</v>
      </c>
      <c r="X41" s="1502"/>
      <c r="Y41" s="352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20"/>
      <c r="Q42" s="1507" t="str">
        <f t="shared" si="14"/>
        <v>临街宽度及深度</v>
      </c>
      <c r="R42" s="1508" t="s">
        <v>8</v>
      </c>
      <c r="S42" s="1509">
        <f t="shared" si="10"/>
        <v>100</v>
      </c>
      <c r="T42" s="1508" t="s">
        <v>8</v>
      </c>
      <c r="U42" s="1509">
        <f t="shared" si="11"/>
        <v>100</v>
      </c>
      <c r="V42" s="1508" t="s">
        <v>8</v>
      </c>
      <c r="W42" s="1509">
        <f t="shared" si="12"/>
        <v>100</v>
      </c>
      <c r="X42" s="1502"/>
      <c r="Y42" s="3520"/>
      <c r="Z42" s="1510" t="str">
        <f t="shared" si="13"/>
        <v>临街宽度及深度</v>
      </c>
      <c r="AA42" s="1511">
        <f t="shared" si="3"/>
        <v>1</v>
      </c>
      <c r="AB42" s="1511">
        <f t="shared" si="4"/>
        <v>1</v>
      </c>
      <c r="AC42" s="1511">
        <f t="shared" si="5"/>
        <v>1</v>
      </c>
    </row>
    <row r="43" spans="1:29" s="1203" customFormat="1" ht="20.25">
      <c r="A43" s="594"/>
      <c r="B43" s="1810" t="s">
        <v>2409</v>
      </c>
      <c r="C43" s="3304" t="s">
        <v>3131</v>
      </c>
      <c r="D43" s="253">
        <v>100</v>
      </c>
      <c r="E43" s="3304" t="s">
        <v>3134</v>
      </c>
      <c r="F43" s="534">
        <f>SUMIF(125:125,E43,126:126)-SUMIF(125:125,C43,126:126)+100</f>
        <v>92</v>
      </c>
      <c r="G43" s="3304" t="s">
        <v>3134</v>
      </c>
      <c r="H43" s="534">
        <f>SUMIF(125:125,G43,126:126)-SUMIF(125:125,C43,126:126)+100</f>
        <v>92</v>
      </c>
      <c r="I43" s="3304" t="s">
        <v>3134</v>
      </c>
      <c r="J43" s="534">
        <f>SUMIF(125:125,I43,126:126)-SUMIF(125:125,C43,126:126)+100</f>
        <v>92</v>
      </c>
      <c r="K43" s="578">
        <v>2</v>
      </c>
      <c r="L43" s="2018"/>
      <c r="M43" s="2015"/>
      <c r="N43" s="2015"/>
      <c r="O43" s="2020"/>
      <c r="P43" s="3520"/>
      <c r="Q43" s="1507" t="str">
        <f t="shared" si="14"/>
        <v>宗地开发程度</v>
      </c>
      <c r="R43" s="1503" t="s">
        <v>8</v>
      </c>
      <c r="S43" s="1504">
        <f t="shared" si="10"/>
        <v>92</v>
      </c>
      <c r="T43" s="1503" t="s">
        <v>8</v>
      </c>
      <c r="U43" s="1504">
        <f t="shared" si="11"/>
        <v>92</v>
      </c>
      <c r="V43" s="1503" t="s">
        <v>8</v>
      </c>
      <c r="W43" s="1504">
        <f t="shared" si="12"/>
        <v>92</v>
      </c>
      <c r="X43" s="1505"/>
      <c r="Y43" s="3520"/>
      <c r="Z43" s="1133" t="str">
        <f t="shared" si="13"/>
        <v>宗地开发程度</v>
      </c>
      <c r="AA43" s="1506">
        <f t="shared" si="3"/>
        <v>1.0869565217391304</v>
      </c>
      <c r="AB43" s="1506">
        <f t="shared" si="4"/>
        <v>1.0869565217391304</v>
      </c>
      <c r="AC43" s="1506">
        <f t="shared" si="5"/>
        <v>1.0869565217391304</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20" t="s">
        <v>544</v>
      </c>
      <c r="Q44" s="1507" t="str">
        <f t="shared" si="14"/>
        <v>工程地质条件</v>
      </c>
      <c r="R44" s="1508" t="s">
        <v>8</v>
      </c>
      <c r="S44" s="1509">
        <f t="shared" si="10"/>
        <v>100</v>
      </c>
      <c r="T44" s="1508" t="s">
        <v>8</v>
      </c>
      <c r="U44" s="1509">
        <f t="shared" si="11"/>
        <v>100</v>
      </c>
      <c r="V44" s="1508" t="s">
        <v>8</v>
      </c>
      <c r="W44" s="1509">
        <f t="shared" si="12"/>
        <v>100</v>
      </c>
      <c r="X44" s="1502"/>
      <c r="Y44" s="352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20"/>
      <c r="Q45" s="1507">
        <f t="shared" si="14"/>
        <v>111</v>
      </c>
      <c r="R45" s="1508" t="s">
        <v>8</v>
      </c>
      <c r="S45" s="1509">
        <f t="shared" si="10"/>
        <v>100</v>
      </c>
      <c r="T45" s="1508" t="s">
        <v>8</v>
      </c>
      <c r="U45" s="1509">
        <f t="shared" si="11"/>
        <v>100</v>
      </c>
      <c r="V45" s="1508" t="s">
        <v>8</v>
      </c>
      <c r="W45" s="1509">
        <f t="shared" si="12"/>
        <v>100</v>
      </c>
      <c r="X45" s="1502"/>
      <c r="Y45" s="352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20"/>
      <c r="Q46" s="1507">
        <f t="shared" si="14"/>
        <v>111</v>
      </c>
      <c r="R46" s="1508" t="s">
        <v>8</v>
      </c>
      <c r="S46" s="1509">
        <f t="shared" si="10"/>
        <v>100</v>
      </c>
      <c r="T46" s="1508" t="s">
        <v>8</v>
      </c>
      <c r="U46" s="1509">
        <f t="shared" si="11"/>
        <v>100</v>
      </c>
      <c r="V46" s="1508" t="s">
        <v>8</v>
      </c>
      <c r="W46" s="1509">
        <f t="shared" si="12"/>
        <v>100</v>
      </c>
      <c r="X46" s="1502"/>
      <c r="Y46" s="352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20"/>
      <c r="Q47" s="1507">
        <f t="shared" si="14"/>
        <v>111</v>
      </c>
      <c r="R47" s="1512" t="s">
        <v>8</v>
      </c>
      <c r="S47" s="1513">
        <f t="shared" si="10"/>
        <v>100</v>
      </c>
      <c r="T47" s="1512" t="s">
        <v>8</v>
      </c>
      <c r="U47" s="1513">
        <f t="shared" si="11"/>
        <v>100</v>
      </c>
      <c r="V47" s="1512" t="s">
        <v>8</v>
      </c>
      <c r="W47" s="1513">
        <f t="shared" si="12"/>
        <v>100</v>
      </c>
      <c r="X47" s="1514"/>
      <c r="Y47" s="3520"/>
      <c r="Z47" s="1515">
        <f t="shared" si="13"/>
        <v>111</v>
      </c>
      <c r="AA47" s="1511">
        <f t="shared" si="3"/>
        <v>1</v>
      </c>
      <c r="AB47" s="1511">
        <f t="shared" si="4"/>
        <v>1</v>
      </c>
      <c r="AC47" s="1511">
        <f t="shared" si="5"/>
        <v>1</v>
      </c>
    </row>
    <row r="48" spans="1:29" ht="20.25">
      <c r="A48" s="601" t="s">
        <v>550</v>
      </c>
      <c r="B48" s="602" t="s">
        <v>3109</v>
      </c>
      <c r="C48" s="603" t="s">
        <v>1</v>
      </c>
      <c r="D48" s="604"/>
      <c r="E48" s="605">
        <v>2879</v>
      </c>
      <c r="F48" s="606"/>
      <c r="G48" s="607">
        <v>2631</v>
      </c>
      <c r="H48" s="608"/>
      <c r="I48" s="605">
        <v>3007</v>
      </c>
      <c r="J48" s="608"/>
      <c r="K48" s="1294"/>
      <c r="L48" s="2027"/>
      <c r="M48" s="2015"/>
      <c r="N48" s="2015"/>
      <c r="O48" s="2028"/>
      <c r="P48" s="3483" t="str">
        <f>A48</f>
        <v>成交单价</v>
      </c>
      <c r="Q48" s="3483"/>
      <c r="R48" s="3484">
        <f>E48</f>
        <v>2879</v>
      </c>
      <c r="S48" s="3484"/>
      <c r="T48" s="3484">
        <f>G48</f>
        <v>2631</v>
      </c>
      <c r="U48" s="3484"/>
      <c r="V48" s="3484">
        <f>I48</f>
        <v>3007</v>
      </c>
      <c r="W48" s="3484"/>
      <c r="X48" s="1497"/>
      <c r="Y48" s="1516"/>
      <c r="Z48" s="1497"/>
      <c r="AA48" s="1497"/>
      <c r="AB48" s="1497"/>
      <c r="AC48" s="1497"/>
    </row>
    <row r="49" spans="1:29" ht="21" thickBot="1">
      <c r="A49" s="609" t="s">
        <v>2673</v>
      </c>
      <c r="B49" s="610"/>
      <c r="C49" s="611">
        <f>R50</f>
        <v>3138</v>
      </c>
      <c r="D49" s="3014" t="s">
        <v>2971</v>
      </c>
      <c r="E49" s="611">
        <f>R49</f>
        <v>3108</v>
      </c>
      <c r="F49" s="3015"/>
      <c r="G49" s="612">
        <f>T49</f>
        <v>2899</v>
      </c>
      <c r="H49" s="3015"/>
      <c r="I49" s="611">
        <f>V49</f>
        <v>3406</v>
      </c>
      <c r="J49" s="3015"/>
      <c r="K49" s="3016">
        <f>F49+H49+J49</f>
        <v>0</v>
      </c>
      <c r="L49" s="2027"/>
      <c r="M49" s="2015"/>
      <c r="N49" s="2015"/>
      <c r="O49" s="2028"/>
      <c r="P49" s="3483" t="str">
        <f>A49</f>
        <v>比较价格（元/平方米）</v>
      </c>
      <c r="Q49" s="3483"/>
      <c r="R49" s="3485">
        <f>ROUND(PRODUCT(R48,AA9:AA47),0)</f>
        <v>3108</v>
      </c>
      <c r="S49" s="3485"/>
      <c r="T49" s="3485">
        <f>ROUND(PRODUCT(T48,AB9:AB47),0)</f>
        <v>2899</v>
      </c>
      <c r="U49" s="3485"/>
      <c r="V49" s="3485">
        <f>ROUND(PRODUCT(V48,AC9:AC47),0)</f>
        <v>3406</v>
      </c>
      <c r="W49" s="3485"/>
      <c r="X49" s="1497"/>
      <c r="Y49" s="1497"/>
      <c r="Z49" s="1497"/>
      <c r="AA49" s="1497"/>
      <c r="AB49" s="1497"/>
      <c r="AC49" s="1497"/>
    </row>
    <row r="50" spans="1:29" ht="21" thickBot="1">
      <c r="A50" s="613" t="s">
        <v>2903</v>
      </c>
      <c r="B50" s="614"/>
      <c r="C50" s="615">
        <f>R50</f>
        <v>3138</v>
      </c>
      <c r="D50" s="615"/>
      <c r="E50" s="615"/>
      <c r="F50" s="615"/>
      <c r="G50" s="615"/>
      <c r="H50" s="615"/>
      <c r="I50" s="615"/>
      <c r="J50" s="615"/>
      <c r="K50" s="1295"/>
      <c r="L50" s="2027"/>
      <c r="M50" s="2015"/>
      <c r="N50" s="2015"/>
      <c r="O50" s="2028"/>
      <c r="P50" s="3480" t="str">
        <f>A50</f>
        <v>估价对象XX用房的比较价格（楼面单价，元/平方米）</v>
      </c>
      <c r="Q50" s="3481"/>
      <c r="R50" s="3482">
        <f>ROUND(IF(D49="简单平均",AVERAGE(R49:W49),R49*F49+T49*H49+V49*J49),0)</f>
        <v>3138</v>
      </c>
      <c r="S50" s="3482"/>
      <c r="T50" s="3482"/>
      <c r="U50" s="3482"/>
      <c r="V50" s="3482"/>
      <c r="W50" s="348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7.9541507467870698E-2</v>
      </c>
      <c r="F53" s="619" t="str">
        <f>IF(OR(E53&gt;=0.3,E53&lt;=-0.3),"超过30%","")</f>
        <v/>
      </c>
      <c r="G53" s="618">
        <f>IF(G48&lt;G49,G49/G48-1,G48/G49-1)</f>
        <v>0.1018624097301406</v>
      </c>
      <c r="H53" s="619" t="str">
        <f>IF(OR(G53&gt;=0.3,G53&lt;=-0.3),"超过30%","")</f>
        <v/>
      </c>
      <c r="I53" s="618">
        <f>IF(I48&lt;I49,I49/I48-1,I48/I49-1)</f>
        <v>0.1326903890921185</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7.2093825457054228E-2</v>
      </c>
      <c r="F54" s="619" t="str">
        <f>IF(OR(E54&gt;=0.2,E54&lt;=-0.2),"超过20%","")</f>
        <v/>
      </c>
      <c r="G54" s="618">
        <f>IF(G49&lt;I49,I49/G49-1,G49/I49-1)</f>
        <v>0.17488789237668168</v>
      </c>
      <c r="H54" s="619" t="str">
        <f>IF(OR(G54&gt;=0.2,G54&lt;=-0.2),"超过20%","")</f>
        <v/>
      </c>
      <c r="I54" s="618">
        <f>IF(I49&lt;E49,E49/I49-1,I49/E49-1)</f>
        <v>9.5881595881595949E-2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9.4260737362219738E-2</v>
      </c>
      <c r="F55" s="619" t="str">
        <f>IF(OR(E55&gt;=0.3,E55&lt;=-0.3),"超过30%","")</f>
        <v/>
      </c>
      <c r="G55" s="618">
        <f>IF(G48&lt;I48,I48/G48-1,G48/I48-1)</f>
        <v>0.14291144051691362</v>
      </c>
      <c r="H55" s="619" t="str">
        <f>IF(OR(G55&gt;=0.3,G55&lt;=-0.3),"超过30%","")</f>
        <v/>
      </c>
      <c r="I55" s="618">
        <f>IF(I48&lt;E48,E48/I48-1,I48/E48-1)</f>
        <v>4.4459881903438747E-2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9" t="s">
        <v>2269</v>
      </c>
      <c r="H57" s="351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3138</v>
      </c>
      <c r="C58" s="627">
        <v>1</v>
      </c>
      <c r="D58" s="2109">
        <v>1</v>
      </c>
      <c r="E58" s="627">
        <f>'数据-汇总表'!E8+'数据-汇总表'!E9</f>
        <v>160160.98000000001</v>
      </c>
      <c r="F58" s="628">
        <f t="shared" ref="F58:F67" si="15">ROUND(B58*E58/10000,0)</f>
        <v>50259</v>
      </c>
      <c r="G58" s="3511"/>
      <c r="H58" s="351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13"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13"/>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13"/>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13"/>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36548.259999999995</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196709.24</v>
      </c>
      <c r="F68" s="636">
        <f>IF(B48="楼面地价",SUM(F58:F67),ROUND(C50*E68/10000,0))</f>
        <v>50259</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2021-9-1</v>
      </c>
      <c r="D70" s="2517">
        <f>EDATE(C70,-3)</f>
        <v>44348</v>
      </c>
      <c r="E70" s="2517">
        <f t="shared" ref="E70:N70" si="18">EDATE(D70,-3)</f>
        <v>44256</v>
      </c>
      <c r="F70" s="2517">
        <f t="shared" si="18"/>
        <v>44166</v>
      </c>
      <c r="G70" s="2517">
        <f t="shared" si="18"/>
        <v>44075</v>
      </c>
      <c r="H70" s="2517">
        <f t="shared" si="18"/>
        <v>43983</v>
      </c>
      <c r="I70" s="2517">
        <f t="shared" si="18"/>
        <v>43891</v>
      </c>
      <c r="J70" s="2517">
        <f t="shared" si="18"/>
        <v>43800</v>
      </c>
      <c r="K70" s="2517">
        <f t="shared" si="18"/>
        <v>43709</v>
      </c>
      <c r="L70" s="2517">
        <f t="shared" si="18"/>
        <v>43617</v>
      </c>
      <c r="M70" s="2517">
        <f t="shared" si="18"/>
        <v>43525</v>
      </c>
      <c r="N70" s="2517">
        <f t="shared" si="18"/>
        <v>43435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v>99.7</v>
      </c>
      <c r="E73" s="722">
        <v>99.4</v>
      </c>
      <c r="F73" s="722">
        <v>99.1</v>
      </c>
      <c r="G73" s="722">
        <v>98.8</v>
      </c>
      <c r="H73" s="722">
        <v>98.5</v>
      </c>
      <c r="I73" s="722">
        <v>98.2</v>
      </c>
      <c r="J73" s="722">
        <v>97.9</v>
      </c>
      <c r="K73" s="722">
        <v>97.6</v>
      </c>
      <c r="L73" s="722">
        <v>97.3</v>
      </c>
      <c r="M73" s="722">
        <v>97</v>
      </c>
      <c r="N73" s="722">
        <v>96.7</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120000(含)-140000</v>
      </c>
      <c r="J118" s="2780" t="str">
        <f t="shared" si="25"/>
        <v>140000(含)-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120000</v>
      </c>
      <c r="J119" s="2223">
        <v>140000</v>
      </c>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3131</v>
      </c>
      <c r="D125" s="1327" t="s">
        <v>3132</v>
      </c>
      <c r="E125" s="1327" t="s">
        <v>3133</v>
      </c>
      <c r="F125" s="1327" t="s">
        <v>3135</v>
      </c>
      <c r="G125" s="1327" t="s">
        <v>3134</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5" t="str">
        <f>项目基本情况!B1</f>
        <v>出让国有建设用地使用权抵押价格预评估</v>
      </c>
      <c r="C37" s="3305"/>
      <c r="D37" s="3305"/>
      <c r="E37" s="3305"/>
      <c r="F37" s="3305"/>
      <c r="G37" s="3305"/>
      <c r="H37" s="3305"/>
      <c r="I37" s="330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workbookViewId="0">
      <selection activeCell="M22" sqref="M22"/>
    </sheetView>
  </sheetViews>
  <sheetFormatPr defaultRowHeight="13.5"/>
  <cols>
    <col min="1" max="1" width="30.75" customWidth="1"/>
  </cols>
  <sheetData>
    <row r="1" spans="1:17">
      <c r="A1" s="3296" t="s">
        <v>3049</v>
      </c>
      <c r="B1" s="3296" t="s">
        <v>3050</v>
      </c>
      <c r="C1" s="3296" t="s">
        <v>3081</v>
      </c>
      <c r="D1" s="3296" t="s">
        <v>3082</v>
      </c>
      <c r="E1" s="3296" t="s">
        <v>3083</v>
      </c>
      <c r="F1" s="3296" t="s">
        <v>2021</v>
      </c>
      <c r="G1" s="3296" t="s">
        <v>3051</v>
      </c>
      <c r="H1" s="3296" t="s">
        <v>3084</v>
      </c>
      <c r="I1" s="3296" t="s">
        <v>3085</v>
      </c>
      <c r="J1" s="3296" t="s">
        <v>3086</v>
      </c>
      <c r="K1" s="3296" t="s">
        <v>3087</v>
      </c>
      <c r="L1" s="3296" t="s">
        <v>3088</v>
      </c>
      <c r="M1" s="3296" t="s">
        <v>3089</v>
      </c>
      <c r="N1" s="3296" t="s">
        <v>3090</v>
      </c>
      <c r="O1" s="3296" t="s">
        <v>3053</v>
      </c>
      <c r="P1" s="3296" t="s">
        <v>3052</v>
      </c>
      <c r="Q1" s="3296" t="s">
        <v>3091</v>
      </c>
    </row>
    <row r="2" spans="1:17" s="3297" customFormat="1">
      <c r="A2" s="3295" t="s">
        <v>3054</v>
      </c>
      <c r="B2" s="3295" t="s">
        <v>3055</v>
      </c>
      <c r="C2" s="3295" t="s">
        <v>3056</v>
      </c>
      <c r="D2" s="3295">
        <v>94861.1</v>
      </c>
      <c r="E2" s="3295">
        <v>113833.32</v>
      </c>
      <c r="F2" s="3295" t="s">
        <v>3092</v>
      </c>
      <c r="G2" s="3295" t="s">
        <v>3057</v>
      </c>
      <c r="H2" s="3295" t="s">
        <v>3093</v>
      </c>
      <c r="I2" s="3295" t="s">
        <v>3094</v>
      </c>
      <c r="J2" s="3295" t="s">
        <v>3058</v>
      </c>
      <c r="K2" s="3295" t="s">
        <v>3058</v>
      </c>
      <c r="L2" s="3295">
        <v>32770</v>
      </c>
      <c r="M2" s="3295">
        <v>32770</v>
      </c>
      <c r="N2" s="3295">
        <v>2878.76</v>
      </c>
      <c r="O2" s="3295">
        <v>0</v>
      </c>
      <c r="P2" s="3295" t="s">
        <v>3059</v>
      </c>
      <c r="Q2" s="3295" t="s">
        <v>3095</v>
      </c>
    </row>
    <row r="3" spans="1:17" s="3297" customFormat="1">
      <c r="A3" s="3295" t="s">
        <v>3060</v>
      </c>
      <c r="B3" s="3295" t="s">
        <v>3055</v>
      </c>
      <c r="C3" s="3295" t="s">
        <v>3061</v>
      </c>
      <c r="D3" s="3295">
        <v>48585.2</v>
      </c>
      <c r="E3" s="3295">
        <v>77736.320000000007</v>
      </c>
      <c r="F3" s="3295" t="s">
        <v>3096</v>
      </c>
      <c r="G3" s="3295" t="s">
        <v>3057</v>
      </c>
      <c r="H3" s="3295" t="s">
        <v>3097</v>
      </c>
      <c r="I3" s="3295" t="s">
        <v>3094</v>
      </c>
      <c r="J3" s="3295" t="s">
        <v>3058</v>
      </c>
      <c r="K3" s="3295" t="s">
        <v>3058</v>
      </c>
      <c r="L3" s="3295">
        <v>20450</v>
      </c>
      <c r="M3" s="3295">
        <v>20450</v>
      </c>
      <c r="N3" s="3295">
        <v>2630.69</v>
      </c>
      <c r="O3" s="3295">
        <v>0</v>
      </c>
      <c r="P3" s="3295" t="s">
        <v>3062</v>
      </c>
      <c r="Q3" s="3295" t="s">
        <v>3095</v>
      </c>
    </row>
    <row r="4" spans="1:17">
      <c r="A4" s="3296" t="s">
        <v>3063</v>
      </c>
      <c r="B4" s="3296" t="s">
        <v>3055</v>
      </c>
      <c r="C4" s="3296" t="s">
        <v>3061</v>
      </c>
      <c r="D4" s="3296">
        <v>76849</v>
      </c>
      <c r="E4" s="3296">
        <v>136005.84</v>
      </c>
      <c r="F4" s="3296" t="s">
        <v>3064</v>
      </c>
      <c r="G4" s="3296" t="s">
        <v>3057</v>
      </c>
      <c r="H4" s="3296" t="s">
        <v>3098</v>
      </c>
      <c r="I4" s="3296">
        <v>0</v>
      </c>
      <c r="J4" s="3296" t="s">
        <v>3065</v>
      </c>
      <c r="K4" s="3296" t="s">
        <v>3065</v>
      </c>
      <c r="L4" s="3296">
        <v>33290</v>
      </c>
      <c r="M4" s="3296">
        <v>33290</v>
      </c>
      <c r="N4" s="3296">
        <v>2447.69</v>
      </c>
      <c r="O4" s="3296">
        <v>0</v>
      </c>
      <c r="P4" s="3296" t="s">
        <v>3066</v>
      </c>
      <c r="Q4" s="3296" t="s">
        <v>3095</v>
      </c>
    </row>
    <row r="5" spans="1:17">
      <c r="A5" s="3296" t="s">
        <v>3067</v>
      </c>
      <c r="B5" s="3296" t="s">
        <v>3055</v>
      </c>
      <c r="C5" s="3296" t="s">
        <v>3056</v>
      </c>
      <c r="D5" s="3296">
        <v>29036.3</v>
      </c>
      <c r="E5" s="3296">
        <v>34843.56</v>
      </c>
      <c r="F5" s="3296" t="s">
        <v>3068</v>
      </c>
      <c r="G5" s="3296" t="s">
        <v>3057</v>
      </c>
      <c r="H5" s="3296" t="s">
        <v>3093</v>
      </c>
      <c r="I5" s="3296">
        <v>0</v>
      </c>
      <c r="J5" s="3296" t="s">
        <v>3069</v>
      </c>
      <c r="K5" s="3296" t="s">
        <v>3069</v>
      </c>
      <c r="L5" s="3296">
        <v>15220</v>
      </c>
      <c r="M5" s="3296">
        <v>15220</v>
      </c>
      <c r="N5" s="3296">
        <v>4368.1000000000004</v>
      </c>
      <c r="O5" s="3296">
        <v>0</v>
      </c>
      <c r="P5" s="3296" t="s">
        <v>3066</v>
      </c>
      <c r="Q5" s="3296" t="s">
        <v>3099</v>
      </c>
    </row>
    <row r="6" spans="1:17" s="3294" customFormat="1">
      <c r="A6" s="3299" t="s">
        <v>3070</v>
      </c>
      <c r="B6" s="3299" t="s">
        <v>3055</v>
      </c>
      <c r="C6" s="3299" t="s">
        <v>3056</v>
      </c>
      <c r="D6" s="3299">
        <v>40913</v>
      </c>
      <c r="E6" s="3299">
        <v>49095.6</v>
      </c>
      <c r="F6" s="3299" t="s">
        <v>3071</v>
      </c>
      <c r="G6" s="3299" t="s">
        <v>3057</v>
      </c>
      <c r="H6" s="3299" t="s">
        <v>3100</v>
      </c>
      <c r="I6" s="3299">
        <v>0</v>
      </c>
      <c r="J6" s="3299" t="s">
        <v>3072</v>
      </c>
      <c r="K6" s="3299" t="s">
        <v>3072</v>
      </c>
      <c r="L6" s="3299">
        <v>17210</v>
      </c>
      <c r="M6" s="3299">
        <v>17210</v>
      </c>
      <c r="N6" s="3299">
        <v>3505.4</v>
      </c>
      <c r="O6" s="3299">
        <v>0</v>
      </c>
      <c r="P6" s="3299" t="s">
        <v>3073</v>
      </c>
      <c r="Q6" s="3299" t="s">
        <v>3095</v>
      </c>
    </row>
    <row r="7" spans="1:17" s="3297" customFormat="1">
      <c r="A7" s="3295" t="s">
        <v>3074</v>
      </c>
      <c r="B7" s="3295" t="s">
        <v>3055</v>
      </c>
      <c r="C7" s="3295" t="s">
        <v>3056</v>
      </c>
      <c r="D7" s="3295">
        <v>123633.1</v>
      </c>
      <c r="E7" s="3295">
        <v>148359.70000000001</v>
      </c>
      <c r="F7" s="3295" t="s">
        <v>3101</v>
      </c>
      <c r="G7" s="3295" t="s">
        <v>3057</v>
      </c>
      <c r="H7" s="3295" t="s">
        <v>3100</v>
      </c>
      <c r="I7" s="3295">
        <v>0</v>
      </c>
      <c r="J7" s="3295" t="s">
        <v>3075</v>
      </c>
      <c r="K7" s="3295" t="s">
        <v>3075</v>
      </c>
      <c r="L7" s="3295">
        <v>44610</v>
      </c>
      <c r="M7" s="3295">
        <v>44610</v>
      </c>
      <c r="N7" s="3295">
        <v>3006.88</v>
      </c>
      <c r="O7" s="3295">
        <v>0</v>
      </c>
      <c r="P7" s="3295" t="s">
        <v>3076</v>
      </c>
      <c r="Q7" s="3295" t="s">
        <v>3102</v>
      </c>
    </row>
    <row r="8" spans="1:17">
      <c r="A8" s="3296" t="s">
        <v>3074</v>
      </c>
      <c r="B8" s="3296" t="s">
        <v>3055</v>
      </c>
      <c r="C8" s="3296" t="s">
        <v>3056</v>
      </c>
      <c r="D8" s="3296">
        <v>98680.3</v>
      </c>
      <c r="E8" s="3296">
        <v>118416.4</v>
      </c>
      <c r="F8" s="3296" t="s">
        <v>3101</v>
      </c>
      <c r="G8" s="3296" t="s">
        <v>3057</v>
      </c>
      <c r="H8" s="3296" t="s">
        <v>3100</v>
      </c>
      <c r="I8" s="3296">
        <v>0</v>
      </c>
      <c r="J8" s="3296" t="s">
        <v>3075</v>
      </c>
      <c r="K8" s="3296" t="s">
        <v>3075</v>
      </c>
      <c r="L8" s="3296">
        <v>35540</v>
      </c>
      <c r="M8" s="3296">
        <v>35540</v>
      </c>
      <c r="N8" s="3296">
        <v>3001.26</v>
      </c>
      <c r="O8" s="3296">
        <v>0</v>
      </c>
      <c r="P8" s="3296" t="s">
        <v>3076</v>
      </c>
      <c r="Q8" s="3296" t="s">
        <v>3102</v>
      </c>
    </row>
    <row r="9" spans="1:17">
      <c r="A9" s="3296" t="s">
        <v>3074</v>
      </c>
      <c r="B9" s="3296" t="s">
        <v>3055</v>
      </c>
      <c r="C9" s="3296" t="s">
        <v>3061</v>
      </c>
      <c r="D9" s="3296">
        <v>163902.9</v>
      </c>
      <c r="E9" s="3296">
        <v>192186.2</v>
      </c>
      <c r="F9" s="3296" t="s">
        <v>3103</v>
      </c>
      <c r="G9" s="3296" t="s">
        <v>3057</v>
      </c>
      <c r="H9" s="3296" t="s">
        <v>3104</v>
      </c>
      <c r="I9" s="3296">
        <v>0</v>
      </c>
      <c r="J9" s="3296" t="s">
        <v>3075</v>
      </c>
      <c r="K9" s="3296" t="s">
        <v>3075</v>
      </c>
      <c r="L9" s="3296">
        <v>59180</v>
      </c>
      <c r="M9" s="3296">
        <v>59180</v>
      </c>
      <c r="N9" s="3296">
        <v>3079.3</v>
      </c>
      <c r="O9" s="3296">
        <v>0</v>
      </c>
      <c r="P9" s="3296" t="s">
        <v>3076</v>
      </c>
      <c r="Q9" s="3296" t="s">
        <v>3102</v>
      </c>
    </row>
    <row r="10" spans="1:17">
      <c r="A10" s="3296" t="s">
        <v>3077</v>
      </c>
      <c r="B10" s="3296" t="s">
        <v>3055</v>
      </c>
      <c r="C10" s="3296" t="s">
        <v>3061</v>
      </c>
      <c r="D10" s="3296">
        <v>122012.7</v>
      </c>
      <c r="E10" s="3296">
        <v>223973.2</v>
      </c>
      <c r="F10" s="3296" t="s">
        <v>3078</v>
      </c>
      <c r="G10" s="3296" t="s">
        <v>3057</v>
      </c>
      <c r="H10" s="3296" t="s">
        <v>3105</v>
      </c>
      <c r="I10" s="3296">
        <v>0</v>
      </c>
      <c r="J10" s="3296" t="s">
        <v>3079</v>
      </c>
      <c r="K10" s="3296" t="s">
        <v>3079</v>
      </c>
      <c r="L10" s="3296">
        <v>56250</v>
      </c>
      <c r="M10" s="3296">
        <v>56250</v>
      </c>
      <c r="N10" s="3296">
        <v>2511.46</v>
      </c>
      <c r="O10" s="3296">
        <v>0</v>
      </c>
      <c r="P10" s="3296" t="s">
        <v>3080</v>
      </c>
      <c r="Q10" s="3296" t="s">
        <v>3095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3" sqref="E43"/>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42729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1865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3621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241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130604</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3038</v>
      </c>
      <c r="D7" s="430" t="s">
        <v>3045</v>
      </c>
      <c r="E7" s="430" t="s">
        <v>3043</v>
      </c>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6920</v>
      </c>
      <c r="D8" s="2552">
        <f>'不动产比较法-别墅'!B3</f>
        <v>9909</v>
      </c>
      <c r="E8" s="2552">
        <f ca="1">不动产收益法!B3</f>
        <v>2001</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118482.68000000001</v>
      </c>
      <c r="D9" s="435">
        <f>SUMIF('数据-汇总表'!$C19:$C33,'剩余法-待开发'!D7,'数据-汇总表'!$E19:$E33)</f>
        <v>41678.300000000003</v>
      </c>
      <c r="E9" s="435">
        <f>SUMIF('数据-汇总表'!$C19:$C33,'剩余法-待开发'!E7,'数据-汇总表'!$E19:$E33)</f>
        <v>36548.259999999995</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'不动产比较法-住宅'!B2</f>
        <v>81990</v>
      </c>
      <c r="D10" s="2742">
        <f>'不动产比较法-别墅'!B2</f>
        <v>41299</v>
      </c>
      <c r="E10" s="2742">
        <f ca="1">不动产收益法!B2</f>
        <v>7315</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47791</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2390</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1884</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4583</v>
      </c>
      <c r="D16" s="2562">
        <f ca="1">IF(B1="",'数据-汇总表'!E3,INDIRECT("'数据-取费表'!K"&amp;$K$1)+INDIRECT("'数据-取费表'!S"&amp;$K$1))</f>
        <v>229142.34999999998</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717</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57365</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229142.34999999998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4125</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2883</v>
      </c>
      <c r="D21" s="2562">
        <f ca="1">IF(B1="",'数据-汇总表'!E5,IF(INDIRECT("'数据-取费表'!c"&amp;$K$1)="住宅",INDIRECT("'数据-取费表'!k"&amp;$K$1),0))</f>
        <v>160160.98000000001</v>
      </c>
      <c r="E21" s="53">
        <f>'数据-取费表'!B27</f>
        <v>180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1242</v>
      </c>
      <c r="D22" s="2562">
        <f ca="1">IF(B1="",'数据-汇总表'!E6,IF(INDIRECT("'数据-取费表'!c"&amp;$K$1)="住宅",INDIRECT("'数据-取费表'!s"&amp;$K$1),INDIRECT("'数据-取费表'!k"&amp;$K$1)+INDIRECT("'数据-取费表'!s"&amp;$K$1)))</f>
        <v>68981.369999999966</v>
      </c>
      <c r="E22" s="53">
        <f>'数据-取费表'!B28</f>
        <v>180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1230</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2612</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2842</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2842</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6903</v>
      </c>
      <c r="D29" s="462"/>
      <c r="E29" s="462"/>
      <c r="F29" s="2750">
        <f>'数据-取费表'!B41</f>
        <v>5.5500000000000008E-2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75077</v>
      </c>
      <c r="D30" s="471">
        <f ca="1">C32</f>
        <v>0.1205</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75077</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0.1205</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4573</v>
      </c>
      <c r="D33" s="461">
        <f ca="1">C34</f>
        <v>7.1999999999999995E-2</v>
      </c>
      <c r="E33" s="463" t="s">
        <v>489</v>
      </c>
      <c r="F33" s="473">
        <f ca="1">IF(B1="",'数据-取费表'!Q16,INDIRECT("'数据-取费表'!q"&amp;$K$1))</f>
        <v>7.0000000000000007E-2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7.1999999999999995E-2</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4573</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42729</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47791</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2390</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1884</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4583</v>
      </c>
      <c r="D16" s="445">
        <f ca="1">IF(B1="",'数据-汇总表'!E3,INDIRECT("'数据-取费表'!K"&amp;$K$1)+INDIRECT("'数据-取费表'!S"&amp;$K$1))</f>
        <v>229142.34999999998</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717</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57365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1147</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2545</v>
      </c>
      <c r="D21" s="461">
        <f ca="1">C23</f>
        <v>8.9999999999999998E-4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2545</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4096</v>
      </c>
      <c r="D24" s="483">
        <f ca="1">C26</f>
        <v>1.4E-3</v>
      </c>
      <c r="E24" s="463" t="s">
        <v>501</v>
      </c>
      <c r="F24" s="473">
        <f ca="1">IF(B1="",'数据-取费表'!Q16,INDIRECT("'数据-取费表'!q"&amp;$K$1))</f>
        <v>7.0000000000000007E-2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4096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1.4E-3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5.2900000000000003E-2</v>
      </c>
      <c r="D27" s="456" t="s">
        <v>2809</v>
      </c>
      <c r="E27" s="456"/>
      <c r="F27" s="460">
        <f>'数据-取费表'!B41</f>
        <v>5.5500000000000008E-2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70451</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5.5500000000000008E-2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9" t="s">
        <v>516</v>
      </c>
      <c r="D6" s="3490"/>
      <c r="E6" s="3523" t="s">
        <v>517</v>
      </c>
      <c r="F6" s="3524"/>
      <c r="G6" s="3489" t="s">
        <v>518</v>
      </c>
      <c r="H6" s="3490"/>
      <c r="I6" s="3489" t="s">
        <v>519</v>
      </c>
      <c r="J6" s="3490"/>
      <c r="K6" s="508" t="s">
        <v>520</v>
      </c>
      <c r="L6" s="2016"/>
      <c r="M6" s="2017"/>
      <c r="N6" s="2017"/>
      <c r="O6" s="2017"/>
      <c r="P6" s="3491" t="s">
        <v>521</v>
      </c>
      <c r="Q6" s="3492"/>
      <c r="R6" s="3497" t="s">
        <v>517</v>
      </c>
      <c r="S6" s="3498"/>
      <c r="T6" s="3497" t="s">
        <v>518</v>
      </c>
      <c r="U6" s="3498"/>
      <c r="V6" s="3484" t="s">
        <v>519</v>
      </c>
      <c r="W6" s="3484"/>
      <c r="X6" s="1502"/>
      <c r="Y6" s="3497" t="s">
        <v>521</v>
      </c>
      <c r="Z6" s="3498"/>
      <c r="AA6" s="3486" t="s">
        <v>517</v>
      </c>
      <c r="AB6" s="3487" t="s">
        <v>518</v>
      </c>
      <c r="AC6" s="3486" t="s">
        <v>519</v>
      </c>
    </row>
    <row r="7" spans="1:29" ht="15">
      <c r="A7" s="509"/>
      <c r="B7" s="510"/>
      <c r="C7" s="3505" t="s">
        <v>2897</v>
      </c>
      <c r="D7" s="3506"/>
      <c r="E7" s="3525" t="s">
        <v>2898</v>
      </c>
      <c r="F7" s="3526"/>
      <c r="G7" s="3505" t="s">
        <v>2899</v>
      </c>
      <c r="H7" s="3506"/>
      <c r="I7" s="3505" t="s">
        <v>2900</v>
      </c>
      <c r="J7" s="3506"/>
      <c r="K7" s="508"/>
      <c r="L7" s="2016"/>
      <c r="M7" s="2017"/>
      <c r="N7" s="2017"/>
      <c r="O7" s="2017"/>
      <c r="P7" s="3493"/>
      <c r="Q7" s="3494"/>
      <c r="R7" s="3499"/>
      <c r="S7" s="3500"/>
      <c r="T7" s="3499"/>
      <c r="U7" s="3500"/>
      <c r="V7" s="3484"/>
      <c r="W7" s="3484"/>
      <c r="X7" s="1502"/>
      <c r="Y7" s="3499"/>
      <c r="Z7" s="3500"/>
      <c r="AA7" s="3487"/>
      <c r="AB7" s="3487"/>
      <c r="AC7" s="3487"/>
    </row>
    <row r="8" spans="1:29" ht="15.75" thickBot="1">
      <c r="A8" s="511"/>
      <c r="B8" s="512"/>
      <c r="C8" s="3503" t="s">
        <v>2901</v>
      </c>
      <c r="D8" s="3504"/>
      <c r="E8" s="3521" t="s">
        <v>2901</v>
      </c>
      <c r="F8" s="3522"/>
      <c r="G8" s="3503" t="s">
        <v>2901</v>
      </c>
      <c r="H8" s="3504"/>
      <c r="I8" s="3503" t="s">
        <v>2901</v>
      </c>
      <c r="J8" s="3504"/>
      <c r="K8" s="508" t="s">
        <v>522</v>
      </c>
      <c r="L8" s="2016"/>
      <c r="M8" s="2017"/>
      <c r="N8" s="2017"/>
      <c r="O8" s="2017"/>
      <c r="P8" s="3495"/>
      <c r="Q8" s="3496"/>
      <c r="R8" s="3499"/>
      <c r="S8" s="3500"/>
      <c r="T8" s="3501"/>
      <c r="U8" s="3502"/>
      <c r="V8" s="3484"/>
      <c r="W8" s="3484"/>
      <c r="X8" s="1502"/>
      <c r="Y8" s="3501"/>
      <c r="Z8" s="3502"/>
      <c r="AA8" s="3488"/>
      <c r="AB8" s="3488"/>
      <c r="AC8" s="3488"/>
    </row>
    <row r="9" spans="1:29" s="1203" customFormat="1" ht="15.75" thickBot="1">
      <c r="A9" s="2630"/>
      <c r="B9" s="2637" t="s">
        <v>523</v>
      </c>
      <c r="C9" s="513">
        <f>'数据-取费表'!B2</f>
        <v>44468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14" t="s">
        <v>524</v>
      </c>
      <c r="Q9" s="3516"/>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2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83"/>
      <c r="Q12" s="1134" t="str">
        <f t="shared" si="6"/>
        <v>土地使用年限（年）</v>
      </c>
      <c r="R12" s="1503" t="s">
        <v>8</v>
      </c>
      <c r="S12" s="1504">
        <f t="shared" si="0"/>
        <v>102</v>
      </c>
      <c r="T12" s="1503" t="s">
        <v>8</v>
      </c>
      <c r="U12" s="1504">
        <f t="shared" si="1"/>
        <v>102</v>
      </c>
      <c r="V12" s="1503" t="s">
        <v>8</v>
      </c>
      <c r="W12" s="1504">
        <f t="shared" si="2"/>
        <v>102</v>
      </c>
      <c r="X12" s="1505"/>
      <c r="Y12" s="3429"/>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3"/>
      <c r="Q13" s="1134" t="str">
        <f t="shared" si="6"/>
        <v>容积率</v>
      </c>
      <c r="R13" s="1503" t="s">
        <v>8</v>
      </c>
      <c r="S13" s="1504" t="e">
        <f t="shared" si="0"/>
        <v>#N/A</v>
      </c>
      <c r="T13" s="1503" t="s">
        <v>8</v>
      </c>
      <c r="U13" s="1504" t="e">
        <f t="shared" si="1"/>
        <v>#N/A</v>
      </c>
      <c r="V13" s="1503" t="s">
        <v>8</v>
      </c>
      <c r="W13" s="1504" t="e">
        <f t="shared" si="2"/>
        <v>#N/A</v>
      </c>
      <c r="X13" s="1505"/>
      <c r="Y13" s="342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3"/>
      <c r="Q15" s="1134">
        <f t="shared" si="6"/>
        <v>111</v>
      </c>
      <c r="R15" s="1503" t="s">
        <v>8</v>
      </c>
      <c r="S15" s="1504">
        <f t="shared" si="0"/>
        <v>100</v>
      </c>
      <c r="T15" s="1503" t="s">
        <v>8</v>
      </c>
      <c r="U15" s="1504">
        <f t="shared" si="1"/>
        <v>100</v>
      </c>
      <c r="V15" s="1503" t="s">
        <v>8</v>
      </c>
      <c r="W15" s="1504">
        <f t="shared" si="2"/>
        <v>100</v>
      </c>
      <c r="X15" s="1505"/>
      <c r="Y15" s="342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3"/>
      <c r="Q16" s="1134">
        <f t="shared" si="6"/>
        <v>111</v>
      </c>
      <c r="R16" s="1503" t="s">
        <v>8</v>
      </c>
      <c r="S16" s="1504">
        <f t="shared" si="0"/>
        <v>100</v>
      </c>
      <c r="T16" s="1503" t="s">
        <v>8</v>
      </c>
      <c r="U16" s="1504">
        <f t="shared" si="1"/>
        <v>100</v>
      </c>
      <c r="V16" s="1503" t="s">
        <v>8</v>
      </c>
      <c r="W16" s="1504">
        <f t="shared" si="2"/>
        <v>100</v>
      </c>
      <c r="X16" s="1505"/>
      <c r="Y16" s="342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7" t="s">
        <v>534</v>
      </c>
      <c r="Q17" s="1507" t="str">
        <f t="shared" si="6"/>
        <v>产业集聚程度</v>
      </c>
      <c r="R17" s="1508" t="s">
        <v>8</v>
      </c>
      <c r="S17" s="1509">
        <f t="shared" si="0"/>
        <v>100</v>
      </c>
      <c r="T17" s="1508" t="s">
        <v>8</v>
      </c>
      <c r="U17" s="1509">
        <f t="shared" si="1"/>
        <v>100</v>
      </c>
      <c r="V17" s="1508" t="s">
        <v>8</v>
      </c>
      <c r="W17" s="1509">
        <f t="shared" si="2"/>
        <v>100</v>
      </c>
      <c r="X17" s="1502"/>
      <c r="Y17" s="351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8"/>
      <c r="Q18" s="1507"/>
      <c r="R18" s="1508"/>
      <c r="S18" s="1509"/>
      <c r="T18" s="1508"/>
      <c r="U18" s="1509"/>
      <c r="V18" s="1508"/>
      <c r="W18" s="1509"/>
      <c r="X18" s="1502"/>
      <c r="Y18" s="351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8"/>
      <c r="Q19" s="1507" t="str">
        <f>B19</f>
        <v>交通便捷度</v>
      </c>
      <c r="R19" s="1508" t="s">
        <v>8</v>
      </c>
      <c r="S19" s="1509">
        <f>F19</f>
        <v>100</v>
      </c>
      <c r="T19" s="1508" t="s">
        <v>8</v>
      </c>
      <c r="U19" s="1509">
        <f>H19</f>
        <v>100</v>
      </c>
      <c r="V19" s="1508" t="s">
        <v>8</v>
      </c>
      <c r="W19" s="1509">
        <f>J19</f>
        <v>100</v>
      </c>
      <c r="X19" s="1502"/>
      <c r="Y19" s="351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8"/>
      <c r="Q21" s="1507" t="str">
        <f t="shared" ref="Q21:Q35" si="8">B21</f>
        <v>区域土地利用方向</v>
      </c>
      <c r="R21" s="1508" t="s">
        <v>8</v>
      </c>
      <c r="S21" s="1509">
        <f>F21</f>
        <v>100</v>
      </c>
      <c r="T21" s="1508" t="s">
        <v>8</v>
      </c>
      <c r="U21" s="1509">
        <f>H21</f>
        <v>100</v>
      </c>
      <c r="V21" s="1508" t="s">
        <v>8</v>
      </c>
      <c r="W21" s="1509">
        <f>J21</f>
        <v>100</v>
      </c>
      <c r="X21" s="1502"/>
      <c r="Y21" s="351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8"/>
      <c r="Q22" s="1507"/>
      <c r="R22" s="1508"/>
      <c r="S22" s="1509"/>
      <c r="T22" s="1508"/>
      <c r="U22" s="1509"/>
      <c r="V22" s="1508"/>
      <c r="W22" s="1509"/>
      <c r="X22" s="1502"/>
      <c r="Y22" s="351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8"/>
      <c r="Q23" s="1507" t="str">
        <f t="shared" si="8"/>
        <v>环境状况</v>
      </c>
      <c r="R23" s="1508" t="s">
        <v>8</v>
      </c>
      <c r="S23" s="1509">
        <f>F23</f>
        <v>100</v>
      </c>
      <c r="T23" s="1508" t="s">
        <v>8</v>
      </c>
      <c r="U23" s="1509">
        <f>H23</f>
        <v>100</v>
      </c>
      <c r="V23" s="1508" t="s">
        <v>8</v>
      </c>
      <c r="W23" s="1509">
        <f>J23</f>
        <v>100</v>
      </c>
      <c r="X23" s="1502"/>
      <c r="Y23" s="351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8"/>
      <c r="Q24" s="1507"/>
      <c r="R24" s="1508"/>
      <c r="S24" s="1509"/>
      <c r="T24" s="1508"/>
      <c r="U24" s="1509"/>
      <c r="V24" s="1508"/>
      <c r="W24" s="1509"/>
      <c r="X24" s="1502"/>
      <c r="Y24" s="351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8"/>
      <c r="Q25" s="1134" t="str">
        <f t="shared" si="8"/>
        <v>公共配套设施</v>
      </c>
      <c r="R25" s="1503" t="s">
        <v>8</v>
      </c>
      <c r="S25" s="1504">
        <f>F25</f>
        <v>100</v>
      </c>
      <c r="T25" s="1503" t="s">
        <v>8</v>
      </c>
      <c r="U25" s="1504">
        <f>H25</f>
        <v>100</v>
      </c>
      <c r="V25" s="1503" t="s">
        <v>8</v>
      </c>
      <c r="W25" s="1504">
        <f>J25</f>
        <v>100</v>
      </c>
      <c r="X25" s="1505"/>
      <c r="Y25" s="351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8"/>
      <c r="Q26" s="1134"/>
      <c r="R26" s="1503"/>
      <c r="S26" s="1504"/>
      <c r="T26" s="1503"/>
      <c r="U26" s="1504"/>
      <c r="V26" s="1503"/>
      <c r="W26" s="1504"/>
      <c r="X26" s="1505"/>
      <c r="Y26" s="351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8"/>
      <c r="Q27" s="2429" t="str">
        <f t="shared" ref="Q27" si="9">B27</f>
        <v>基础设施水平</v>
      </c>
      <c r="R27" s="1503" t="s">
        <v>8</v>
      </c>
      <c r="S27" s="1504">
        <f>F27</f>
        <v>100</v>
      </c>
      <c r="T27" s="1503" t="s">
        <v>8</v>
      </c>
      <c r="U27" s="1504">
        <f>H27</f>
        <v>100</v>
      </c>
      <c r="V27" s="1503" t="s">
        <v>8</v>
      </c>
      <c r="W27" s="1504">
        <f>J27</f>
        <v>100</v>
      </c>
      <c r="X27" s="1505"/>
      <c r="Y27" s="351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8"/>
      <c r="Q28" s="2429"/>
      <c r="R28" s="1503"/>
      <c r="S28" s="1504"/>
      <c r="T28" s="1503"/>
      <c r="U28" s="1504"/>
      <c r="V28" s="1503"/>
      <c r="W28" s="1504"/>
      <c r="X28" s="1505"/>
      <c r="Y28" s="351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8"/>
      <c r="Q30" s="1507" t="str">
        <f t="shared" si="8"/>
        <v>毗邻道路的类型与等级</v>
      </c>
      <c r="R30" s="1508" t="s">
        <v>8</v>
      </c>
      <c r="S30" s="1509">
        <f t="shared" si="10"/>
        <v>100</v>
      </c>
      <c r="T30" s="1508" t="s">
        <v>8</v>
      </c>
      <c r="U30" s="1509">
        <f t="shared" si="11"/>
        <v>100</v>
      </c>
      <c r="V30" s="1508" t="s">
        <v>8</v>
      </c>
      <c r="W30" s="1509">
        <f t="shared" si="12"/>
        <v>100</v>
      </c>
      <c r="X30" s="1502"/>
      <c r="Y30" s="351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8"/>
      <c r="Q31" s="1507"/>
      <c r="R31" s="1508"/>
      <c r="S31" s="1509"/>
      <c r="T31" s="1508"/>
      <c r="U31" s="1509"/>
      <c r="V31" s="1508"/>
      <c r="W31" s="1509"/>
      <c r="X31" s="1502"/>
      <c r="Y31" s="351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8"/>
      <c r="Q32" s="1507" t="str">
        <f t="shared" si="8"/>
        <v>土地级别</v>
      </c>
      <c r="R32" s="1508" t="s">
        <v>8</v>
      </c>
      <c r="S32" s="1509">
        <f t="shared" si="10"/>
        <v>100</v>
      </c>
      <c r="T32" s="1508" t="s">
        <v>8</v>
      </c>
      <c r="U32" s="1509">
        <f t="shared" si="11"/>
        <v>100</v>
      </c>
      <c r="V32" s="1508" t="s">
        <v>8</v>
      </c>
      <c r="W32" s="1509">
        <f t="shared" si="12"/>
        <v>100</v>
      </c>
      <c r="X32" s="1502"/>
      <c r="Y32" s="351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8"/>
      <c r="Q33" s="1507">
        <f t="shared" si="8"/>
        <v>111</v>
      </c>
      <c r="R33" s="1508" t="s">
        <v>8</v>
      </c>
      <c r="S33" s="1509">
        <f t="shared" si="10"/>
        <v>100</v>
      </c>
      <c r="T33" s="1508" t="s">
        <v>8</v>
      </c>
      <c r="U33" s="1509">
        <f t="shared" si="11"/>
        <v>100</v>
      </c>
      <c r="V33" s="1508" t="s">
        <v>8</v>
      </c>
      <c r="W33" s="1509">
        <f t="shared" si="12"/>
        <v>100</v>
      </c>
      <c r="X33" s="1502"/>
      <c r="Y33" s="351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9" t="s">
        <v>544</v>
      </c>
      <c r="Q34" s="1507">
        <f t="shared" si="8"/>
        <v>111</v>
      </c>
      <c r="R34" s="1508" t="s">
        <v>8</v>
      </c>
      <c r="S34" s="1509">
        <f t="shared" si="10"/>
        <v>100</v>
      </c>
      <c r="T34" s="1508" t="s">
        <v>8</v>
      </c>
      <c r="U34" s="1509">
        <f t="shared" si="11"/>
        <v>100</v>
      </c>
      <c r="V34" s="1508" t="s">
        <v>8</v>
      </c>
      <c r="W34" s="1509">
        <f t="shared" si="12"/>
        <v>100</v>
      </c>
      <c r="X34" s="1502"/>
      <c r="Y34" s="352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20"/>
      <c r="Q35" s="1507">
        <f t="shared" si="8"/>
        <v>111</v>
      </c>
      <c r="R35" s="1512" t="s">
        <v>8</v>
      </c>
      <c r="S35" s="1513">
        <f t="shared" si="10"/>
        <v>100</v>
      </c>
      <c r="T35" s="1512" t="s">
        <v>8</v>
      </c>
      <c r="U35" s="1513">
        <f t="shared" si="11"/>
        <v>100</v>
      </c>
      <c r="V35" s="1512" t="s">
        <v>8</v>
      </c>
      <c r="W35" s="1513">
        <f t="shared" si="12"/>
        <v>100</v>
      </c>
      <c r="X35" s="1514"/>
      <c r="Y35" s="352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20"/>
      <c r="Q36" s="1507" t="str">
        <f>B36</f>
        <v>宗地面积</v>
      </c>
      <c r="R36" s="1508" t="s">
        <v>8</v>
      </c>
      <c r="S36" s="1509" t="e">
        <f t="shared" si="10"/>
        <v>#N/A</v>
      </c>
      <c r="T36" s="1508" t="s">
        <v>8</v>
      </c>
      <c r="U36" s="1509" t="e">
        <f t="shared" si="11"/>
        <v>#N/A</v>
      </c>
      <c r="V36" s="1508" t="s">
        <v>8</v>
      </c>
      <c r="W36" s="1509" t="e">
        <f t="shared" si="12"/>
        <v>#N/A</v>
      </c>
      <c r="X36" s="1502"/>
      <c r="Y36" s="352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20"/>
      <c r="Q37" s="1507" t="str">
        <f t="shared" ref="Q37:Q42" si="14">B37</f>
        <v>宗地形状</v>
      </c>
      <c r="R37" s="1508" t="s">
        <v>8</v>
      </c>
      <c r="S37" s="1509">
        <f t="shared" si="10"/>
        <v>100</v>
      </c>
      <c r="T37" s="1508" t="s">
        <v>8</v>
      </c>
      <c r="U37" s="1509">
        <f t="shared" si="11"/>
        <v>100</v>
      </c>
      <c r="V37" s="1508" t="s">
        <v>8</v>
      </c>
      <c r="W37" s="1509">
        <f t="shared" si="12"/>
        <v>100</v>
      </c>
      <c r="X37" s="1502"/>
      <c r="Y37" s="352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20"/>
      <c r="Q38" s="1507" t="str">
        <f t="shared" si="14"/>
        <v>宗地开发程度</v>
      </c>
      <c r="R38" s="1503" t="s">
        <v>8</v>
      </c>
      <c r="S38" s="1504">
        <f t="shared" si="10"/>
        <v>100</v>
      </c>
      <c r="T38" s="1503" t="s">
        <v>8</v>
      </c>
      <c r="U38" s="1504">
        <f t="shared" si="11"/>
        <v>100</v>
      </c>
      <c r="V38" s="1503" t="s">
        <v>8</v>
      </c>
      <c r="W38" s="1504">
        <f t="shared" si="12"/>
        <v>100</v>
      </c>
      <c r="X38" s="1505"/>
      <c r="Y38" s="352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20" t="s">
        <v>595</v>
      </c>
      <c r="Q39" s="1507" t="str">
        <f t="shared" si="14"/>
        <v>工程地质条件</v>
      </c>
      <c r="R39" s="1508" t="s">
        <v>8</v>
      </c>
      <c r="S39" s="1509">
        <f t="shared" si="10"/>
        <v>100</v>
      </c>
      <c r="T39" s="1508" t="s">
        <v>8</v>
      </c>
      <c r="U39" s="1509">
        <f t="shared" si="11"/>
        <v>100</v>
      </c>
      <c r="V39" s="1508" t="s">
        <v>8</v>
      </c>
      <c r="W39" s="1509">
        <f t="shared" si="12"/>
        <v>100</v>
      </c>
      <c r="X39" s="1502"/>
      <c r="Y39" s="352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20"/>
      <c r="Q40" s="1507">
        <f t="shared" si="14"/>
        <v>111</v>
      </c>
      <c r="R40" s="1508" t="s">
        <v>8</v>
      </c>
      <c r="S40" s="1509">
        <f t="shared" si="10"/>
        <v>100</v>
      </c>
      <c r="T40" s="1508" t="s">
        <v>8</v>
      </c>
      <c r="U40" s="1509">
        <f t="shared" si="11"/>
        <v>100</v>
      </c>
      <c r="V40" s="1508" t="s">
        <v>8</v>
      </c>
      <c r="W40" s="1509">
        <f t="shared" si="12"/>
        <v>100</v>
      </c>
      <c r="X40" s="1502"/>
      <c r="Y40" s="352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20"/>
      <c r="Q41" s="1507">
        <f t="shared" si="14"/>
        <v>111</v>
      </c>
      <c r="R41" s="1508" t="s">
        <v>8</v>
      </c>
      <c r="S41" s="1509">
        <f t="shared" si="10"/>
        <v>100</v>
      </c>
      <c r="T41" s="1508" t="s">
        <v>8</v>
      </c>
      <c r="U41" s="1509">
        <f t="shared" si="11"/>
        <v>100</v>
      </c>
      <c r="V41" s="1508" t="s">
        <v>8</v>
      </c>
      <c r="W41" s="1509">
        <f t="shared" si="12"/>
        <v>100</v>
      </c>
      <c r="X41" s="1502"/>
      <c r="Y41" s="352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20"/>
      <c r="Q42" s="1507">
        <f t="shared" si="14"/>
        <v>111</v>
      </c>
      <c r="R42" s="1512" t="s">
        <v>8</v>
      </c>
      <c r="S42" s="1513">
        <f t="shared" si="10"/>
        <v>100</v>
      </c>
      <c r="T42" s="1512" t="s">
        <v>8</v>
      </c>
      <c r="U42" s="1513">
        <f t="shared" si="11"/>
        <v>100</v>
      </c>
      <c r="V42" s="1512" t="s">
        <v>8</v>
      </c>
      <c r="W42" s="1513">
        <f t="shared" si="12"/>
        <v>100</v>
      </c>
      <c r="X42" s="1514"/>
      <c r="Y42" s="3520"/>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83" t="str">
        <f>A43</f>
        <v>成交单价</v>
      </c>
      <c r="Q43" s="3483"/>
      <c r="R43" s="3484">
        <f>E43</f>
        <v>0</v>
      </c>
      <c r="S43" s="3484"/>
      <c r="T43" s="3484">
        <f>G43</f>
        <v>0</v>
      </c>
      <c r="U43" s="3484"/>
      <c r="V43" s="3484">
        <f>I43</f>
        <v>0</v>
      </c>
      <c r="W43" s="3484"/>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83" t="str">
        <f>A44</f>
        <v>比较价格（元/平方米）</v>
      </c>
      <c r="Q44" s="3483"/>
      <c r="R44" s="3485" t="e">
        <f>ROUND(PRODUCT(R43,AA9:AA42),0)</f>
        <v>#DIV/0!</v>
      </c>
      <c r="S44" s="3485"/>
      <c r="T44" s="3485" t="e">
        <f>ROUND(PRODUCT(T43,AB9:AB42),0)</f>
        <v>#DIV/0!</v>
      </c>
      <c r="U44" s="3485"/>
      <c r="V44" s="3485" t="e">
        <f>ROUND(PRODUCT(V43,AC9:AC42),0)</f>
        <v>#DIV/0!</v>
      </c>
      <c r="W44" s="3485"/>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80" t="str">
        <f>A45</f>
        <v>估价对象XX用房的比较价格（楼面单价，元/平方米）</v>
      </c>
      <c r="Q45" s="3481"/>
      <c r="R45" s="3532" t="e">
        <f>ROUND(IF(D44="简单平均",AVERAGE(R44:W44),R44*F44+T44*H44+V44*J44),0)</f>
        <v>#DIV/0!</v>
      </c>
      <c r="S45" s="3532"/>
      <c r="T45" s="3532"/>
      <c r="U45" s="3532"/>
      <c r="V45" s="3532"/>
      <c r="W45" s="353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7" t="s">
        <v>2272</v>
      </c>
      <c r="H52" s="352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160160.98000000001</v>
      </c>
      <c r="F53" s="1865" t="e">
        <f t="shared" ref="F53:F62" si="15">ROUND(B53*E53/10000,0)</f>
        <v>#DIV/0!</v>
      </c>
      <c r="G53" s="3529"/>
      <c r="H53" s="353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31"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31"/>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31"/>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31"/>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36548.259999999995</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118010.9</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2021-9-1</v>
      </c>
      <c r="D65" s="2517">
        <f>EDATE(C65,-3)</f>
        <v>44348</v>
      </c>
      <c r="E65" s="2517">
        <f t="shared" ref="E65:N65" si="18">EDATE(D65,-3)</f>
        <v>44256</v>
      </c>
      <c r="F65" s="2517">
        <f t="shared" si="18"/>
        <v>44166</v>
      </c>
      <c r="G65" s="2517">
        <f t="shared" si="18"/>
        <v>44075</v>
      </c>
      <c r="H65" s="2517">
        <f t="shared" si="18"/>
        <v>43983</v>
      </c>
      <c r="I65" s="2517">
        <f t="shared" si="18"/>
        <v>43891</v>
      </c>
      <c r="J65" s="2517">
        <f t="shared" si="18"/>
        <v>43800</v>
      </c>
      <c r="K65" s="2517">
        <f t="shared" si="18"/>
        <v>43709</v>
      </c>
      <c r="L65" s="2517">
        <f t="shared" si="18"/>
        <v>43617</v>
      </c>
      <c r="M65" s="2517">
        <f t="shared" si="18"/>
        <v>43525</v>
      </c>
      <c r="N65" s="2517">
        <f t="shared" si="18"/>
        <v>43435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7"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48"/>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34" t="s">
        <v>2762</v>
      </c>
      <c r="X8" s="353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48"/>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3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8"/>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3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8"/>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33"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7"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3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33"/>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9"/>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5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7" t="s">
        <v>1829</v>
      </c>
      <c r="B16" s="1376" t="s">
        <v>941</v>
      </c>
      <c r="C16" s="1039" t="e">
        <f>ROUND(IF(F17="与级别开发程度一致",0,(G17-E17)/C17),0)</f>
        <v>#DIV/0!</v>
      </c>
      <c r="D16" s="3541" t="s">
        <v>945</v>
      </c>
      <c r="E16" s="3542"/>
      <c r="F16" s="3541" t="s">
        <v>942</v>
      </c>
      <c r="G16" s="3542"/>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51"/>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0</v>
      </c>
      <c r="D19" s="1415" t="s">
        <v>948</v>
      </c>
      <c r="E19" s="1041">
        <v>41640</v>
      </c>
      <c r="F19" s="1415" t="s">
        <v>949</v>
      </c>
      <c r="G19" s="1042">
        <f>'数据-取费表'!B2</f>
        <v>44468</v>
      </c>
      <c r="H19" s="1416" t="s">
        <v>2955</v>
      </c>
      <c r="I19" s="2504" t="str">
        <f>IF(H19="季度增幅（自定义）",SUMIF(N21:N24,E2,O21:O24),"")</f>
        <v/>
      </c>
      <c r="J19" s="1412"/>
      <c r="K19" s="3234"/>
      <c r="L19" s="2753" t="s">
        <v>2820</v>
      </c>
      <c r="M19" s="2754">
        <f>ROUND(SUMIF(地价!B2:F2,E2,地价!B35:F35),0)</f>
        <v>0</v>
      </c>
      <c r="N19" s="2506" t="s">
        <v>1667</v>
      </c>
      <c r="O19" s="2505">
        <f>ROUNDDOWN(DATEDIF(E19,G19,"M")/3,0)</f>
        <v>30</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ROUND(SUMPRODUCT((地价!A4:A35=YEAR(G19)&amp;"-"&amp;ROUNDUP(MONTH(G19)/3,0))*(地价!B2:F2=E2)*(地价!B4:F35)),0)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SUMPRODUCT((地价!A3:A35=YEAR(G19)&amp;"-"&amp;ROUNDUP(MONTH(G19)/3,0))*(地价!AD2:AH2=N21)*(地价!AD3:AH35))</f>
        <v>1.0699999999999999E-2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SUMPRODUCT((地价!A3:A35=YEAR(G19)&amp;"-"&amp;ROUNDUP(MONTH(G19)/3,0))*(地价!AD2:AH2=N22)*(地价!AD3:AH35))</f>
        <v>1.0699999999999999E-2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SUMPRODUCT((地价!A3:A35=YEAR(G19)&amp;"-"&amp;ROUNDUP(MONTH(G19)/3,0))*(地价!AD2:AH2=N23)*(地价!AD3:AH35))</f>
        <v>1.8700000000000001E-2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SUMPRODUCT((地价!A3:A35=YEAR(G19)&amp;"-"&amp;ROUNDUP(MONTH(G19)/3,0))*(地价!AD2:AH2=N24)*(地价!AD3:AH35))</f>
        <v>1.24E-2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1.7000000000000001E-2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3"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4"/>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4"/>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5"/>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52" t="s">
        <v>1624</v>
      </c>
      <c r="B90" s="3552"/>
      <c r="C90" s="3552"/>
      <c r="D90" s="3552"/>
      <c r="E90" s="3552"/>
      <c r="F90" s="3552"/>
      <c r="G90" s="3552"/>
      <c r="H90" s="3552"/>
      <c r="I90" s="3552"/>
      <c r="J90" s="3552"/>
      <c r="K90" s="2306"/>
      <c r="L90" s="2306"/>
      <c r="M90" s="2306"/>
      <c r="N90" s="2306"/>
    </row>
    <row r="91" spans="1:40">
      <c r="A91" s="3553" t="s">
        <v>1434</v>
      </c>
      <c r="B91" s="3553" t="s">
        <v>1625</v>
      </c>
      <c r="C91" s="1123" t="s">
        <v>1626</v>
      </c>
      <c r="D91" s="1124"/>
      <c r="E91" s="1124"/>
      <c r="F91" s="1124"/>
      <c r="G91" s="1124"/>
      <c r="H91" s="1124"/>
      <c r="I91" s="1124"/>
      <c r="J91" s="1125"/>
      <c r="K91" s="1117"/>
      <c r="L91" s="1117"/>
      <c r="M91" s="1117"/>
      <c r="N91" s="1117"/>
    </row>
    <row r="92" spans="1:40">
      <c r="A92" s="3553"/>
      <c r="B92" s="355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7"/>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6"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7"/>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7"/>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7"/>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7"/>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7"/>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7"/>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7"/>
      <c r="B108" s="3539"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8"/>
      <c r="B109" s="3540"/>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6" t="s">
        <v>1630</v>
      </c>
      <c r="B110" s="3546"/>
      <c r="C110" s="3546"/>
      <c r="D110" s="3546"/>
      <c r="E110" s="3546"/>
      <c r="F110" s="3546"/>
      <c r="G110" s="3546"/>
      <c r="H110" s="3546"/>
      <c r="I110" s="3546"/>
      <c r="J110" s="3546"/>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3" t="s">
        <v>998</v>
      </c>
      <c r="B18" s="1137" t="s">
        <v>1437</v>
      </c>
      <c r="C18" s="1114" t="s">
        <v>1438</v>
      </c>
      <c r="D18" s="1115"/>
      <c r="E18" s="1137">
        <v>1</v>
      </c>
      <c r="F18" s="1116" t="s">
        <v>1439</v>
      </c>
      <c r="G18" s="1117"/>
      <c r="H18" s="1088"/>
      <c r="I18" s="1088"/>
    </row>
    <row r="19" spans="1:9" s="1530" customFormat="1" ht="19.5" customHeight="1">
      <c r="A19" s="3553"/>
      <c r="B19" s="3553" t="s">
        <v>1440</v>
      </c>
      <c r="C19" s="1114" t="s">
        <v>1441</v>
      </c>
      <c r="D19" s="1115"/>
      <c r="E19" s="1137">
        <v>0.9</v>
      </c>
      <c r="F19" s="1116" t="s">
        <v>1442</v>
      </c>
      <c r="G19" s="1117"/>
      <c r="H19" s="1088"/>
      <c r="I19" s="1088"/>
    </row>
    <row r="20" spans="1:9" s="1530" customFormat="1" ht="19.5" customHeight="1">
      <c r="A20" s="3553"/>
      <c r="B20" s="3553"/>
      <c r="C20" s="1114" t="s">
        <v>1443</v>
      </c>
      <c r="D20" s="1115"/>
      <c r="E20" s="1137">
        <v>1.1000000000000001</v>
      </c>
      <c r="F20" s="1116" t="s">
        <v>1444</v>
      </c>
      <c r="G20" s="1117"/>
      <c r="H20" s="1088"/>
      <c r="I20" s="1088"/>
    </row>
    <row r="21" spans="1:9" s="1530" customFormat="1" ht="19.5" customHeight="1">
      <c r="A21" s="3553"/>
      <c r="B21" s="3553"/>
      <c r="C21" s="1114" t="s">
        <v>1445</v>
      </c>
      <c r="D21" s="1115"/>
      <c r="E21" s="1137">
        <v>0.8</v>
      </c>
      <c r="F21" s="1116" t="s">
        <v>1446</v>
      </c>
      <c r="G21" s="1117"/>
      <c r="H21" s="1088"/>
      <c r="I21" s="1088"/>
    </row>
    <row r="22" spans="1:9" s="1530" customFormat="1" ht="19.5" customHeight="1">
      <c r="A22" s="3553"/>
      <c r="B22" s="3553"/>
      <c r="C22" s="1114" t="s">
        <v>1447</v>
      </c>
      <c r="D22" s="1115"/>
      <c r="E22" s="1137">
        <v>0.5</v>
      </c>
      <c r="F22" s="1116"/>
      <c r="G22" s="1117"/>
      <c r="H22" s="1088"/>
      <c r="I22" s="1088"/>
    </row>
    <row r="23" spans="1:9" s="1530" customFormat="1" ht="19.5" customHeight="1">
      <c r="A23" s="3553" t="s">
        <v>1020</v>
      </c>
      <c r="B23" s="1137" t="s">
        <v>1437</v>
      </c>
      <c r="C23" s="1114" t="s">
        <v>1448</v>
      </c>
      <c r="D23" s="1115"/>
      <c r="E23" s="1137">
        <v>1</v>
      </c>
      <c r="F23" s="1116" t="s">
        <v>1449</v>
      </c>
      <c r="G23" s="1117"/>
      <c r="H23" s="1088"/>
      <c r="I23" s="1088"/>
    </row>
    <row r="24" spans="1:9" s="1530" customFormat="1" ht="19.5" customHeight="1">
      <c r="A24" s="3553"/>
      <c r="B24" s="3553" t="s">
        <v>1440</v>
      </c>
      <c r="C24" s="1114" t="s">
        <v>1450</v>
      </c>
      <c r="D24" s="1115"/>
      <c r="E24" s="1137">
        <v>0.5</v>
      </c>
      <c r="F24" s="1116"/>
      <c r="G24" s="1117"/>
      <c r="H24" s="1088"/>
      <c r="I24" s="1088"/>
    </row>
    <row r="25" spans="1:9" s="1530" customFormat="1" ht="19.5" customHeight="1">
      <c r="A25" s="3553"/>
      <c r="B25" s="3553"/>
      <c r="C25" s="1114" t="s">
        <v>1451</v>
      </c>
      <c r="D25" s="1115"/>
      <c r="E25" s="1137">
        <v>1.1000000000000001</v>
      </c>
      <c r="F25" s="1116"/>
      <c r="G25" s="1117"/>
      <c r="H25" s="1088"/>
      <c r="I25" s="1088"/>
    </row>
    <row r="26" spans="1:9" s="1530" customFormat="1" ht="19.5" customHeight="1">
      <c r="A26" s="3553"/>
      <c r="B26" s="3553"/>
      <c r="C26" s="1114" t="s">
        <v>1452</v>
      </c>
      <c r="D26" s="1115"/>
      <c r="E26" s="1137">
        <v>1.1000000000000001</v>
      </c>
      <c r="F26" s="1116"/>
      <c r="G26" s="1117"/>
      <c r="H26" s="1088"/>
      <c r="I26" s="1088"/>
    </row>
    <row r="27" spans="1:9" s="1530" customFormat="1" ht="19.5" customHeight="1">
      <c r="A27" s="3553"/>
      <c r="B27" s="3553"/>
      <c r="C27" s="1114" t="s">
        <v>1453</v>
      </c>
      <c r="D27" s="1115"/>
      <c r="E27" s="1137">
        <v>0.9</v>
      </c>
      <c r="F27" s="1116" t="s">
        <v>1454</v>
      </c>
      <c r="G27" s="1117"/>
      <c r="H27" s="1088"/>
      <c r="I27" s="1088"/>
    </row>
    <row r="28" spans="1:9" s="1530" customFormat="1" ht="19.5" customHeight="1">
      <c r="A28" s="3553"/>
      <c r="B28" s="3553"/>
      <c r="C28" s="1114" t="s">
        <v>1455</v>
      </c>
      <c r="D28" s="1115"/>
      <c r="E28" s="1137">
        <v>0.9</v>
      </c>
      <c r="F28" s="1116" t="s">
        <v>1456</v>
      </c>
      <c r="G28" s="1117"/>
      <c r="H28" s="1088"/>
      <c r="I28" s="1088"/>
    </row>
    <row r="29" spans="1:9" s="1530" customFormat="1" ht="19.5" customHeight="1">
      <c r="A29" s="3553"/>
      <c r="B29" s="3553"/>
      <c r="C29" s="1114" t="s">
        <v>1457</v>
      </c>
      <c r="D29" s="1115"/>
      <c r="E29" s="1137">
        <v>0.9</v>
      </c>
      <c r="F29" s="1116" t="s">
        <v>1458</v>
      </c>
      <c r="G29" s="1117"/>
      <c r="H29" s="1088"/>
      <c r="I29" s="1088"/>
    </row>
    <row r="30" spans="1:9" s="1530" customFormat="1" ht="19.5" customHeight="1">
      <c r="A30" s="3553"/>
      <c r="B30" s="3553"/>
      <c r="C30" s="1114" t="s">
        <v>1459</v>
      </c>
      <c r="D30" s="1115"/>
      <c r="E30" s="1137">
        <v>0.9</v>
      </c>
      <c r="F30" s="1116" t="s">
        <v>1460</v>
      </c>
      <c r="G30" s="1117"/>
      <c r="H30" s="1088"/>
      <c r="I30" s="1088"/>
    </row>
    <row r="31" spans="1:9" s="1530" customFormat="1" ht="19.5" customHeight="1">
      <c r="A31" s="3553"/>
      <c r="B31" s="3553"/>
      <c r="C31" s="1114" t="s">
        <v>1461</v>
      </c>
      <c r="D31" s="1115"/>
      <c r="E31" s="1137">
        <v>0.8</v>
      </c>
      <c r="F31" s="1116" t="s">
        <v>1462</v>
      </c>
      <c r="G31" s="1117"/>
      <c r="H31" s="1088"/>
      <c r="I31" s="1088"/>
    </row>
    <row r="32" spans="1:9" s="1530" customFormat="1" ht="19.5" customHeight="1">
      <c r="A32" s="3553"/>
      <c r="B32" s="3553"/>
      <c r="C32" s="1114" t="s">
        <v>1463</v>
      </c>
      <c r="D32" s="1115"/>
      <c r="E32" s="1137">
        <v>0.8</v>
      </c>
      <c r="F32" s="1116" t="s">
        <v>1464</v>
      </c>
      <c r="G32" s="1117"/>
      <c r="H32" s="1088"/>
      <c r="I32" s="1088"/>
    </row>
    <row r="33" spans="1:9" s="1530" customFormat="1" ht="19.5" customHeight="1">
      <c r="A33" s="3553" t="s">
        <v>1465</v>
      </c>
      <c r="B33" s="1137" t="s">
        <v>1437</v>
      </c>
      <c r="C33" s="1114" t="s">
        <v>1466</v>
      </c>
      <c r="D33" s="1115"/>
      <c r="E33" s="1137">
        <v>1</v>
      </c>
      <c r="F33" s="1116" t="s">
        <v>1467</v>
      </c>
      <c r="G33" s="1117"/>
      <c r="H33" s="1088"/>
      <c r="I33" s="1088"/>
    </row>
    <row r="34" spans="1:9" s="1530" customFormat="1" ht="19.5" customHeight="1">
      <c r="A34" s="3553"/>
      <c r="B34" s="1137" t="s">
        <v>1440</v>
      </c>
      <c r="C34" s="1114" t="s">
        <v>1468</v>
      </c>
      <c r="D34" s="1115"/>
      <c r="E34" s="1137">
        <v>1.5</v>
      </c>
      <c r="F34" s="1116" t="s">
        <v>1469</v>
      </c>
      <c r="G34" s="1117"/>
      <c r="H34" s="1088"/>
      <c r="I34" s="1088"/>
    </row>
    <row r="35" spans="1:9" s="1530" customFormat="1" ht="19.5" customHeight="1">
      <c r="A35" s="3553" t="s">
        <v>1423</v>
      </c>
      <c r="B35" s="1137" t="s">
        <v>1437</v>
      </c>
      <c r="C35" s="1114" t="s">
        <v>1470</v>
      </c>
      <c r="D35" s="1115"/>
      <c r="E35" s="1137">
        <v>1</v>
      </c>
      <c r="F35" s="1116" t="s">
        <v>1471</v>
      </c>
      <c r="G35" s="1117"/>
      <c r="H35" s="1088"/>
      <c r="I35" s="1088"/>
    </row>
    <row r="36" spans="1:9" s="1530" customFormat="1" ht="19.5" customHeight="1">
      <c r="A36" s="3553"/>
      <c r="B36" s="3553" t="s">
        <v>1440</v>
      </c>
      <c r="C36" s="1114" t="s">
        <v>1472</v>
      </c>
      <c r="D36" s="1115"/>
      <c r="E36" s="1137">
        <v>1</v>
      </c>
      <c r="F36" s="1116" t="s">
        <v>1473</v>
      </c>
      <c r="G36" s="1117"/>
      <c r="H36" s="1088"/>
      <c r="I36" s="1088"/>
    </row>
    <row r="37" spans="1:9" s="1530" customFormat="1" ht="19.5" customHeight="1">
      <c r="A37" s="3553"/>
      <c r="B37" s="3553"/>
      <c r="C37" s="1114" t="s">
        <v>1474</v>
      </c>
      <c r="D37" s="1115"/>
      <c r="E37" s="1137">
        <v>1.5</v>
      </c>
      <c r="F37" s="1116" t="s">
        <v>1475</v>
      </c>
      <c r="G37" s="1117"/>
      <c r="H37" s="1088"/>
      <c r="I37" s="1088"/>
    </row>
    <row r="38" spans="1:9" s="1530" customFormat="1" ht="19.5" customHeight="1">
      <c r="A38" s="3553"/>
      <c r="B38" s="3553"/>
      <c r="C38" s="1114" t="s">
        <v>1476</v>
      </c>
      <c r="D38" s="1115"/>
      <c r="E38" s="1137">
        <v>1</v>
      </c>
      <c r="F38" s="1116" t="s">
        <v>1477</v>
      </c>
      <c r="G38" s="1117"/>
      <c r="H38" s="1088"/>
      <c r="I38" s="1088"/>
    </row>
    <row r="39" spans="1:9" s="1530" customFormat="1" ht="19.5" customHeight="1">
      <c r="A39" s="3553"/>
      <c r="B39" s="355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3" t="s">
        <v>1492</v>
      </c>
      <c r="C61" s="1051" t="s">
        <v>1493</v>
      </c>
      <c r="D61" s="1051" t="s">
        <v>1494</v>
      </c>
      <c r="E61" s="1122">
        <v>0.5</v>
      </c>
      <c r="F61" s="1137">
        <v>80</v>
      </c>
      <c r="H61" s="1088">
        <f>SUMIF(C59:C119,基准地价!C8,E59:E119)</f>
        <v>0</v>
      </c>
    </row>
    <row r="62" spans="1:8" s="1088" customFormat="1" ht="24">
      <c r="A62" s="1137">
        <v>2</v>
      </c>
      <c r="B62" s="3553"/>
      <c r="C62" s="1051" t="s">
        <v>1495</v>
      </c>
      <c r="D62" s="1051" t="s">
        <v>1496</v>
      </c>
      <c r="E62" s="1122">
        <v>0.5</v>
      </c>
      <c r="F62" s="1137">
        <v>80</v>
      </c>
    </row>
    <row r="63" spans="1:8" s="1088" customFormat="1" ht="36">
      <c r="A63" s="1137">
        <v>3</v>
      </c>
      <c r="B63" s="3553"/>
      <c r="C63" s="1051" t="s">
        <v>1497</v>
      </c>
      <c r="D63" s="1051" t="s">
        <v>1498</v>
      </c>
      <c r="E63" s="1122">
        <v>0.5</v>
      </c>
      <c r="F63" s="1137">
        <v>80</v>
      </c>
    </row>
    <row r="64" spans="1:8" s="1088" customFormat="1" ht="36">
      <c r="A64" s="1137">
        <v>4</v>
      </c>
      <c r="B64" s="3553"/>
      <c r="C64" s="1051" t="s">
        <v>1499</v>
      </c>
      <c r="D64" s="1051" t="s">
        <v>1500</v>
      </c>
      <c r="E64" s="1122">
        <v>0.4</v>
      </c>
      <c r="F64" s="1137">
        <v>60</v>
      </c>
    </row>
    <row r="65" spans="1:6" s="1088" customFormat="1" ht="36">
      <c r="A65" s="1137">
        <v>5</v>
      </c>
      <c r="B65" s="3553"/>
      <c r="C65" s="1051" t="s">
        <v>1501</v>
      </c>
      <c r="D65" s="1051" t="s">
        <v>1502</v>
      </c>
      <c r="E65" s="1122">
        <v>0.2</v>
      </c>
      <c r="F65" s="1137">
        <v>30</v>
      </c>
    </row>
    <row r="66" spans="1:6" s="1088" customFormat="1" ht="36">
      <c r="A66" s="1137">
        <v>6</v>
      </c>
      <c r="B66" s="3553"/>
      <c r="C66" s="1051" t="s">
        <v>1503</v>
      </c>
      <c r="D66" s="1051" t="s">
        <v>1504</v>
      </c>
      <c r="E66" s="1122">
        <v>0.3</v>
      </c>
      <c r="F66" s="1137">
        <v>50</v>
      </c>
    </row>
    <row r="67" spans="1:6" s="1088" customFormat="1" ht="36">
      <c r="A67" s="1137">
        <v>7</v>
      </c>
      <c r="B67" s="3553"/>
      <c r="C67" s="1051" t="s">
        <v>1505</v>
      </c>
      <c r="D67" s="1051" t="s">
        <v>1506</v>
      </c>
      <c r="E67" s="1122">
        <v>0.2</v>
      </c>
      <c r="F67" s="1137">
        <v>30</v>
      </c>
    </row>
    <row r="68" spans="1:6" s="1088" customFormat="1" ht="36">
      <c r="A68" s="1137">
        <v>8</v>
      </c>
      <c r="B68" s="3553"/>
      <c r="C68" s="1051" t="s">
        <v>1507</v>
      </c>
      <c r="D68" s="1051" t="s">
        <v>1508</v>
      </c>
      <c r="E68" s="1122">
        <v>0.2</v>
      </c>
      <c r="F68" s="1137">
        <v>30</v>
      </c>
    </row>
    <row r="69" spans="1:6" s="1088" customFormat="1" ht="36">
      <c r="A69" s="1137">
        <v>9</v>
      </c>
      <c r="B69" s="3553"/>
      <c r="C69" s="1051" t="s">
        <v>1509</v>
      </c>
      <c r="D69" s="1051" t="s">
        <v>1510</v>
      </c>
      <c r="E69" s="1122">
        <v>0.2</v>
      </c>
      <c r="F69" s="1137">
        <v>30</v>
      </c>
    </row>
    <row r="70" spans="1:6" s="1088" customFormat="1" ht="48">
      <c r="A70" s="1137">
        <v>10</v>
      </c>
      <c r="B70" s="3553"/>
      <c r="C70" s="1051" t="s">
        <v>1511</v>
      </c>
      <c r="D70" s="1051" t="s">
        <v>1512</v>
      </c>
      <c r="E70" s="1122">
        <v>0.2</v>
      </c>
      <c r="F70" s="1137">
        <v>30</v>
      </c>
    </row>
    <row r="71" spans="1:6" s="1088" customFormat="1" ht="48">
      <c r="A71" s="1137">
        <v>11</v>
      </c>
      <c r="B71" s="3553"/>
      <c r="C71" s="1051" t="s">
        <v>1513</v>
      </c>
      <c r="D71" s="1051" t="s">
        <v>1514</v>
      </c>
      <c r="E71" s="1122">
        <v>0.2</v>
      </c>
      <c r="F71" s="1137">
        <v>30</v>
      </c>
    </row>
    <row r="72" spans="1:6" s="1088" customFormat="1" ht="36">
      <c r="A72" s="1137">
        <v>12</v>
      </c>
      <c r="B72" s="3553"/>
      <c r="C72" s="1051" t="s">
        <v>1515</v>
      </c>
      <c r="D72" s="1051" t="s">
        <v>1516</v>
      </c>
      <c r="E72" s="1122">
        <v>0.5</v>
      </c>
      <c r="F72" s="1137">
        <v>80</v>
      </c>
    </row>
    <row r="73" spans="1:6" s="1088" customFormat="1" ht="24">
      <c r="A73" s="1137">
        <v>13</v>
      </c>
      <c r="B73" s="3553"/>
      <c r="C73" s="1051" t="s">
        <v>1517</v>
      </c>
      <c r="D73" s="1051" t="s">
        <v>1518</v>
      </c>
      <c r="E73" s="1122">
        <v>0.4</v>
      </c>
      <c r="F73" s="1137">
        <v>60</v>
      </c>
    </row>
    <row r="74" spans="1:6" s="1088" customFormat="1" ht="24">
      <c r="A74" s="1137">
        <v>14</v>
      </c>
      <c r="B74" s="3553"/>
      <c r="C74" s="1051" t="s">
        <v>1519</v>
      </c>
      <c r="D74" s="1051" t="s">
        <v>1520</v>
      </c>
      <c r="E74" s="1122">
        <v>0.2</v>
      </c>
      <c r="F74" s="1137">
        <v>30</v>
      </c>
    </row>
    <row r="75" spans="1:6" s="1088" customFormat="1" ht="24">
      <c r="A75" s="1137">
        <v>15</v>
      </c>
      <c r="B75" s="3553"/>
      <c r="C75" s="1051" t="s">
        <v>1521</v>
      </c>
      <c r="D75" s="1051" t="s">
        <v>1522</v>
      </c>
      <c r="E75" s="1122">
        <v>0.2</v>
      </c>
      <c r="F75" s="1137">
        <v>30</v>
      </c>
    </row>
    <row r="76" spans="1:6" s="1088" customFormat="1" ht="24">
      <c r="A76" s="1137">
        <v>16</v>
      </c>
      <c r="B76" s="3553" t="s">
        <v>1523</v>
      </c>
      <c r="C76" s="1051" t="s">
        <v>1524</v>
      </c>
      <c r="D76" s="1051" t="s">
        <v>1525</v>
      </c>
      <c r="E76" s="1122">
        <v>0.5</v>
      </c>
      <c r="F76" s="1137">
        <v>80</v>
      </c>
    </row>
    <row r="77" spans="1:6" s="1088" customFormat="1" ht="24">
      <c r="A77" s="1137">
        <v>17</v>
      </c>
      <c r="B77" s="3553"/>
      <c r="C77" s="1051" t="s">
        <v>1526</v>
      </c>
      <c r="D77" s="1051" t="s">
        <v>1527</v>
      </c>
      <c r="E77" s="1122">
        <v>0.5</v>
      </c>
      <c r="F77" s="1137">
        <v>80</v>
      </c>
    </row>
    <row r="78" spans="1:6" s="1088" customFormat="1" ht="24">
      <c r="A78" s="1137">
        <v>18</v>
      </c>
      <c r="B78" s="3553"/>
      <c r="C78" s="1051" t="s">
        <v>1528</v>
      </c>
      <c r="D78" s="1051" t="s">
        <v>1529</v>
      </c>
      <c r="E78" s="1122">
        <v>0.2</v>
      </c>
      <c r="F78" s="1137">
        <v>30</v>
      </c>
    </row>
    <row r="79" spans="1:6" s="1088" customFormat="1" ht="24">
      <c r="A79" s="1137">
        <v>19</v>
      </c>
      <c r="B79" s="3553"/>
      <c r="C79" s="1051" t="s">
        <v>1530</v>
      </c>
      <c r="D79" s="1051" t="s">
        <v>1531</v>
      </c>
      <c r="E79" s="1122">
        <v>0.5</v>
      </c>
      <c r="F79" s="1137">
        <v>80</v>
      </c>
    </row>
    <row r="80" spans="1:6" s="1088" customFormat="1" ht="36">
      <c r="A80" s="1137">
        <v>20</v>
      </c>
      <c r="B80" s="3553"/>
      <c r="C80" s="1051" t="s">
        <v>1532</v>
      </c>
      <c r="D80" s="1051" t="s">
        <v>1533</v>
      </c>
      <c r="E80" s="1122">
        <v>0.2</v>
      </c>
      <c r="F80" s="1137">
        <v>30</v>
      </c>
    </row>
    <row r="81" spans="1:6" s="1088" customFormat="1" ht="36">
      <c r="A81" s="1137">
        <v>21</v>
      </c>
      <c r="B81" s="3553"/>
      <c r="C81" s="1051" t="s">
        <v>1534</v>
      </c>
      <c r="D81" s="1051" t="s">
        <v>1535</v>
      </c>
      <c r="E81" s="1122">
        <v>0.2</v>
      </c>
      <c r="F81" s="1137">
        <v>30</v>
      </c>
    </row>
    <row r="82" spans="1:6" s="1088" customFormat="1" ht="48">
      <c r="A82" s="1137">
        <v>22</v>
      </c>
      <c r="B82" s="3553"/>
      <c r="C82" s="1051" t="s">
        <v>1536</v>
      </c>
      <c r="D82" s="1051" t="s">
        <v>1537</v>
      </c>
      <c r="E82" s="1122">
        <v>0.2</v>
      </c>
      <c r="F82" s="1137">
        <v>30</v>
      </c>
    </row>
    <row r="83" spans="1:6" s="1088" customFormat="1" ht="48">
      <c r="A83" s="1137">
        <v>23</v>
      </c>
      <c r="B83" s="3553"/>
      <c r="C83" s="1051" t="s">
        <v>1538</v>
      </c>
      <c r="D83" s="1051" t="s">
        <v>1539</v>
      </c>
      <c r="E83" s="1122">
        <v>0.2</v>
      </c>
      <c r="F83" s="1137">
        <v>30</v>
      </c>
    </row>
    <row r="84" spans="1:6" s="1088" customFormat="1" ht="36">
      <c r="A84" s="1137">
        <v>24</v>
      </c>
      <c r="B84" s="3553"/>
      <c r="C84" s="1051" t="s">
        <v>1540</v>
      </c>
      <c r="D84" s="1051" t="s">
        <v>1541</v>
      </c>
      <c r="E84" s="1122">
        <v>0.2</v>
      </c>
      <c r="F84" s="1137">
        <v>30</v>
      </c>
    </row>
    <row r="85" spans="1:6" s="1088" customFormat="1" ht="36">
      <c r="A85" s="1137">
        <v>25</v>
      </c>
      <c r="B85" s="3553"/>
      <c r="C85" s="1051" t="s">
        <v>1542</v>
      </c>
      <c r="D85" s="1051" t="s">
        <v>1543</v>
      </c>
      <c r="E85" s="1122">
        <v>0.5</v>
      </c>
      <c r="F85" s="1137">
        <v>80</v>
      </c>
    </row>
    <row r="86" spans="1:6" s="1088" customFormat="1" ht="36">
      <c r="A86" s="1137">
        <v>26</v>
      </c>
      <c r="B86" s="3553"/>
      <c r="C86" s="1051" t="s">
        <v>1544</v>
      </c>
      <c r="D86" s="1051" t="s">
        <v>1545</v>
      </c>
      <c r="E86" s="1122">
        <v>0.2</v>
      </c>
      <c r="F86" s="1137">
        <v>30</v>
      </c>
    </row>
    <row r="87" spans="1:6" s="1088" customFormat="1" ht="36">
      <c r="A87" s="1137">
        <v>27</v>
      </c>
      <c r="B87" s="3553"/>
      <c r="C87" s="1051" t="s">
        <v>1546</v>
      </c>
      <c r="D87" s="1051" t="s">
        <v>1547</v>
      </c>
      <c r="E87" s="1122">
        <v>0.2</v>
      </c>
      <c r="F87" s="1137">
        <v>30</v>
      </c>
    </row>
    <row r="88" spans="1:6" s="1088" customFormat="1" ht="36">
      <c r="A88" s="1137">
        <v>28</v>
      </c>
      <c r="B88" s="3553"/>
      <c r="C88" s="1051" t="s">
        <v>1548</v>
      </c>
      <c r="D88" s="1051" t="s">
        <v>1549</v>
      </c>
      <c r="E88" s="1122">
        <v>0.2</v>
      </c>
      <c r="F88" s="1137">
        <v>30</v>
      </c>
    </row>
    <row r="89" spans="1:6" s="1088" customFormat="1" ht="24">
      <c r="A89" s="1137">
        <v>29</v>
      </c>
      <c r="B89" s="3553"/>
      <c r="C89" s="1051" t="s">
        <v>1550</v>
      </c>
      <c r="D89" s="1051" t="s">
        <v>1551</v>
      </c>
      <c r="E89" s="1122">
        <v>0.2</v>
      </c>
      <c r="F89" s="1137">
        <v>30</v>
      </c>
    </row>
    <row r="90" spans="1:6" s="1088" customFormat="1" ht="24">
      <c r="A90" s="1137">
        <v>30</v>
      </c>
      <c r="B90" s="3553"/>
      <c r="C90" s="1051" t="s">
        <v>1552</v>
      </c>
      <c r="D90" s="1051" t="s">
        <v>1553</v>
      </c>
      <c r="E90" s="1122">
        <v>0.2</v>
      </c>
      <c r="F90" s="1137">
        <v>30</v>
      </c>
    </row>
    <row r="91" spans="1:6" s="1088" customFormat="1" ht="36">
      <c r="A91" s="1137">
        <v>31</v>
      </c>
      <c r="B91" s="3553"/>
      <c r="C91" s="1051" t="s">
        <v>1554</v>
      </c>
      <c r="D91" s="1051" t="s">
        <v>1555</v>
      </c>
      <c r="E91" s="1122">
        <v>0.2</v>
      </c>
      <c r="F91" s="1137">
        <v>30</v>
      </c>
    </row>
    <row r="92" spans="1:6" s="1088" customFormat="1" ht="24">
      <c r="A92" s="1137">
        <v>32</v>
      </c>
      <c r="B92" s="3553" t="s">
        <v>1556</v>
      </c>
      <c r="C92" s="1137" t="s">
        <v>1557</v>
      </c>
      <c r="D92" s="1051" t="s">
        <v>1558</v>
      </c>
      <c r="E92" s="1122">
        <v>0.2</v>
      </c>
      <c r="F92" s="1137">
        <v>30</v>
      </c>
    </row>
    <row r="93" spans="1:6" s="1088" customFormat="1" ht="36">
      <c r="A93" s="1137">
        <v>33</v>
      </c>
      <c r="B93" s="3553"/>
      <c r="C93" s="1137" t="s">
        <v>1559</v>
      </c>
      <c r="D93" s="1051" t="s">
        <v>1560</v>
      </c>
      <c r="E93" s="1122">
        <v>0.2</v>
      </c>
      <c r="F93" s="1137">
        <v>30</v>
      </c>
    </row>
    <row r="94" spans="1:6" s="1088" customFormat="1" ht="48">
      <c r="A94" s="1137">
        <v>34</v>
      </c>
      <c r="B94" s="3553"/>
      <c r="C94" s="1137" t="s">
        <v>1561</v>
      </c>
      <c r="D94" s="1051" t="s">
        <v>1562</v>
      </c>
      <c r="E94" s="1122">
        <v>0.2</v>
      </c>
      <c r="F94" s="1137">
        <v>30</v>
      </c>
    </row>
    <row r="95" spans="1:6" s="1088" customFormat="1" ht="36">
      <c r="A95" s="1137">
        <v>35</v>
      </c>
      <c r="B95" s="3553"/>
      <c r="C95" s="1137" t="s">
        <v>1563</v>
      </c>
      <c r="D95" s="1051" t="s">
        <v>1564</v>
      </c>
      <c r="E95" s="1122">
        <v>0.2</v>
      </c>
      <c r="F95" s="1137">
        <v>30</v>
      </c>
    </row>
    <row r="96" spans="1:6" s="1088" customFormat="1" ht="48">
      <c r="A96" s="1137">
        <v>36</v>
      </c>
      <c r="B96" s="3553"/>
      <c r="C96" s="1051" t="s">
        <v>1565</v>
      </c>
      <c r="D96" s="1051" t="s">
        <v>1566</v>
      </c>
      <c r="E96" s="1122">
        <v>0.2</v>
      </c>
      <c r="F96" s="1137">
        <v>30</v>
      </c>
    </row>
    <row r="97" spans="1:6" s="1088" customFormat="1" ht="36">
      <c r="A97" s="1137">
        <v>37</v>
      </c>
      <c r="B97" s="3553"/>
      <c r="C97" s="1137" t="s">
        <v>1567</v>
      </c>
      <c r="D97" s="1051" t="s">
        <v>1568</v>
      </c>
      <c r="E97" s="1122">
        <v>0.2</v>
      </c>
      <c r="F97" s="1137">
        <v>30</v>
      </c>
    </row>
    <row r="98" spans="1:6" s="1088" customFormat="1" ht="36">
      <c r="A98" s="1137">
        <v>38</v>
      </c>
      <c r="B98" s="3553"/>
      <c r="C98" s="1137" t="s">
        <v>1569</v>
      </c>
      <c r="D98" s="1051" t="s">
        <v>1570</v>
      </c>
      <c r="E98" s="1122">
        <v>0.2</v>
      </c>
      <c r="F98" s="1137">
        <v>30</v>
      </c>
    </row>
    <row r="99" spans="1:6" s="1088" customFormat="1" ht="36">
      <c r="A99" s="1137">
        <v>39</v>
      </c>
      <c r="B99" s="3553" t="s">
        <v>1571</v>
      </c>
      <c r="C99" s="1137" t="s">
        <v>1572</v>
      </c>
      <c r="D99" s="1051" t="s">
        <v>1573</v>
      </c>
      <c r="E99" s="1122">
        <v>0.3</v>
      </c>
      <c r="F99" s="1137">
        <v>50</v>
      </c>
    </row>
    <row r="100" spans="1:6" s="1088" customFormat="1" ht="24">
      <c r="A100" s="1137">
        <v>40</v>
      </c>
      <c r="B100" s="3553"/>
      <c r="C100" s="1137" t="s">
        <v>1574</v>
      </c>
      <c r="D100" s="1051" t="s">
        <v>1575</v>
      </c>
      <c r="E100" s="1122">
        <v>0.2</v>
      </c>
      <c r="F100" s="1137">
        <v>30</v>
      </c>
    </row>
    <row r="101" spans="1:6" s="1088" customFormat="1" ht="36">
      <c r="A101" s="1137">
        <v>41</v>
      </c>
      <c r="B101" s="355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3" t="s">
        <v>1586</v>
      </c>
      <c r="C105" s="1137" t="s">
        <v>1587</v>
      </c>
      <c r="D105" s="1051" t="s">
        <v>1588</v>
      </c>
      <c r="E105" s="1122">
        <v>0.2</v>
      </c>
      <c r="F105" s="1137">
        <v>30</v>
      </c>
    </row>
    <row r="106" spans="1:6" s="1088" customFormat="1" ht="36">
      <c r="A106" s="1137">
        <v>46</v>
      </c>
      <c r="B106" s="3553"/>
      <c r="C106" s="1137" t="s">
        <v>1589</v>
      </c>
      <c r="D106" s="1051" t="s">
        <v>1590</v>
      </c>
      <c r="E106" s="1122">
        <v>0.2</v>
      </c>
      <c r="F106" s="1137">
        <v>30</v>
      </c>
    </row>
    <row r="107" spans="1:6" s="1088" customFormat="1" ht="36">
      <c r="A107" s="1137">
        <v>47</v>
      </c>
      <c r="B107" s="3553" t="s">
        <v>1591</v>
      </c>
      <c r="C107" s="1137" t="s">
        <v>1592</v>
      </c>
      <c r="D107" s="1051" t="s">
        <v>1593</v>
      </c>
      <c r="E107" s="1122">
        <v>0.3</v>
      </c>
      <c r="F107" s="1137">
        <v>50</v>
      </c>
    </row>
    <row r="108" spans="1:6" s="1088" customFormat="1" ht="36">
      <c r="A108" s="1137">
        <v>48</v>
      </c>
      <c r="B108" s="355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3" t="s">
        <v>1602</v>
      </c>
      <c r="C111" s="1137" t="s">
        <v>1603</v>
      </c>
      <c r="D111" s="1051" t="s">
        <v>1604</v>
      </c>
      <c r="E111" s="1122">
        <v>0.2</v>
      </c>
      <c r="F111" s="1137">
        <v>30</v>
      </c>
    </row>
    <row r="112" spans="1:6" s="1088" customFormat="1" ht="24">
      <c r="A112" s="1137">
        <v>52</v>
      </c>
      <c r="B112" s="3553"/>
      <c r="C112" s="1137" t="s">
        <v>1605</v>
      </c>
      <c r="D112" s="1051" t="s">
        <v>1606</v>
      </c>
      <c r="E112" s="1122">
        <v>0.2</v>
      </c>
      <c r="F112" s="1137">
        <v>30</v>
      </c>
    </row>
    <row r="113" spans="1:14" s="1088" customFormat="1" ht="24">
      <c r="A113" s="1137">
        <v>53</v>
      </c>
      <c r="B113" s="355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3" t="s">
        <v>1615</v>
      </c>
      <c r="C116" s="1137" t="s">
        <v>1616</v>
      </c>
      <c r="D116" s="1051" t="s">
        <v>1617</v>
      </c>
      <c r="E116" s="1122">
        <v>0.2</v>
      </c>
      <c r="F116" s="1137">
        <v>30</v>
      </c>
    </row>
    <row r="117" spans="1:14" ht="36">
      <c r="A117" s="1137">
        <v>57</v>
      </c>
      <c r="B117" s="355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2" t="s">
        <v>1624</v>
      </c>
      <c r="B121" s="3552"/>
      <c r="C121" s="3552"/>
      <c r="D121" s="3552"/>
      <c r="E121" s="3552"/>
      <c r="F121" s="3552"/>
      <c r="G121" s="3552"/>
      <c r="H121" s="3552"/>
      <c r="I121" s="3552"/>
      <c r="J121" s="355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4" t="s">
        <v>1030</v>
      </c>
      <c r="B1" s="3554"/>
      <c r="C1" s="3554"/>
      <c r="D1" s="3554"/>
      <c r="E1" s="3554"/>
      <c r="F1" s="355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5" t="s">
        <v>1043</v>
      </c>
      <c r="B2" s="3555"/>
      <c r="C2" s="3555"/>
      <c r="D2" s="3555"/>
      <c r="E2" s="3555"/>
      <c r="F2" s="355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8" t="s">
        <v>2068</v>
      </c>
      <c r="B1" s="355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6" t="s">
        <v>2556</v>
      </c>
      <c r="C1" s="3566"/>
      <c r="D1" s="3566"/>
      <c r="E1" s="3566"/>
      <c r="F1" s="3566"/>
      <c r="G1" s="3565" t="s">
        <v>2557</v>
      </c>
      <c r="H1" s="3565"/>
      <c r="I1" s="3565"/>
      <c r="J1" s="3565"/>
      <c r="K1" s="3565"/>
      <c r="L1" s="3565"/>
      <c r="N1" s="3565" t="s">
        <v>2558</v>
      </c>
      <c r="O1" s="3565"/>
      <c r="P1" s="3565"/>
      <c r="Q1" s="3565"/>
      <c r="S1" s="3565" t="s">
        <v>2559</v>
      </c>
      <c r="T1" s="3565"/>
      <c r="U1" s="3565"/>
      <c r="V1" s="3565"/>
      <c r="X1" s="3564" t="s">
        <v>2619</v>
      </c>
      <c r="Y1" s="3565"/>
      <c r="Z1" s="3565"/>
      <c r="AA1" s="3565"/>
      <c r="AB1" s="3565"/>
      <c r="AD1" s="3564" t="s">
        <v>2623</v>
      </c>
      <c r="AE1" s="3565"/>
      <c r="AF1" s="3565"/>
      <c r="AG1" s="3565"/>
      <c r="AH1" s="3565"/>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3005</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3004</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3003</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3001</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3000</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2963</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2961</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2958</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2957</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2954</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2953</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2950</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60">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2943</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60"/>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2944</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60"/>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2940</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61"/>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2932</v>
      </c>
      <c r="B20" s="2915">
        <v>439</v>
      </c>
      <c r="C20" s="2915">
        <v>327</v>
      </c>
      <c r="D20" s="2915">
        <f t="shared" si="153"/>
        <v>327</v>
      </c>
      <c r="E20" s="2915">
        <v>627</v>
      </c>
      <c r="F20" s="2916">
        <v>283</v>
      </c>
      <c r="G20" s="3559">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2935</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60"/>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60"/>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61"/>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59">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60"/>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60"/>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6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6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60"/>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60"/>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6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6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60"/>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60"/>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6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67">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68"/>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68"/>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69"/>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6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60"/>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60"/>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6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6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60">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60">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6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6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60">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60">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6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6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60">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60">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6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6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60">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60">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6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6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60">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60">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6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6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60">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60">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6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6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60">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60">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6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6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60">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60">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6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6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60">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60">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6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6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60">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60">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6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71" t="s">
        <v>2444</v>
      </c>
      <c r="C8" s="1741">
        <f ca="1">ROUND(F8*F10*F9*(1-F11)/10000,0)</f>
        <v>0</v>
      </c>
      <c r="D8" s="1738" t="s">
        <v>2515</v>
      </c>
      <c r="E8" s="61" t="s">
        <v>631</v>
      </c>
      <c r="F8" s="775">
        <f ca="1">INDIRECT("'数据-取费表'!u"&amp;$G$1)</f>
        <v>0</v>
      </c>
      <c r="G8" s="1527"/>
      <c r="H8" s="2358" t="s">
        <v>1815</v>
      </c>
      <c r="I8" s="3571" t="s">
        <v>2444</v>
      </c>
      <c r="J8" s="773">
        <f ca="1">ROUND(M8*M10*M9*(1-M11)/10000,0)</f>
        <v>0</v>
      </c>
      <c r="K8" s="339" t="s">
        <v>2515</v>
      </c>
      <c r="L8" s="774" t="s">
        <v>1729</v>
      </c>
      <c r="M8" s="775">
        <f ca="1">INDIRECT("'数据-取费表'!z"&amp;$G$1)</f>
        <v>0</v>
      </c>
    </row>
    <row r="9" spans="1:25" ht="18" customHeight="1">
      <c r="A9" s="2354"/>
      <c r="B9" s="3572"/>
      <c r="C9" s="1742"/>
      <c r="D9" s="1739"/>
      <c r="E9" s="61" t="s">
        <v>632</v>
      </c>
      <c r="F9" s="775">
        <f ca="1">IF(INDIRECT("'数据-取费表'!ah"&amp;$G$1)="",INDIRECT("'数据-取费表'!k"&amp;$G$1),INDIRECT("'数据-取费表'!ah"&amp;$G$1))</f>
        <v>0</v>
      </c>
      <c r="G9" s="1527"/>
      <c r="H9" s="2343"/>
      <c r="I9" s="3572"/>
      <c r="J9" s="778"/>
      <c r="K9" s="779"/>
      <c r="L9" s="774" t="s">
        <v>1730</v>
      </c>
      <c r="M9" s="775">
        <f ca="1">F9</f>
        <v>0</v>
      </c>
    </row>
    <row r="10" spans="1:25" ht="18" customHeight="1">
      <c r="A10" s="2347"/>
      <c r="B10" s="3573"/>
      <c r="C10" s="1742"/>
      <c r="D10" s="1739"/>
      <c r="E10" s="61" t="s">
        <v>633</v>
      </c>
      <c r="F10" s="775">
        <f ca="1">INDIRECT("'数据-取费表'!ai"&amp;$G$1)</f>
        <v>0</v>
      </c>
      <c r="G10" s="1527"/>
      <c r="H10" s="2343"/>
      <c r="I10" s="3573"/>
      <c r="J10" s="778"/>
      <c r="K10" s="779"/>
      <c r="L10" s="774" t="s">
        <v>1731</v>
      </c>
      <c r="M10" s="775">
        <f ca="1">INDIRECT("'数据-取费表'!ai"&amp;$G$1)</f>
        <v>0</v>
      </c>
    </row>
    <row r="11" spans="1:25" ht="18" customHeight="1">
      <c r="A11" s="776"/>
      <c r="B11" s="3574"/>
      <c r="C11" s="1742"/>
      <c r="D11" s="1739"/>
      <c r="E11" s="61" t="s">
        <v>634</v>
      </c>
      <c r="F11" s="784">
        <f ca="1">INDIRECT("'数据-取费表'!w"&amp;$G$1)</f>
        <v>0</v>
      </c>
      <c r="G11" s="1527"/>
      <c r="H11" s="2359"/>
      <c r="I11" s="357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5.5500000000000008E-2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5.2900000000000003E-2</v>
      </c>
      <c r="D30" s="801" t="s">
        <v>703</v>
      </c>
      <c r="E30" s="774" t="s">
        <v>643</v>
      </c>
      <c r="F30" s="799">
        <f>'数据-取费表'!B41</f>
        <v>5.5500000000000008E-2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5.5500000000000008E-2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v>
      </c>
      <c r="G36" s="1946"/>
      <c r="H36" s="1949"/>
      <c r="I36" s="3570"/>
      <c r="J36" s="1963"/>
      <c r="K36" s="1964"/>
      <c r="L36" s="1963"/>
      <c r="M36" s="1963"/>
    </row>
    <row r="37" spans="1:18" ht="18" customHeight="1">
      <c r="A37" s="804"/>
      <c r="B37" s="783"/>
      <c r="C37" s="69"/>
      <c r="D37" s="805"/>
      <c r="E37" s="774" t="s">
        <v>668</v>
      </c>
      <c r="F37" s="775">
        <f ca="1">INDIRECT("'数据-取费表'!r"&amp;$G$1)</f>
        <v>0</v>
      </c>
      <c r="G37" s="1946"/>
      <c r="H37" s="1949"/>
      <c r="I37" s="3570"/>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-2</v>
      </c>
      <c r="K54" s="3575"/>
      <c r="L54" s="3576"/>
      <c r="O54" s="2257" t="s">
        <v>2373</v>
      </c>
      <c r="P54" s="2255" t="s">
        <v>2374</v>
      </c>
      <c r="Q54" s="2256">
        <f ca="1">J54</f>
        <v>-2</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60" zoomScaleNormal="60" workbookViewId="0">
      <selection activeCell="L36" sqref="L3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3038</v>
      </c>
      <c r="E1" s="2010"/>
      <c r="F1" s="2525" t="s">
        <v>3119</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81990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6920</v>
      </c>
      <c r="C3" s="841" t="s">
        <v>716</v>
      </c>
      <c r="D3" s="840">
        <f>SUMIF('数据-汇总表'!$C19:$C33,D1,'数据-汇总表'!$E19:$E33)</f>
        <v>118482.68000000001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6" t="s">
        <v>518</v>
      </c>
      <c r="AC4" s="3486" t="s">
        <v>519</v>
      </c>
    </row>
    <row r="5" spans="1:29" ht="15">
      <c r="A5" s="509"/>
      <c r="B5" s="510"/>
      <c r="C5" s="3505" t="s">
        <v>2897</v>
      </c>
      <c r="D5" s="3506"/>
      <c r="E5" s="3581" t="s">
        <v>3126</v>
      </c>
      <c r="F5" s="3526"/>
      <c r="G5" s="3580" t="s">
        <v>3114</v>
      </c>
      <c r="H5" s="3506"/>
      <c r="I5" s="3580" t="s">
        <v>3115</v>
      </c>
      <c r="J5" s="3506"/>
      <c r="K5" s="843"/>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3113</v>
      </c>
      <c r="F8" s="516">
        <f>SUMIF(61:61,E8,62:62)-SUMIF(61:61,C8,62:62)+100</f>
        <v>100</v>
      </c>
      <c r="G8" s="3298" t="s">
        <v>3113</v>
      </c>
      <c r="H8" s="514">
        <f>SUMIF(61:61,G8,62:62)-SUMIF(61:61,C8,62:62)+100</f>
        <v>100</v>
      </c>
      <c r="I8" s="3300" t="s">
        <v>3113</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t="s">
        <v>3116</v>
      </c>
      <c r="D10" s="253">
        <v>100</v>
      </c>
      <c r="E10" s="851" t="s">
        <v>3116</v>
      </c>
      <c r="F10" s="852">
        <f>SUMIF(65:65,E10,66:66)-SUMIF(65:65,C10,66:66)+100</f>
        <v>100</v>
      </c>
      <c r="G10" s="850" t="s">
        <v>3116</v>
      </c>
      <c r="H10" s="253">
        <f>SUMIF(65:65,G10,66:66)-SUMIF(65:65,C10,66:66)+100</f>
        <v>100</v>
      </c>
      <c r="I10" s="850" t="s">
        <v>3116</v>
      </c>
      <c r="J10" s="253">
        <f>SUMIF(65:65,I10,66:66)-SUMIF(65:65,C10,66:66)+100</f>
        <v>100</v>
      </c>
      <c r="K10" s="853"/>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83"/>
      <c r="Q11" s="1134" t="str">
        <f t="shared" si="6"/>
        <v>容积率</v>
      </c>
      <c r="R11" s="1503" t="s">
        <v>11</v>
      </c>
      <c r="S11" s="1504">
        <f t="shared" si="0"/>
        <v>100</v>
      </c>
      <c r="T11" s="1503" t="s">
        <v>11</v>
      </c>
      <c r="U11" s="1504">
        <f t="shared" si="1"/>
        <v>100</v>
      </c>
      <c r="V11" s="1503" t="s">
        <v>11</v>
      </c>
      <c r="W11" s="1504">
        <f t="shared" si="2"/>
        <v>100</v>
      </c>
      <c r="X11" s="1505"/>
      <c r="Y11" s="3429"/>
      <c r="Z11" s="1133"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1134">
        <f t="shared" si="6"/>
        <v>111</v>
      </c>
      <c r="R12" s="1503" t="s">
        <v>11</v>
      </c>
      <c r="S12" s="1504">
        <f t="shared" si="0"/>
        <v>100</v>
      </c>
      <c r="T12" s="1503" t="s">
        <v>11</v>
      </c>
      <c r="U12" s="1504">
        <f t="shared" si="1"/>
        <v>100</v>
      </c>
      <c r="V12" s="1503" t="s">
        <v>11</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1134">
        <f t="shared" si="6"/>
        <v>111</v>
      </c>
      <c r="R13" s="1503" t="s">
        <v>11</v>
      </c>
      <c r="S13" s="1504">
        <f t="shared" si="0"/>
        <v>100</v>
      </c>
      <c r="T13" s="1503" t="s">
        <v>11</v>
      </c>
      <c r="U13" s="1504">
        <f t="shared" si="1"/>
        <v>100</v>
      </c>
      <c r="V13" s="1503" t="s">
        <v>11</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1134">
        <f t="shared" si="6"/>
        <v>111</v>
      </c>
      <c r="R14" s="1503" t="s">
        <v>11</v>
      </c>
      <c r="S14" s="1504">
        <f t="shared" si="0"/>
        <v>100</v>
      </c>
      <c r="T14" s="1503" t="s">
        <v>11</v>
      </c>
      <c r="U14" s="1504">
        <f t="shared" si="1"/>
        <v>100</v>
      </c>
      <c r="V14" s="1503" t="s">
        <v>11</v>
      </c>
      <c r="W14" s="1504">
        <f t="shared" si="2"/>
        <v>100</v>
      </c>
      <c r="X14" s="1505"/>
      <c r="Y14" s="342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1507" t="str">
        <f t="shared" si="6"/>
        <v>居住社区成熟度</v>
      </c>
      <c r="R15" s="1508" t="s">
        <v>11</v>
      </c>
      <c r="S15" s="1509">
        <f t="shared" si="0"/>
        <v>100</v>
      </c>
      <c r="T15" s="1508" t="s">
        <v>11</v>
      </c>
      <c r="U15" s="1509">
        <f t="shared" si="1"/>
        <v>100</v>
      </c>
      <c r="V15" s="1508" t="s">
        <v>11</v>
      </c>
      <c r="W15" s="1509">
        <f t="shared" si="2"/>
        <v>100</v>
      </c>
      <c r="X15" s="1502"/>
      <c r="Y15" s="351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1507" t="str">
        <f>B17</f>
        <v>交通便捷度</v>
      </c>
      <c r="R17" s="1508" t="s">
        <v>11</v>
      </c>
      <c r="S17" s="1509">
        <f>F17</f>
        <v>100</v>
      </c>
      <c r="T17" s="1508" t="s">
        <v>11</v>
      </c>
      <c r="U17" s="1509">
        <f>H17</f>
        <v>100</v>
      </c>
      <c r="V17" s="1508" t="s">
        <v>11</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1507" t="str">
        <f>B19</f>
        <v>公共配套设施</v>
      </c>
      <c r="R19" s="1508" t="s">
        <v>11</v>
      </c>
      <c r="S19" s="1509">
        <f>F19</f>
        <v>100</v>
      </c>
      <c r="T19" s="1508" t="s">
        <v>11</v>
      </c>
      <c r="U19" s="1509">
        <f>H19</f>
        <v>100</v>
      </c>
      <c r="V19" s="1508" t="s">
        <v>11</v>
      </c>
      <c r="W19" s="1509">
        <f>J19</f>
        <v>100</v>
      </c>
      <c r="X19" s="1502"/>
      <c r="Y19" s="351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2430" t="str">
        <f>B21</f>
        <v>基础设施水平</v>
      </c>
      <c r="R21" s="1508" t="s">
        <v>11</v>
      </c>
      <c r="S21" s="1509">
        <f>F21</f>
        <v>100</v>
      </c>
      <c r="T21" s="1508" t="s">
        <v>11</v>
      </c>
      <c r="U21" s="1509">
        <f>H21</f>
        <v>100</v>
      </c>
      <c r="V21" s="1508" t="s">
        <v>11</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8"/>
      <c r="Q22" s="2430"/>
      <c r="R22" s="1508"/>
      <c r="S22" s="1509"/>
      <c r="T22" s="1508"/>
      <c r="U22" s="1509"/>
      <c r="V22" s="1508"/>
      <c r="W22" s="1509"/>
      <c r="X22" s="2432"/>
      <c r="Y22" s="351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1507" t="str">
        <f>B23</f>
        <v>自然及人文环境</v>
      </c>
      <c r="R23" s="1508" t="s">
        <v>11</v>
      </c>
      <c r="S23" s="1509">
        <f>F23</f>
        <v>100</v>
      </c>
      <c r="T23" s="1508" t="s">
        <v>11</v>
      </c>
      <c r="U23" s="1509">
        <f>H23</f>
        <v>100</v>
      </c>
      <c r="V23" s="1508" t="s">
        <v>11</v>
      </c>
      <c r="W23" s="1509">
        <f>J23</f>
        <v>100</v>
      </c>
      <c r="X23" s="1502"/>
      <c r="Y23" s="351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1507" t="str">
        <f t="shared" ref="Q25:Q46" si="11">B25</f>
        <v>楼层-1</v>
      </c>
      <c r="R25" s="1508" t="s">
        <v>11</v>
      </c>
      <c r="S25" s="1509">
        <f>F25</f>
        <v>100</v>
      </c>
      <c r="T25" s="1508" t="s">
        <v>11</v>
      </c>
      <c r="U25" s="1509">
        <f>H25</f>
        <v>100</v>
      </c>
      <c r="V25" s="1508" t="s">
        <v>11</v>
      </c>
      <c r="W25" s="1509">
        <f>J25</f>
        <v>100</v>
      </c>
      <c r="X25" s="1502"/>
      <c r="Y25" s="351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1507" t="str">
        <f t="shared" si="11"/>
        <v>朝向</v>
      </c>
      <c r="R26" s="1508" t="s">
        <v>11</v>
      </c>
      <c r="S26" s="1509">
        <f>F26</f>
        <v>100</v>
      </c>
      <c r="T26" s="1508" t="s">
        <v>11</v>
      </c>
      <c r="U26" s="1509">
        <f>H26</f>
        <v>100</v>
      </c>
      <c r="V26" s="1508" t="s">
        <v>11</v>
      </c>
      <c r="W26" s="1509">
        <f>J26</f>
        <v>100</v>
      </c>
      <c r="X26" s="1502"/>
      <c r="Y26" s="351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1134" t="str">
        <f t="shared" si="11"/>
        <v>道路级别</v>
      </c>
      <c r="R27" s="1503" t="s">
        <v>11</v>
      </c>
      <c r="S27" s="1504">
        <f>F27</f>
        <v>100</v>
      </c>
      <c r="T27" s="1503" t="s">
        <v>11</v>
      </c>
      <c r="U27" s="1504">
        <f>H27</f>
        <v>100</v>
      </c>
      <c r="V27" s="1503" t="s">
        <v>11</v>
      </c>
      <c r="W27" s="1504">
        <f>J27</f>
        <v>100</v>
      </c>
      <c r="X27" s="1505"/>
      <c r="Y27" s="351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1507">
        <f t="shared" si="11"/>
        <v>111</v>
      </c>
      <c r="R29" s="1508" t="s">
        <v>11</v>
      </c>
      <c r="S29" s="1509">
        <f t="shared" si="12"/>
        <v>100</v>
      </c>
      <c r="T29" s="1508" t="s">
        <v>11</v>
      </c>
      <c r="U29" s="1509">
        <f t="shared" si="13"/>
        <v>100</v>
      </c>
      <c r="V29" s="1508" t="s">
        <v>11</v>
      </c>
      <c r="W29" s="1509">
        <f t="shared" si="14"/>
        <v>100</v>
      </c>
      <c r="X29" s="1502"/>
      <c r="Y29" s="351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1507">
        <f t="shared" si="11"/>
        <v>111</v>
      </c>
      <c r="R30" s="1508" t="s">
        <v>11</v>
      </c>
      <c r="S30" s="1509">
        <f t="shared" si="12"/>
        <v>100</v>
      </c>
      <c r="T30" s="1508" t="s">
        <v>11</v>
      </c>
      <c r="U30" s="1509">
        <f t="shared" si="13"/>
        <v>100</v>
      </c>
      <c r="V30" s="1508" t="s">
        <v>11</v>
      </c>
      <c r="W30" s="1509">
        <f t="shared" si="14"/>
        <v>100</v>
      </c>
      <c r="X30" s="1502"/>
      <c r="Y30" s="351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1507">
        <f t="shared" si="11"/>
        <v>111</v>
      </c>
      <c r="R31" s="1508" t="s">
        <v>11</v>
      </c>
      <c r="S31" s="1509">
        <f t="shared" si="12"/>
        <v>100</v>
      </c>
      <c r="T31" s="1508" t="s">
        <v>11</v>
      </c>
      <c r="U31" s="1509">
        <f t="shared" si="13"/>
        <v>100</v>
      </c>
      <c r="V31" s="1508" t="s">
        <v>11</v>
      </c>
      <c r="W31" s="1509">
        <f t="shared" si="14"/>
        <v>100</v>
      </c>
      <c r="X31" s="1502"/>
      <c r="Y31" s="3518"/>
      <c r="Z31" s="1510">
        <f t="shared" si="15"/>
        <v>111</v>
      </c>
      <c r="AA31" s="1511">
        <f t="shared" si="3"/>
        <v>1</v>
      </c>
      <c r="AB31" s="1511">
        <f t="shared" si="4"/>
        <v>1</v>
      </c>
      <c r="AC31" s="1511">
        <f t="shared" si="5"/>
        <v>1</v>
      </c>
    </row>
    <row r="32" spans="1:29" ht="15">
      <c r="A32" s="2625" t="s">
        <v>2735</v>
      </c>
      <c r="B32" s="170" t="s">
        <v>719</v>
      </c>
      <c r="C32" s="3301" t="s">
        <v>3117</v>
      </c>
      <c r="D32" s="591">
        <v>100</v>
      </c>
      <c r="E32" s="3302" t="s">
        <v>3118</v>
      </c>
      <c r="F32" s="569">
        <f>SUMIF(100:100,E32,101:101)-SUMIF(100:100,C32,101:101)+100</f>
        <v>100</v>
      </c>
      <c r="G32" s="3301" t="s">
        <v>3038</v>
      </c>
      <c r="H32" s="591">
        <f>SUMIF(100:100,G32,101:101)-SUMIF(100:100,C32,101:101)+100</f>
        <v>100</v>
      </c>
      <c r="I32" s="3302" t="s">
        <v>3118</v>
      </c>
      <c r="J32" s="534">
        <f>SUMIF(100:100,I32,101:101)-SUMIF(100:100,C32,101:101)+100</f>
        <v>100</v>
      </c>
      <c r="K32" s="853"/>
      <c r="L32" s="2025"/>
      <c r="M32" s="2017"/>
      <c r="N32" s="2017"/>
      <c r="O32" s="2024"/>
      <c r="P32" s="3519" t="s">
        <v>544</v>
      </c>
      <c r="Q32" s="1507" t="str">
        <f t="shared" si="11"/>
        <v>建筑类型</v>
      </c>
      <c r="R32" s="1508" t="s">
        <v>11</v>
      </c>
      <c r="S32" s="1509">
        <f t="shared" si="12"/>
        <v>100</v>
      </c>
      <c r="T32" s="1508" t="s">
        <v>11</v>
      </c>
      <c r="U32" s="1509">
        <f t="shared" si="13"/>
        <v>100</v>
      </c>
      <c r="V32" s="1508" t="s">
        <v>11</v>
      </c>
      <c r="W32" s="1509">
        <f t="shared" si="14"/>
        <v>100</v>
      </c>
      <c r="X32" s="1502"/>
      <c r="Y32" s="3520" t="s">
        <v>544</v>
      </c>
      <c r="Z32" s="1510" t="str">
        <f t="shared" si="15"/>
        <v>建筑类型</v>
      </c>
      <c r="AA32" s="1511">
        <f t="shared" si="3"/>
        <v>1</v>
      </c>
      <c r="AB32" s="1511">
        <f t="shared" si="4"/>
        <v>1</v>
      </c>
      <c r="AC32" s="1511">
        <f t="shared" si="5"/>
        <v>1</v>
      </c>
    </row>
    <row r="33" spans="1:29" s="1293" customFormat="1" ht="15">
      <c r="A33" s="597"/>
      <c r="B33" s="521" t="s">
        <v>720</v>
      </c>
      <c r="C33" s="869">
        <f>'数据-汇总表'!E31</f>
        <v>229142.34999999998</v>
      </c>
      <c r="D33" s="253">
        <v>100</v>
      </c>
      <c r="E33" s="528">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20"/>
      <c r="Q33" s="1536" t="str">
        <f t="shared" si="11"/>
        <v>项目建筑规模</v>
      </c>
      <c r="R33" s="1512" t="s">
        <v>11</v>
      </c>
      <c r="S33" s="1513">
        <f t="shared" si="12"/>
        <v>100</v>
      </c>
      <c r="T33" s="1512" t="s">
        <v>11</v>
      </c>
      <c r="U33" s="1513">
        <f t="shared" si="13"/>
        <v>99</v>
      </c>
      <c r="V33" s="1512" t="s">
        <v>11</v>
      </c>
      <c r="W33" s="1513">
        <f t="shared" si="14"/>
        <v>104</v>
      </c>
      <c r="X33" s="1514"/>
      <c r="Y33" s="3520"/>
      <c r="Z33" s="1515" t="str">
        <f t="shared" si="15"/>
        <v>项目建筑规模</v>
      </c>
      <c r="AA33" s="1511">
        <f t="shared" si="3"/>
        <v>1</v>
      </c>
      <c r="AB33" s="1511">
        <f t="shared" si="4"/>
        <v>1.0101010101010102</v>
      </c>
      <c r="AC33" s="1511">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1507" t="str">
        <f t="shared" si="11"/>
        <v>建筑结构</v>
      </c>
      <c r="R34" s="1508" t="s">
        <v>11</v>
      </c>
      <c r="S34" s="1509">
        <f t="shared" si="12"/>
        <v>100</v>
      </c>
      <c r="T34" s="1508" t="s">
        <v>11</v>
      </c>
      <c r="U34" s="1509">
        <f t="shared" si="13"/>
        <v>100</v>
      </c>
      <c r="V34" s="1508" t="s">
        <v>11</v>
      </c>
      <c r="W34" s="1509">
        <f t="shared" si="14"/>
        <v>100</v>
      </c>
      <c r="X34" s="1502"/>
      <c r="Y34" s="352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1507" t="str">
        <f t="shared" si="11"/>
        <v>建筑品质</v>
      </c>
      <c r="R35" s="1508" t="s">
        <v>11</v>
      </c>
      <c r="S35" s="1509">
        <f t="shared" si="12"/>
        <v>100</v>
      </c>
      <c r="T35" s="1508" t="s">
        <v>11</v>
      </c>
      <c r="U35" s="1509">
        <f t="shared" si="13"/>
        <v>100</v>
      </c>
      <c r="V35" s="1508" t="s">
        <v>11</v>
      </c>
      <c r="W35" s="1509">
        <f t="shared" si="14"/>
        <v>100</v>
      </c>
      <c r="X35" s="1502"/>
      <c r="Y35" s="352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1507" t="str">
        <f t="shared" si="11"/>
        <v>公共部分装修</v>
      </c>
      <c r="R36" s="1508" t="s">
        <v>11</v>
      </c>
      <c r="S36" s="1509">
        <f t="shared" si="12"/>
        <v>100</v>
      </c>
      <c r="T36" s="1508" t="s">
        <v>11</v>
      </c>
      <c r="U36" s="1509">
        <f t="shared" si="13"/>
        <v>100</v>
      </c>
      <c r="V36" s="1508" t="s">
        <v>11</v>
      </c>
      <c r="W36" s="1509">
        <f t="shared" si="14"/>
        <v>100</v>
      </c>
      <c r="X36" s="1502"/>
      <c r="Y36" s="3520"/>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20"/>
      <c r="Q37" s="1134" t="str">
        <f t="shared" si="11"/>
        <v>成新度</v>
      </c>
      <c r="R37" s="1503" t="s">
        <v>11</v>
      </c>
      <c r="S37" s="1504">
        <f t="shared" si="12"/>
        <v>100</v>
      </c>
      <c r="T37" s="1503" t="s">
        <v>11</v>
      </c>
      <c r="U37" s="1504">
        <f t="shared" si="13"/>
        <v>100</v>
      </c>
      <c r="V37" s="1503" t="s">
        <v>11</v>
      </c>
      <c r="W37" s="1504">
        <f t="shared" si="14"/>
        <v>100</v>
      </c>
      <c r="X37" s="1505"/>
      <c r="Y37" s="3520"/>
      <c r="Z37" s="1133"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1507" t="str">
        <f t="shared" si="11"/>
        <v>物业管理</v>
      </c>
      <c r="R38" s="1508" t="s">
        <v>11</v>
      </c>
      <c r="S38" s="1509">
        <f t="shared" si="12"/>
        <v>100</v>
      </c>
      <c r="T38" s="1508" t="s">
        <v>11</v>
      </c>
      <c r="U38" s="1509">
        <f t="shared" si="13"/>
        <v>100</v>
      </c>
      <c r="V38" s="1508" t="s">
        <v>11</v>
      </c>
      <c r="W38" s="1509">
        <f t="shared" si="14"/>
        <v>100</v>
      </c>
      <c r="X38" s="1502"/>
      <c r="Y38" s="352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1507" t="str">
        <f t="shared" si="11"/>
        <v>市政基础设施</v>
      </c>
      <c r="R39" s="1508" t="s">
        <v>11</v>
      </c>
      <c r="S39" s="1509">
        <f t="shared" si="12"/>
        <v>100</v>
      </c>
      <c r="T39" s="1508" t="s">
        <v>11</v>
      </c>
      <c r="U39" s="1509">
        <f t="shared" si="13"/>
        <v>100</v>
      </c>
      <c r="V39" s="1508" t="s">
        <v>11</v>
      </c>
      <c r="W39" s="1509">
        <f t="shared" si="14"/>
        <v>100</v>
      </c>
      <c r="X39" s="1502"/>
      <c r="Y39" s="352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1507" t="str">
        <f t="shared" si="11"/>
        <v>房型</v>
      </c>
      <c r="R40" s="1508" t="s">
        <v>11</v>
      </c>
      <c r="S40" s="1509">
        <f t="shared" si="12"/>
        <v>100</v>
      </c>
      <c r="T40" s="1508" t="s">
        <v>11</v>
      </c>
      <c r="U40" s="1509">
        <f t="shared" si="13"/>
        <v>100</v>
      </c>
      <c r="V40" s="1508" t="s">
        <v>11</v>
      </c>
      <c r="W40" s="1509">
        <f t="shared" si="14"/>
        <v>100</v>
      </c>
      <c r="X40" s="1502"/>
      <c r="Y40" s="352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1507" t="str">
        <f t="shared" si="11"/>
        <v>内部装修</v>
      </c>
      <c r="R42" s="1508" t="s">
        <v>11</v>
      </c>
      <c r="S42" s="1509">
        <f t="shared" si="12"/>
        <v>100</v>
      </c>
      <c r="T42" s="1508" t="s">
        <v>11</v>
      </c>
      <c r="U42" s="1509">
        <f t="shared" si="13"/>
        <v>100</v>
      </c>
      <c r="V42" s="1508" t="s">
        <v>11</v>
      </c>
      <c r="W42" s="1509">
        <f t="shared" si="14"/>
        <v>100</v>
      </c>
      <c r="X42" s="1502"/>
      <c r="Y42" s="352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1507" t="str">
        <f t="shared" si="11"/>
        <v>内部装修维护情况</v>
      </c>
      <c r="R43" s="1508" t="s">
        <v>11</v>
      </c>
      <c r="S43" s="1509">
        <f t="shared" si="12"/>
        <v>100</v>
      </c>
      <c r="T43" s="1508" t="s">
        <v>11</v>
      </c>
      <c r="U43" s="1509">
        <f t="shared" si="13"/>
        <v>100</v>
      </c>
      <c r="V43" s="1508" t="s">
        <v>11</v>
      </c>
      <c r="W43" s="1509">
        <f t="shared" si="14"/>
        <v>100</v>
      </c>
      <c r="X43" s="1502"/>
      <c r="Y43" s="352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1134">
        <f t="shared" si="11"/>
        <v>111</v>
      </c>
      <c r="R44" s="1503" t="s">
        <v>11</v>
      </c>
      <c r="S44" s="1504">
        <f t="shared" si="12"/>
        <v>100</v>
      </c>
      <c r="T44" s="1503" t="s">
        <v>11</v>
      </c>
      <c r="U44" s="1504">
        <f t="shared" si="13"/>
        <v>100</v>
      </c>
      <c r="V44" s="1503" t="s">
        <v>11</v>
      </c>
      <c r="W44" s="1504">
        <f t="shared" si="14"/>
        <v>100</v>
      </c>
      <c r="X44" s="1505"/>
      <c r="Y44" s="352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1507">
        <f t="shared" si="11"/>
        <v>111</v>
      </c>
      <c r="R45" s="1508" t="s">
        <v>11</v>
      </c>
      <c r="S45" s="1509">
        <f t="shared" si="12"/>
        <v>100</v>
      </c>
      <c r="T45" s="1508" t="s">
        <v>11</v>
      </c>
      <c r="U45" s="1509">
        <f t="shared" si="13"/>
        <v>100</v>
      </c>
      <c r="V45" s="1508" t="s">
        <v>11</v>
      </c>
      <c r="W45" s="1509">
        <f t="shared" si="14"/>
        <v>100</v>
      </c>
      <c r="X45" s="1502"/>
      <c r="Y45" s="352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1507">
        <f t="shared" si="11"/>
        <v>111</v>
      </c>
      <c r="R46" s="1508" t="s">
        <v>10</v>
      </c>
      <c r="S46" s="1509">
        <f t="shared" si="12"/>
        <v>100</v>
      </c>
      <c r="T46" s="1508" t="s">
        <v>10</v>
      </c>
      <c r="U46" s="1509">
        <f t="shared" si="13"/>
        <v>100</v>
      </c>
      <c r="V46" s="1508" t="s">
        <v>10</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9</v>
      </c>
      <c r="D47" s="2472"/>
      <c r="E47" s="2473">
        <v>6387</v>
      </c>
      <c r="F47" s="2474"/>
      <c r="G47" s="2475">
        <v>7400</v>
      </c>
      <c r="H47" s="2476"/>
      <c r="I47" s="2473">
        <v>7175</v>
      </c>
      <c r="J47" s="2476"/>
      <c r="K47" s="1537"/>
      <c r="L47" s="2027"/>
      <c r="M47" s="2028"/>
      <c r="N47" s="2017"/>
      <c r="O47" s="2028"/>
      <c r="P47" s="3483" t="str">
        <f>A47</f>
        <v>成交单价（元/平方米）</v>
      </c>
      <c r="Q47" s="3483"/>
      <c r="R47" s="3578">
        <f>E47</f>
        <v>6387</v>
      </c>
      <c r="S47" s="3578"/>
      <c r="T47" s="3578">
        <f>G47</f>
        <v>7400</v>
      </c>
      <c r="U47" s="3578"/>
      <c r="V47" s="3578">
        <f>I47</f>
        <v>7175</v>
      </c>
      <c r="W47" s="3578"/>
      <c r="X47" s="1497"/>
      <c r="Y47" s="1516"/>
      <c r="Z47" s="1497"/>
      <c r="AA47" s="1497"/>
      <c r="AB47" s="1497"/>
      <c r="AC47" s="1497"/>
    </row>
    <row r="48" spans="1:29" ht="15.75" thickBot="1">
      <c r="A48" s="609" t="s">
        <v>2740</v>
      </c>
      <c r="B48" s="877"/>
      <c r="C48" s="2477">
        <f>R49</f>
        <v>6920</v>
      </c>
      <c r="D48" s="3014" t="s">
        <v>2971</v>
      </c>
      <c r="E48" s="2478">
        <f>R48</f>
        <v>6387</v>
      </c>
      <c r="F48" s="3015"/>
      <c r="G48" s="2477">
        <f>T48</f>
        <v>7475</v>
      </c>
      <c r="H48" s="3015"/>
      <c r="I48" s="2478">
        <f>V48</f>
        <v>6899</v>
      </c>
      <c r="J48" s="3015"/>
      <c r="K48" s="3023">
        <f>F48+H48+J48</f>
        <v>0</v>
      </c>
      <c r="L48" s="2027"/>
      <c r="M48" s="2028"/>
      <c r="N48" s="2028"/>
      <c r="O48" s="2028"/>
      <c r="P48" s="3483" t="str">
        <f>A48</f>
        <v>比较价格（元/平方米）</v>
      </c>
      <c r="Q48" s="3483"/>
      <c r="R48" s="3578">
        <f>IF(F1="售价",ROUND(PRODUCT(R47,AA7:AA46),0),ROUND(PRODUCT(R47,AA7:AA46),1))</f>
        <v>6387</v>
      </c>
      <c r="S48" s="3578"/>
      <c r="T48" s="3578">
        <f>IF(F1="售价",ROUND(PRODUCT(T47,AB7:AB46),0),ROUND(PRODUCT(T47,AB7:AB46),1))</f>
        <v>7475</v>
      </c>
      <c r="U48" s="3578"/>
      <c r="V48" s="3578">
        <f>IF(F1="售价",ROUND(PRODUCT(V47,AC7:AC46),0),ROUND(PRODUCT(V47,AC7:AC46),1))</f>
        <v>6899</v>
      </c>
      <c r="W48" s="3578"/>
      <c r="X48" s="1497"/>
      <c r="Y48" s="1497"/>
      <c r="Z48" s="1497"/>
      <c r="AA48" s="1497"/>
      <c r="AB48" s="1497"/>
      <c r="AC48" s="1497"/>
    </row>
    <row r="49" spans="1:29" ht="15.75" thickBot="1">
      <c r="A49" s="613" t="s">
        <v>2903</v>
      </c>
      <c r="B49" s="614"/>
      <c r="C49" s="2479">
        <f>R49</f>
        <v>6920</v>
      </c>
      <c r="D49" s="2479"/>
      <c r="E49" s="2479"/>
      <c r="F49" s="2479"/>
      <c r="G49" s="2479"/>
      <c r="H49" s="2479"/>
      <c r="I49" s="2479"/>
      <c r="J49" s="2479"/>
      <c r="K49" s="1538"/>
      <c r="L49" s="2027"/>
      <c r="M49" s="2028"/>
      <c r="N49" s="2028"/>
      <c r="O49" s="2028"/>
      <c r="P49" s="3480" t="str">
        <f>A49</f>
        <v>估价对象XX用房的比较价格（楼面单价，元/平方米）</v>
      </c>
      <c r="Q49" s="3481"/>
      <c r="R49" s="3577">
        <f>IF(F1="售价",ROUND(IF(D48="简单平均",AVERAGE(R48:V48),R48*F48+T48*H48+V48*J48),0),ROUND(IF(D48="简单平均",AVERAGE(R48:V48),R48*F48+T48*H48+V48*J48),1))</f>
        <v>6920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1.0135135135135087E-2</v>
      </c>
      <c r="H52" s="619" t="str">
        <f>IF(OR(G52&gt;=0.3,G52&lt;=-0.3),"超过30%","")</f>
        <v/>
      </c>
      <c r="I52" s="618">
        <f>IF(I47&lt;I48,I48/I47-1,I47/I48-1)</f>
        <v>4.0005797941730759E-2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0.17034601534366689</v>
      </c>
      <c r="F53" s="619" t="str">
        <f>IF(OR(E53&gt;=0.2,E53&lt;=-0.2),"超过20%","")</f>
        <v/>
      </c>
      <c r="G53" s="618">
        <f>IF(G48&lt;I48,I48/G48-1,G48/I48-1)</f>
        <v>8.3490360921872675E-2</v>
      </c>
      <c r="H53" s="619" t="str">
        <f>IF(OR(G53&gt;=0.2,G53&lt;=-0.2),"超过20%","")</f>
        <v/>
      </c>
      <c r="I53" s="618">
        <f>IF(I48&lt;E48,E48/I48-1,I48/E48-1)</f>
        <v>8.0162830749960889E-2</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0.15860341318302806</v>
      </c>
      <c r="F54" s="619" t="str">
        <f>IF(OR(E54&gt;=0.3,E54&lt;=-0.3),"超过30%","")</f>
        <v/>
      </c>
      <c r="G54" s="618">
        <f>IF(G47&lt;I47,I47/G47-1,G47/I47-1)</f>
        <v>3.1358885017421567E-2</v>
      </c>
      <c r="H54" s="619" t="str">
        <f>IF(OR(G54&gt;=0.3,G54&lt;=-0.3),"超过30%","")</f>
        <v/>
      </c>
      <c r="I54" s="618">
        <f>IF(I47&lt;E47,E47/I47-1,I47/E47-1)</f>
        <v>0.12337560670111158</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303" t="s">
        <v>3127</v>
      </c>
      <c r="D100" s="3303" t="s">
        <v>3128</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5" sqref="M35"/>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3119</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#N/A</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#N/A</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3291"/>
      <c r="Y4" s="3497" t="s">
        <v>521</v>
      </c>
      <c r="Z4" s="3498"/>
      <c r="AA4" s="3486" t="s">
        <v>517</v>
      </c>
      <c r="AB4" s="3486" t="s">
        <v>518</v>
      </c>
      <c r="AC4" s="3486" t="s">
        <v>519</v>
      </c>
    </row>
    <row r="5" spans="1:29" ht="15">
      <c r="A5" s="509"/>
      <c r="B5" s="510"/>
      <c r="C5" s="3505" t="s">
        <v>2897</v>
      </c>
      <c r="D5" s="3506"/>
      <c r="E5" s="3525" t="s">
        <v>2898</v>
      </c>
      <c r="F5" s="3526"/>
      <c r="G5" s="3505" t="s">
        <v>2899</v>
      </c>
      <c r="H5" s="3506"/>
      <c r="I5" s="3505" t="s">
        <v>2900</v>
      </c>
      <c r="J5" s="3506"/>
      <c r="K5" s="843"/>
      <c r="L5" s="2016"/>
      <c r="M5" s="2017"/>
      <c r="N5" s="2017"/>
      <c r="O5" s="2017"/>
      <c r="P5" s="3493"/>
      <c r="Q5" s="3494"/>
      <c r="R5" s="3499"/>
      <c r="S5" s="3500"/>
      <c r="T5" s="3499"/>
      <c r="U5" s="3500"/>
      <c r="V5" s="3484"/>
      <c r="W5" s="3484"/>
      <c r="X5" s="3291"/>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3291"/>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3120</v>
      </c>
      <c r="F8" s="516">
        <f>SUMIF(61:61,E8,62:62)-SUMIF(61:61,C8,62:62)+100</f>
        <v>100</v>
      </c>
      <c r="G8" s="3298" t="s">
        <v>3120</v>
      </c>
      <c r="H8" s="514">
        <f>SUMIF(61:61,G8,62:62)-SUMIF(61:61,C8,62:62)+100</f>
        <v>100</v>
      </c>
      <c r="I8" s="3300" t="s">
        <v>3120</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3288" t="str">
        <f t="shared" ref="Q9:Q15" si="6">B9</f>
        <v>用途</v>
      </c>
      <c r="R9" s="1503" t="s">
        <v>8</v>
      </c>
      <c r="S9" s="1504">
        <f t="shared" si="0"/>
        <v>100</v>
      </c>
      <c r="T9" s="1503" t="s">
        <v>8</v>
      </c>
      <c r="U9" s="1504">
        <f t="shared" si="1"/>
        <v>100</v>
      </c>
      <c r="V9" s="1503" t="s">
        <v>8</v>
      </c>
      <c r="W9" s="1504">
        <f t="shared" si="2"/>
        <v>100</v>
      </c>
      <c r="X9" s="1505"/>
      <c r="Y9" s="3429" t="s">
        <v>530</v>
      </c>
      <c r="Z9" s="3287"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83"/>
      <c r="Q10" s="3288" t="str">
        <f t="shared" si="6"/>
        <v>土地使用年限（年）</v>
      </c>
      <c r="R10" s="1503" t="s">
        <v>8</v>
      </c>
      <c r="S10" s="1504">
        <f t="shared" si="0"/>
        <v>100</v>
      </c>
      <c r="T10" s="1503" t="s">
        <v>8</v>
      </c>
      <c r="U10" s="1504">
        <f t="shared" si="1"/>
        <v>100</v>
      </c>
      <c r="V10" s="1503" t="s">
        <v>8</v>
      </c>
      <c r="W10" s="1504">
        <f t="shared" si="2"/>
        <v>100</v>
      </c>
      <c r="X10" s="1505"/>
      <c r="Y10" s="3429"/>
      <c r="Z10" s="3287"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83"/>
      <c r="Q11" s="3288" t="str">
        <f t="shared" si="6"/>
        <v>容积率</v>
      </c>
      <c r="R11" s="1503" t="s">
        <v>11</v>
      </c>
      <c r="S11" s="1504" t="e">
        <f t="shared" si="0"/>
        <v>#N/A</v>
      </c>
      <c r="T11" s="1503" t="s">
        <v>11</v>
      </c>
      <c r="U11" s="1504" t="e">
        <f t="shared" si="1"/>
        <v>#N/A</v>
      </c>
      <c r="V11" s="1503" t="s">
        <v>11</v>
      </c>
      <c r="W11" s="1504" t="e">
        <f t="shared" si="2"/>
        <v>#N/A</v>
      </c>
      <c r="X11" s="1505"/>
      <c r="Y11" s="3429"/>
      <c r="Z11" s="3287"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3288">
        <f t="shared" si="6"/>
        <v>111</v>
      </c>
      <c r="R12" s="1503" t="s">
        <v>11</v>
      </c>
      <c r="S12" s="1504">
        <f t="shared" si="0"/>
        <v>100</v>
      </c>
      <c r="T12" s="1503" t="s">
        <v>11</v>
      </c>
      <c r="U12" s="1504">
        <f t="shared" si="1"/>
        <v>100</v>
      </c>
      <c r="V12" s="1503" t="s">
        <v>11</v>
      </c>
      <c r="W12" s="1504">
        <f t="shared" si="2"/>
        <v>100</v>
      </c>
      <c r="X12" s="1505"/>
      <c r="Y12" s="3429"/>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3288">
        <f t="shared" si="6"/>
        <v>111</v>
      </c>
      <c r="R13" s="1503" t="s">
        <v>11</v>
      </c>
      <c r="S13" s="1504">
        <f t="shared" si="0"/>
        <v>100</v>
      </c>
      <c r="T13" s="1503" t="s">
        <v>11</v>
      </c>
      <c r="U13" s="1504">
        <f t="shared" si="1"/>
        <v>100</v>
      </c>
      <c r="V13" s="1503" t="s">
        <v>11</v>
      </c>
      <c r="W13" s="1504">
        <f t="shared" si="2"/>
        <v>100</v>
      </c>
      <c r="X13" s="1505"/>
      <c r="Y13" s="3429"/>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3288">
        <f t="shared" si="6"/>
        <v>111</v>
      </c>
      <c r="R14" s="1503" t="s">
        <v>11</v>
      </c>
      <c r="S14" s="1504">
        <f t="shared" si="0"/>
        <v>100</v>
      </c>
      <c r="T14" s="1503" t="s">
        <v>11</v>
      </c>
      <c r="U14" s="1504">
        <f t="shared" si="1"/>
        <v>100</v>
      </c>
      <c r="V14" s="1503" t="s">
        <v>11</v>
      </c>
      <c r="W14" s="1504">
        <f t="shared" si="2"/>
        <v>100</v>
      </c>
      <c r="X14" s="1505"/>
      <c r="Y14" s="3429"/>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3289" t="str">
        <f t="shared" si="6"/>
        <v>居住社区成熟度</v>
      </c>
      <c r="R15" s="1508" t="s">
        <v>11</v>
      </c>
      <c r="S15" s="1509">
        <f t="shared" si="0"/>
        <v>100</v>
      </c>
      <c r="T15" s="1508" t="s">
        <v>11</v>
      </c>
      <c r="U15" s="1509">
        <f t="shared" si="1"/>
        <v>100</v>
      </c>
      <c r="V15" s="1508" t="s">
        <v>11</v>
      </c>
      <c r="W15" s="1509">
        <f t="shared" si="2"/>
        <v>100</v>
      </c>
      <c r="X15" s="3291"/>
      <c r="Y15" s="351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518"/>
      <c r="Q16" s="3289"/>
      <c r="R16" s="1508"/>
      <c r="S16" s="1509"/>
      <c r="T16" s="1508"/>
      <c r="U16" s="1509"/>
      <c r="V16" s="1508"/>
      <c r="W16" s="1509"/>
      <c r="X16" s="3291"/>
      <c r="Y16" s="351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3289" t="str">
        <f>B17</f>
        <v>交通便捷度</v>
      </c>
      <c r="R17" s="1508" t="s">
        <v>11</v>
      </c>
      <c r="S17" s="1509">
        <f>F17</f>
        <v>100</v>
      </c>
      <c r="T17" s="1508" t="s">
        <v>11</v>
      </c>
      <c r="U17" s="1509">
        <f>H17</f>
        <v>100</v>
      </c>
      <c r="V17" s="1508" t="s">
        <v>11</v>
      </c>
      <c r="W17" s="1509">
        <f>J17</f>
        <v>100</v>
      </c>
      <c r="X17" s="3291"/>
      <c r="Y17" s="351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518"/>
      <c r="Q18" s="3289"/>
      <c r="R18" s="1508"/>
      <c r="S18" s="1509"/>
      <c r="T18" s="1508"/>
      <c r="U18" s="1509"/>
      <c r="V18" s="1508"/>
      <c r="W18" s="1509"/>
      <c r="X18" s="3291"/>
      <c r="Y18" s="351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3289" t="str">
        <f>B19</f>
        <v>公共配套设施</v>
      </c>
      <c r="R19" s="1508" t="s">
        <v>11</v>
      </c>
      <c r="S19" s="1509">
        <f>F19</f>
        <v>100</v>
      </c>
      <c r="T19" s="1508" t="s">
        <v>11</v>
      </c>
      <c r="U19" s="1509">
        <f>H19</f>
        <v>100</v>
      </c>
      <c r="V19" s="1508" t="s">
        <v>11</v>
      </c>
      <c r="W19" s="1509">
        <f>J19</f>
        <v>100</v>
      </c>
      <c r="X19" s="3291"/>
      <c r="Y19" s="351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518"/>
      <c r="Q20" s="3289"/>
      <c r="R20" s="1508"/>
      <c r="S20" s="1509"/>
      <c r="T20" s="1508"/>
      <c r="U20" s="1509"/>
      <c r="V20" s="1508"/>
      <c r="W20" s="1509"/>
      <c r="X20" s="3291"/>
      <c r="Y20" s="351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3289" t="str">
        <f>B21</f>
        <v>基础设施水平</v>
      </c>
      <c r="R21" s="1508" t="s">
        <v>11</v>
      </c>
      <c r="S21" s="1509">
        <f>F21</f>
        <v>100</v>
      </c>
      <c r="T21" s="1508" t="s">
        <v>11</v>
      </c>
      <c r="U21" s="1509">
        <f>H21</f>
        <v>100</v>
      </c>
      <c r="V21" s="1508" t="s">
        <v>11</v>
      </c>
      <c r="W21" s="1509">
        <f>J21</f>
        <v>100</v>
      </c>
      <c r="X21" s="3291"/>
      <c r="Y21" s="351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518"/>
      <c r="Q22" s="3289"/>
      <c r="R22" s="1508"/>
      <c r="S22" s="1509"/>
      <c r="T22" s="1508"/>
      <c r="U22" s="1509"/>
      <c r="V22" s="1508"/>
      <c r="W22" s="1509"/>
      <c r="X22" s="3291"/>
      <c r="Y22" s="351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3289" t="str">
        <f>B23</f>
        <v>自然及人文环境</v>
      </c>
      <c r="R23" s="1508" t="s">
        <v>11</v>
      </c>
      <c r="S23" s="1509">
        <f>F23</f>
        <v>100</v>
      </c>
      <c r="T23" s="1508" t="s">
        <v>11</v>
      </c>
      <c r="U23" s="1509">
        <f>H23</f>
        <v>100</v>
      </c>
      <c r="V23" s="1508" t="s">
        <v>11</v>
      </c>
      <c r="W23" s="1509">
        <f>J23</f>
        <v>100</v>
      </c>
      <c r="X23" s="3291"/>
      <c r="Y23" s="351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518"/>
      <c r="Q24" s="3289"/>
      <c r="R24" s="1508"/>
      <c r="S24" s="1509"/>
      <c r="T24" s="1508"/>
      <c r="U24" s="1509"/>
      <c r="V24" s="1508"/>
      <c r="W24" s="1509"/>
      <c r="X24" s="3291"/>
      <c r="Y24" s="351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3289" t="str">
        <f t="shared" ref="Q25:Q46" si="11">B25</f>
        <v>楼层-1</v>
      </c>
      <c r="R25" s="1508" t="s">
        <v>11</v>
      </c>
      <c r="S25" s="1509">
        <f>F25</f>
        <v>100</v>
      </c>
      <c r="T25" s="1508" t="s">
        <v>11</v>
      </c>
      <c r="U25" s="1509">
        <f>H25</f>
        <v>100</v>
      </c>
      <c r="V25" s="1508" t="s">
        <v>11</v>
      </c>
      <c r="W25" s="1509">
        <f>J25</f>
        <v>100</v>
      </c>
      <c r="X25" s="3291"/>
      <c r="Y25" s="351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3289" t="str">
        <f t="shared" si="11"/>
        <v>朝向</v>
      </c>
      <c r="R26" s="1508" t="s">
        <v>11</v>
      </c>
      <c r="S26" s="1509">
        <f>F26</f>
        <v>100</v>
      </c>
      <c r="T26" s="1508" t="s">
        <v>11</v>
      </c>
      <c r="U26" s="1509">
        <f>H26</f>
        <v>100</v>
      </c>
      <c r="V26" s="1508" t="s">
        <v>11</v>
      </c>
      <c r="W26" s="1509">
        <f>J26</f>
        <v>100</v>
      </c>
      <c r="X26" s="3291"/>
      <c r="Y26" s="351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3288" t="str">
        <f t="shared" si="11"/>
        <v>道路级别</v>
      </c>
      <c r="R27" s="1503" t="s">
        <v>11</v>
      </c>
      <c r="S27" s="1504">
        <f>F27</f>
        <v>100</v>
      </c>
      <c r="T27" s="1503" t="s">
        <v>11</v>
      </c>
      <c r="U27" s="1504">
        <f>H27</f>
        <v>100</v>
      </c>
      <c r="V27" s="1503" t="s">
        <v>11</v>
      </c>
      <c r="W27" s="1504">
        <f>J27</f>
        <v>100</v>
      </c>
      <c r="X27" s="1505"/>
      <c r="Y27" s="351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3289">
        <f t="shared" si="11"/>
        <v>111</v>
      </c>
      <c r="R28" s="1508" t="s">
        <v>11</v>
      </c>
      <c r="S28" s="1509">
        <f t="shared" ref="S28:S46" si="12">F28</f>
        <v>100</v>
      </c>
      <c r="T28" s="1508" t="s">
        <v>11</v>
      </c>
      <c r="U28" s="1509">
        <f t="shared" ref="U28:U46" si="13">H28</f>
        <v>100</v>
      </c>
      <c r="V28" s="1508" t="s">
        <v>11</v>
      </c>
      <c r="W28" s="1509">
        <f t="shared" ref="W28:W46" si="14">J28</f>
        <v>100</v>
      </c>
      <c r="X28" s="3291"/>
      <c r="Y28" s="351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3289">
        <f t="shared" si="11"/>
        <v>111</v>
      </c>
      <c r="R29" s="1508" t="s">
        <v>11</v>
      </c>
      <c r="S29" s="1509">
        <f t="shared" si="12"/>
        <v>100</v>
      </c>
      <c r="T29" s="1508" t="s">
        <v>11</v>
      </c>
      <c r="U29" s="1509">
        <f t="shared" si="13"/>
        <v>100</v>
      </c>
      <c r="V29" s="1508" t="s">
        <v>11</v>
      </c>
      <c r="W29" s="1509">
        <f t="shared" si="14"/>
        <v>100</v>
      </c>
      <c r="X29" s="3291"/>
      <c r="Y29" s="351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3289">
        <f t="shared" si="11"/>
        <v>111</v>
      </c>
      <c r="R30" s="1508" t="s">
        <v>11</v>
      </c>
      <c r="S30" s="1509">
        <f t="shared" si="12"/>
        <v>100</v>
      </c>
      <c r="T30" s="1508" t="s">
        <v>11</v>
      </c>
      <c r="U30" s="1509">
        <f t="shared" si="13"/>
        <v>100</v>
      </c>
      <c r="V30" s="1508" t="s">
        <v>11</v>
      </c>
      <c r="W30" s="1509">
        <f t="shared" si="14"/>
        <v>100</v>
      </c>
      <c r="X30" s="3291"/>
      <c r="Y30" s="351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3289">
        <f t="shared" si="11"/>
        <v>111</v>
      </c>
      <c r="R31" s="1508" t="s">
        <v>11</v>
      </c>
      <c r="S31" s="1509">
        <f t="shared" si="12"/>
        <v>100</v>
      </c>
      <c r="T31" s="1508" t="s">
        <v>11</v>
      </c>
      <c r="U31" s="1509">
        <f t="shared" si="13"/>
        <v>100</v>
      </c>
      <c r="V31" s="1508" t="s">
        <v>11</v>
      </c>
      <c r="W31" s="1509">
        <f t="shared" si="14"/>
        <v>100</v>
      </c>
      <c r="X31" s="3291"/>
      <c r="Y31" s="3518"/>
      <c r="Z31" s="3290">
        <f t="shared" si="15"/>
        <v>111</v>
      </c>
      <c r="AA31" s="3292">
        <f t="shared" si="3"/>
        <v>1</v>
      </c>
      <c r="AB31" s="3292">
        <f t="shared" si="4"/>
        <v>1</v>
      </c>
      <c r="AC31" s="3292">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9" t="s">
        <v>544</v>
      </c>
      <c r="Q32" s="3289" t="str">
        <f t="shared" si="11"/>
        <v>建筑类型</v>
      </c>
      <c r="R32" s="1508" t="s">
        <v>11</v>
      </c>
      <c r="S32" s="1509">
        <f t="shared" si="12"/>
        <v>100</v>
      </c>
      <c r="T32" s="1508" t="s">
        <v>11</v>
      </c>
      <c r="U32" s="1509">
        <f t="shared" si="13"/>
        <v>100</v>
      </c>
      <c r="V32" s="1508" t="s">
        <v>11</v>
      </c>
      <c r="W32" s="1509">
        <f t="shared" si="14"/>
        <v>100</v>
      </c>
      <c r="X32" s="3291"/>
      <c r="Y32" s="3520" t="s">
        <v>544</v>
      </c>
      <c r="Z32" s="3290" t="str">
        <f t="shared" si="15"/>
        <v>建筑类型</v>
      </c>
      <c r="AA32" s="3292">
        <f t="shared" si="3"/>
        <v>1</v>
      </c>
      <c r="AB32" s="3292">
        <f t="shared" si="4"/>
        <v>1</v>
      </c>
      <c r="AC32" s="3292">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20"/>
      <c r="Q33" s="1536" t="str">
        <f t="shared" si="11"/>
        <v>项目建筑规模</v>
      </c>
      <c r="R33" s="1512" t="s">
        <v>11</v>
      </c>
      <c r="S33" s="1513" t="e">
        <f t="shared" si="12"/>
        <v>#N/A</v>
      </c>
      <c r="T33" s="1512" t="s">
        <v>11</v>
      </c>
      <c r="U33" s="1513" t="e">
        <f t="shared" si="13"/>
        <v>#N/A</v>
      </c>
      <c r="V33" s="1512" t="s">
        <v>11</v>
      </c>
      <c r="W33" s="1513" t="e">
        <f t="shared" si="14"/>
        <v>#N/A</v>
      </c>
      <c r="X33" s="1514"/>
      <c r="Y33" s="3520"/>
      <c r="Z33" s="1515" t="str">
        <f t="shared" si="15"/>
        <v>项目建筑规模</v>
      </c>
      <c r="AA33" s="3292" t="e">
        <f t="shared" si="3"/>
        <v>#N/A</v>
      </c>
      <c r="AB33" s="3292" t="e">
        <f t="shared" si="4"/>
        <v>#N/A</v>
      </c>
      <c r="AC33" s="3292"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3289" t="str">
        <f t="shared" si="11"/>
        <v>建筑结构</v>
      </c>
      <c r="R34" s="1508" t="s">
        <v>11</v>
      </c>
      <c r="S34" s="1509">
        <f t="shared" si="12"/>
        <v>100</v>
      </c>
      <c r="T34" s="1508" t="s">
        <v>11</v>
      </c>
      <c r="U34" s="1509">
        <f t="shared" si="13"/>
        <v>100</v>
      </c>
      <c r="V34" s="1508" t="s">
        <v>11</v>
      </c>
      <c r="W34" s="1509">
        <f t="shared" si="14"/>
        <v>100</v>
      </c>
      <c r="X34" s="3291"/>
      <c r="Y34" s="352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3289" t="str">
        <f t="shared" si="11"/>
        <v>建筑品质</v>
      </c>
      <c r="R35" s="1508" t="s">
        <v>11</v>
      </c>
      <c r="S35" s="1509">
        <f t="shared" si="12"/>
        <v>100</v>
      </c>
      <c r="T35" s="1508" t="s">
        <v>11</v>
      </c>
      <c r="U35" s="1509">
        <f t="shared" si="13"/>
        <v>100</v>
      </c>
      <c r="V35" s="1508" t="s">
        <v>11</v>
      </c>
      <c r="W35" s="1509">
        <f t="shared" si="14"/>
        <v>100</v>
      </c>
      <c r="X35" s="3291"/>
      <c r="Y35" s="352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3289" t="str">
        <f t="shared" si="11"/>
        <v>公共部分装修</v>
      </c>
      <c r="R36" s="1508" t="s">
        <v>11</v>
      </c>
      <c r="S36" s="1509">
        <f t="shared" si="12"/>
        <v>100</v>
      </c>
      <c r="T36" s="1508" t="s">
        <v>11</v>
      </c>
      <c r="U36" s="1509">
        <f t="shared" si="13"/>
        <v>100</v>
      </c>
      <c r="V36" s="1508" t="s">
        <v>11</v>
      </c>
      <c r="W36" s="1509">
        <f t="shared" si="14"/>
        <v>100</v>
      </c>
      <c r="X36" s="3291"/>
      <c r="Y36" s="3520"/>
      <c r="Z36" s="3290" t="str">
        <f t="shared" si="15"/>
        <v>公共部分装修</v>
      </c>
      <c r="AA36" s="3292">
        <f t="shared" si="3"/>
        <v>1</v>
      </c>
      <c r="AB36" s="3292">
        <f t="shared" si="4"/>
        <v>1</v>
      </c>
      <c r="AC36" s="3292">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20"/>
      <c r="Q37" s="3288" t="str">
        <f t="shared" si="11"/>
        <v>成新度</v>
      </c>
      <c r="R37" s="1503" t="s">
        <v>11</v>
      </c>
      <c r="S37" s="1504" t="e">
        <f t="shared" si="12"/>
        <v>#N/A</v>
      </c>
      <c r="T37" s="1503" t="s">
        <v>11</v>
      </c>
      <c r="U37" s="1504" t="e">
        <f t="shared" si="13"/>
        <v>#N/A</v>
      </c>
      <c r="V37" s="1503" t="s">
        <v>11</v>
      </c>
      <c r="W37" s="1504" t="e">
        <f t="shared" si="14"/>
        <v>#N/A</v>
      </c>
      <c r="X37" s="1505"/>
      <c r="Y37" s="3520"/>
      <c r="Z37" s="3287"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3289" t="str">
        <f t="shared" si="11"/>
        <v>物业管理</v>
      </c>
      <c r="R38" s="1508" t="s">
        <v>11</v>
      </c>
      <c r="S38" s="1509">
        <f t="shared" si="12"/>
        <v>100</v>
      </c>
      <c r="T38" s="1508" t="s">
        <v>11</v>
      </c>
      <c r="U38" s="1509">
        <f t="shared" si="13"/>
        <v>100</v>
      </c>
      <c r="V38" s="1508" t="s">
        <v>11</v>
      </c>
      <c r="W38" s="1509">
        <f t="shared" si="14"/>
        <v>100</v>
      </c>
      <c r="X38" s="3291"/>
      <c r="Y38" s="352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3289" t="str">
        <f t="shared" si="11"/>
        <v>市政基础设施</v>
      </c>
      <c r="R39" s="1508" t="s">
        <v>11</v>
      </c>
      <c r="S39" s="1509">
        <f t="shared" si="12"/>
        <v>100</v>
      </c>
      <c r="T39" s="1508" t="s">
        <v>11</v>
      </c>
      <c r="U39" s="1509">
        <f t="shared" si="13"/>
        <v>100</v>
      </c>
      <c r="V39" s="1508" t="s">
        <v>11</v>
      </c>
      <c r="W39" s="1509">
        <f t="shared" si="14"/>
        <v>100</v>
      </c>
      <c r="X39" s="3291"/>
      <c r="Y39" s="352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3289" t="str">
        <f t="shared" si="11"/>
        <v>房型</v>
      </c>
      <c r="R40" s="1508" t="s">
        <v>11</v>
      </c>
      <c r="S40" s="1509">
        <f t="shared" si="12"/>
        <v>100</v>
      </c>
      <c r="T40" s="1508" t="s">
        <v>11</v>
      </c>
      <c r="U40" s="1509">
        <f t="shared" si="13"/>
        <v>100</v>
      </c>
      <c r="V40" s="1508" t="s">
        <v>11</v>
      </c>
      <c r="W40" s="1509">
        <f t="shared" si="14"/>
        <v>100</v>
      </c>
      <c r="X40" s="3291"/>
      <c r="Y40" s="352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3289" t="str">
        <f t="shared" si="11"/>
        <v>内部装修</v>
      </c>
      <c r="R42" s="1508" t="s">
        <v>11</v>
      </c>
      <c r="S42" s="1509">
        <f t="shared" si="12"/>
        <v>100</v>
      </c>
      <c r="T42" s="1508" t="s">
        <v>11</v>
      </c>
      <c r="U42" s="1509">
        <f t="shared" si="13"/>
        <v>100</v>
      </c>
      <c r="V42" s="1508" t="s">
        <v>11</v>
      </c>
      <c r="W42" s="1509">
        <f t="shared" si="14"/>
        <v>100</v>
      </c>
      <c r="X42" s="3291"/>
      <c r="Y42" s="352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3289" t="str">
        <f t="shared" si="11"/>
        <v>内部装修维护情况</v>
      </c>
      <c r="R43" s="1508" t="s">
        <v>11</v>
      </c>
      <c r="S43" s="1509">
        <f t="shared" si="12"/>
        <v>100</v>
      </c>
      <c r="T43" s="1508" t="s">
        <v>11</v>
      </c>
      <c r="U43" s="1509">
        <f t="shared" si="13"/>
        <v>100</v>
      </c>
      <c r="V43" s="1508" t="s">
        <v>11</v>
      </c>
      <c r="W43" s="1509">
        <f t="shared" si="14"/>
        <v>100</v>
      </c>
      <c r="X43" s="3291"/>
      <c r="Y43" s="352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3288">
        <f t="shared" si="11"/>
        <v>111</v>
      </c>
      <c r="R44" s="1503" t="s">
        <v>11</v>
      </c>
      <c r="S44" s="1504">
        <f t="shared" si="12"/>
        <v>100</v>
      </c>
      <c r="T44" s="1503" t="s">
        <v>11</v>
      </c>
      <c r="U44" s="1504">
        <f t="shared" si="13"/>
        <v>100</v>
      </c>
      <c r="V44" s="1503" t="s">
        <v>11</v>
      </c>
      <c r="W44" s="1504">
        <f t="shared" si="14"/>
        <v>100</v>
      </c>
      <c r="X44" s="1505"/>
      <c r="Y44" s="352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3289">
        <f t="shared" si="11"/>
        <v>111</v>
      </c>
      <c r="R45" s="1508" t="s">
        <v>11</v>
      </c>
      <c r="S45" s="1509">
        <f t="shared" si="12"/>
        <v>100</v>
      </c>
      <c r="T45" s="1508" t="s">
        <v>11</v>
      </c>
      <c r="U45" s="1509">
        <f t="shared" si="13"/>
        <v>100</v>
      </c>
      <c r="V45" s="1508" t="s">
        <v>11</v>
      </c>
      <c r="W45" s="1509">
        <f t="shared" si="14"/>
        <v>100</v>
      </c>
      <c r="X45" s="3291"/>
      <c r="Y45" s="352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3289">
        <f t="shared" si="11"/>
        <v>111</v>
      </c>
      <c r="R46" s="1508" t="s">
        <v>10</v>
      </c>
      <c r="S46" s="1509">
        <f t="shared" si="12"/>
        <v>100</v>
      </c>
      <c r="T46" s="1508" t="s">
        <v>10</v>
      </c>
      <c r="U46" s="1509">
        <f t="shared" si="13"/>
        <v>100</v>
      </c>
      <c r="V46" s="1508" t="s">
        <v>10</v>
      </c>
      <c r="W46" s="1509">
        <f t="shared" si="14"/>
        <v>100</v>
      </c>
      <c r="X46" s="3291"/>
      <c r="Y46" s="3579"/>
      <c r="Z46" s="3290">
        <f t="shared" si="15"/>
        <v>111</v>
      </c>
      <c r="AA46" s="3292">
        <f t="shared" si="3"/>
        <v>1</v>
      </c>
      <c r="AB46" s="3292">
        <f t="shared" si="4"/>
        <v>1</v>
      </c>
      <c r="AC46" s="3292">
        <f t="shared" si="5"/>
        <v>1</v>
      </c>
    </row>
    <row r="47" spans="1:29" ht="15">
      <c r="A47" s="601" t="s">
        <v>730</v>
      </c>
      <c r="B47" s="876"/>
      <c r="C47" s="2471" t="s">
        <v>9</v>
      </c>
      <c r="D47" s="2472"/>
      <c r="E47" s="2473"/>
      <c r="F47" s="2474"/>
      <c r="G47" s="2475"/>
      <c r="H47" s="2476"/>
      <c r="I47" s="2473"/>
      <c r="J47" s="2476"/>
      <c r="K47" s="1537"/>
      <c r="L47" s="2027"/>
      <c r="M47" s="2028"/>
      <c r="N47" s="2017"/>
      <c r="O47" s="2028"/>
      <c r="P47" s="3483" t="str">
        <f>A47</f>
        <v>成交单价（元/平方米）</v>
      </c>
      <c r="Q47" s="3483"/>
      <c r="R47" s="3578">
        <f>E47</f>
        <v>0</v>
      </c>
      <c r="S47" s="3578"/>
      <c r="T47" s="3578">
        <f>G47</f>
        <v>0</v>
      </c>
      <c r="U47" s="3578"/>
      <c r="V47" s="3578">
        <f>I47</f>
        <v>0</v>
      </c>
      <c r="W47" s="3578"/>
      <c r="X47" s="1497"/>
      <c r="Y47" s="1516"/>
      <c r="Z47" s="1497"/>
      <c r="AA47" s="1497"/>
      <c r="AB47" s="1497"/>
      <c r="AC47" s="1497"/>
    </row>
    <row r="48" spans="1:29" ht="15.75" thickBot="1">
      <c r="A48" s="609" t="s">
        <v>2673</v>
      </c>
      <c r="B48" s="877"/>
      <c r="C48" s="2477" t="e">
        <f>R49</f>
        <v>#N/A</v>
      </c>
      <c r="D48" s="3014" t="s">
        <v>2971</v>
      </c>
      <c r="E48" s="2478" t="e">
        <f>R48</f>
        <v>#N/A</v>
      </c>
      <c r="F48" s="3015"/>
      <c r="G48" s="2477" t="e">
        <f>T48</f>
        <v>#N/A</v>
      </c>
      <c r="H48" s="3015"/>
      <c r="I48" s="2478" t="e">
        <f>V48</f>
        <v>#N/A</v>
      </c>
      <c r="J48" s="3015"/>
      <c r="K48" s="3023">
        <f>F48+H48+J48</f>
        <v>0</v>
      </c>
      <c r="L48" s="2027"/>
      <c r="M48" s="2028"/>
      <c r="N48" s="2028"/>
      <c r="O48" s="2028"/>
      <c r="P48" s="3483" t="str">
        <f>A48</f>
        <v>比较价格（元/平方米）</v>
      </c>
      <c r="Q48" s="3483"/>
      <c r="R48" s="3578" t="e">
        <f>IF(F1="售价",ROUND(PRODUCT(R47,AA7:AA46),0),ROUND(PRODUCT(R47,AA7:AA46),1))</f>
        <v>#N/A</v>
      </c>
      <c r="S48" s="3578"/>
      <c r="T48" s="3578" t="e">
        <f>IF(F1="售价",ROUND(PRODUCT(T47,AB7:AB46),0),ROUND(PRODUCT(T47,AB7:AB46),1))</f>
        <v>#N/A</v>
      </c>
      <c r="U48" s="3578"/>
      <c r="V48" s="3578" t="e">
        <f>IF(F1="售价",ROUND(PRODUCT(V47,AC7:AC46),0),ROUND(PRODUCT(V47,AC7:AC46),1))</f>
        <v>#N/A</v>
      </c>
      <c r="W48" s="3578"/>
      <c r="X48" s="1497"/>
      <c r="Y48" s="1497"/>
      <c r="Z48" s="1497"/>
      <c r="AA48" s="1497"/>
      <c r="AB48" s="1497"/>
      <c r="AC48" s="1497"/>
    </row>
    <row r="49" spans="1:29" ht="15.75" thickBot="1">
      <c r="A49" s="613" t="s">
        <v>2903</v>
      </c>
      <c r="B49" s="614"/>
      <c r="C49" s="2479" t="e">
        <f>R49</f>
        <v>#N/A</v>
      </c>
      <c r="D49" s="2479"/>
      <c r="E49" s="2479"/>
      <c r="F49" s="2479"/>
      <c r="G49" s="2479"/>
      <c r="H49" s="2479"/>
      <c r="I49" s="2479"/>
      <c r="J49" s="2479"/>
      <c r="K49" s="1538"/>
      <c r="L49" s="2027"/>
      <c r="M49" s="2028"/>
      <c r="N49" s="2028"/>
      <c r="O49" s="2028"/>
      <c r="P49" s="3480" t="str">
        <f>A49</f>
        <v>估价对象XX用房的比较价格（楼面单价，元/平方米）</v>
      </c>
      <c r="Q49" s="3481"/>
      <c r="R49" s="3577" t="e">
        <f>IF(F1="售价",ROUND(IF(D48="简单平均",AVERAGE(R48:V48),R48*F48+T48*H48+V48*J48),0),ROUND(IF(D48="简单平均",AVERAGE(R48:V48),R48*F48+T48*H48+V48*J48),1))</f>
        <v>#N/A</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#N/A</v>
      </c>
      <c r="F52" s="619" t="e">
        <f>IF(OR(E52&gt;=0.3,E52&lt;=-0.3),"超过30%","")</f>
        <v>#N/A</v>
      </c>
      <c r="G52" s="618" t="e">
        <f>IF(G47&lt;G48,G48/G47-1,G47/G48-1)</f>
        <v>#N/A</v>
      </c>
      <c r="H52" s="619" t="e">
        <f>IF(OR(G52&gt;=0.3,G52&lt;=-0.3),"超过30%","")</f>
        <v>#N/A</v>
      </c>
      <c r="I52" s="618" t="e">
        <f>IF(I47&lt;I48,I48/I47-1,I47/I48-1)</f>
        <v>#N/A</v>
      </c>
      <c r="J52" s="619" t="e">
        <f>IF(OR(I52&gt;=0.3,I52&lt;=-0.3),"超过30%","")</f>
        <v>#N/A</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#N/A</v>
      </c>
      <c r="F53" s="619" t="e">
        <f>IF(OR(E53&gt;=0.2,E53&lt;=-0.2),"超过20%","")</f>
        <v>#N/A</v>
      </c>
      <c r="G53" s="618" t="e">
        <f>IF(G48&lt;I48,I48/G48-1,G48/I48-1)</f>
        <v>#N/A</v>
      </c>
      <c r="H53" s="619" t="e">
        <f>IF(OR(G53&gt;=0.2,G53&lt;=-0.2),"超过20%","")</f>
        <v>#N/A</v>
      </c>
      <c r="I53" s="618" t="e">
        <f>IF(I48&lt;E48,E48/I48-1,I48/E48-1)</f>
        <v>#N/A</v>
      </c>
      <c r="J53" s="619" t="e">
        <f>IF(OR(I53&gt;=0.2,I53&lt;=-0.2),"超过20%","")</f>
        <v>#N/A</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9" priority="18" stopIfTrue="1" operator="containsText" text="超过">
      <formula>NOT(ISERROR(SEARCH("超过",F52)))</formula>
    </cfRule>
  </conditionalFormatting>
  <conditionalFormatting sqref="J54">
    <cfRule type="containsText" dxfId="138" priority="17" stopIfTrue="1" operator="containsText" text="超过">
      <formula>NOT(ISERROR(SEARCH("超过",J54)))</formula>
    </cfRule>
  </conditionalFormatting>
  <conditionalFormatting sqref="H54">
    <cfRule type="containsText" dxfId="137" priority="16" stopIfTrue="1" operator="containsText" text="超过">
      <formula>NOT(ISERROR(SEARCH("超过",H54)))</formula>
    </cfRule>
  </conditionalFormatting>
  <conditionalFormatting sqref="F54">
    <cfRule type="containsText" dxfId="136" priority="15" stopIfTrue="1" operator="containsText" text="超过">
      <formula>NOT(ISERROR(SEARCH("超过",F54)))</formula>
    </cfRule>
  </conditionalFormatting>
  <conditionalFormatting sqref="F53 H53 J53">
    <cfRule type="containsText" dxfId="135" priority="14" stopIfTrue="1" operator="containsText" text="超过">
      <formula>NOT(ISERROR(SEARCH("超过",F53)))</formula>
    </cfRule>
  </conditionalFormatting>
  <conditionalFormatting sqref="E52">
    <cfRule type="expression" dxfId="134" priority="13"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3" zoomScale="60" zoomScaleNormal="60" workbookViewId="0">
      <selection activeCell="N42" sqref="N4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3119</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41299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9909</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3291"/>
      <c r="Y4" s="3497" t="s">
        <v>521</v>
      </c>
      <c r="Z4" s="3498"/>
      <c r="AA4" s="3486" t="s">
        <v>517</v>
      </c>
      <c r="AB4" s="3486" t="s">
        <v>518</v>
      </c>
      <c r="AC4" s="3486" t="s">
        <v>519</v>
      </c>
    </row>
    <row r="5" spans="1:29" ht="15">
      <c r="A5" s="509"/>
      <c r="B5" s="510"/>
      <c r="C5" s="3505" t="s">
        <v>2897</v>
      </c>
      <c r="D5" s="3506"/>
      <c r="E5" s="3581" t="str">
        <f>'不动产比较法-住宅'!E5:F5</f>
        <v>富力新城</v>
      </c>
      <c r="F5" s="3526"/>
      <c r="G5" s="3580" t="s">
        <v>3114</v>
      </c>
      <c r="H5" s="3506"/>
      <c r="I5" s="3580" t="s">
        <v>3115</v>
      </c>
      <c r="J5" s="3506"/>
      <c r="K5" s="843"/>
      <c r="L5" s="2016"/>
      <c r="M5" s="2017"/>
      <c r="N5" s="2017"/>
      <c r="O5" s="2017"/>
      <c r="P5" s="3493"/>
      <c r="Q5" s="3494"/>
      <c r="R5" s="3499"/>
      <c r="S5" s="3500"/>
      <c r="T5" s="3499"/>
      <c r="U5" s="3500"/>
      <c r="V5" s="3484"/>
      <c r="W5" s="3484"/>
      <c r="X5" s="3291"/>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3291"/>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3113</v>
      </c>
      <c r="F8" s="516">
        <f>SUMIF(61:61,E8,62:62)-SUMIF(61:61,C8,62:62)+100</f>
        <v>100</v>
      </c>
      <c r="G8" s="3298" t="s">
        <v>3113</v>
      </c>
      <c r="H8" s="514">
        <f>SUMIF(61:61,G8,62:62)-SUMIF(61:61,C8,62:62)+100</f>
        <v>100</v>
      </c>
      <c r="I8" s="3300" t="s">
        <v>3113</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3288" t="str">
        <f t="shared" ref="Q9:Q15" si="6">B9</f>
        <v>用途</v>
      </c>
      <c r="R9" s="1503" t="s">
        <v>8</v>
      </c>
      <c r="S9" s="1504">
        <f t="shared" si="0"/>
        <v>100</v>
      </c>
      <c r="T9" s="1503" t="s">
        <v>8</v>
      </c>
      <c r="U9" s="1504">
        <f t="shared" si="1"/>
        <v>100</v>
      </c>
      <c r="V9" s="1503" t="s">
        <v>8</v>
      </c>
      <c r="W9" s="1504">
        <f t="shared" si="2"/>
        <v>100</v>
      </c>
      <c r="X9" s="1505"/>
      <c r="Y9" s="3429" t="s">
        <v>530</v>
      </c>
      <c r="Z9" s="3287" t="str">
        <f t="shared" ref="Z9:Z15" si="7">Q9</f>
        <v>用途</v>
      </c>
      <c r="AA9" s="1506">
        <f t="shared" si="3"/>
        <v>1</v>
      </c>
      <c r="AB9" s="1506">
        <f t="shared" si="4"/>
        <v>1</v>
      </c>
      <c r="AC9" s="1506">
        <f t="shared" si="5"/>
        <v>1</v>
      </c>
    </row>
    <row r="10" spans="1:29" s="1292" customFormat="1" ht="27">
      <c r="A10" s="2633"/>
      <c r="B10" s="2638" t="s">
        <v>2737</v>
      </c>
      <c r="C10" s="850" t="s">
        <v>3116</v>
      </c>
      <c r="D10" s="253">
        <v>100</v>
      </c>
      <c r="E10" s="851" t="s">
        <v>3116</v>
      </c>
      <c r="F10" s="852">
        <f>SUMIF(65:65,E10,66:66)-SUMIF(65:65,C10,66:66)+100</f>
        <v>100</v>
      </c>
      <c r="G10" s="850" t="s">
        <v>3116</v>
      </c>
      <c r="H10" s="253">
        <f>SUMIF(65:65,G10,66:66)-SUMIF(65:65,C10,66:66)+100</f>
        <v>100</v>
      </c>
      <c r="I10" s="850" t="s">
        <v>3116</v>
      </c>
      <c r="J10" s="253">
        <f>SUMIF(65:65,I10,66:66)-SUMIF(65:65,C10,66:66)+100</f>
        <v>100</v>
      </c>
      <c r="K10" s="853"/>
      <c r="L10" s="2021"/>
      <c r="M10" s="2060"/>
      <c r="N10" s="2060"/>
      <c r="O10" s="2022"/>
      <c r="P10" s="3483"/>
      <c r="Q10" s="3288" t="str">
        <f t="shared" si="6"/>
        <v>土地使用年限（年）</v>
      </c>
      <c r="R10" s="1503" t="s">
        <v>8</v>
      </c>
      <c r="S10" s="1504">
        <f t="shared" si="0"/>
        <v>100</v>
      </c>
      <c r="T10" s="1503" t="s">
        <v>8</v>
      </c>
      <c r="U10" s="1504">
        <f t="shared" si="1"/>
        <v>100</v>
      </c>
      <c r="V10" s="1503" t="s">
        <v>8</v>
      </c>
      <c r="W10" s="1504">
        <f t="shared" si="2"/>
        <v>100</v>
      </c>
      <c r="X10" s="1505"/>
      <c r="Y10" s="3429"/>
      <c r="Z10" s="3287"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f>'不动产比较法-住宅'!E11</f>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83"/>
      <c r="Q11" s="3288" t="str">
        <f t="shared" si="6"/>
        <v>容积率</v>
      </c>
      <c r="R11" s="1503" t="s">
        <v>11</v>
      </c>
      <c r="S11" s="1504">
        <f t="shared" si="0"/>
        <v>100</v>
      </c>
      <c r="T11" s="1503" t="s">
        <v>11</v>
      </c>
      <c r="U11" s="1504">
        <f t="shared" si="1"/>
        <v>100</v>
      </c>
      <c r="V11" s="1503" t="s">
        <v>11</v>
      </c>
      <c r="W11" s="1504">
        <f t="shared" si="2"/>
        <v>100</v>
      </c>
      <c r="X11" s="1505"/>
      <c r="Y11" s="3429"/>
      <c r="Z11" s="3287"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3288">
        <f t="shared" si="6"/>
        <v>111</v>
      </c>
      <c r="R12" s="1503" t="s">
        <v>11</v>
      </c>
      <c r="S12" s="1504">
        <f t="shared" si="0"/>
        <v>100</v>
      </c>
      <c r="T12" s="1503" t="s">
        <v>11</v>
      </c>
      <c r="U12" s="1504">
        <f t="shared" si="1"/>
        <v>100</v>
      </c>
      <c r="V12" s="1503" t="s">
        <v>11</v>
      </c>
      <c r="W12" s="1504">
        <f t="shared" si="2"/>
        <v>100</v>
      </c>
      <c r="X12" s="1505"/>
      <c r="Y12" s="3429"/>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3288">
        <f t="shared" si="6"/>
        <v>111</v>
      </c>
      <c r="R13" s="1503" t="s">
        <v>11</v>
      </c>
      <c r="S13" s="1504">
        <f t="shared" si="0"/>
        <v>100</v>
      </c>
      <c r="T13" s="1503" t="s">
        <v>11</v>
      </c>
      <c r="U13" s="1504">
        <f t="shared" si="1"/>
        <v>100</v>
      </c>
      <c r="V13" s="1503" t="s">
        <v>11</v>
      </c>
      <c r="W13" s="1504">
        <f t="shared" si="2"/>
        <v>100</v>
      </c>
      <c r="X13" s="1505"/>
      <c r="Y13" s="3429"/>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3288">
        <f t="shared" si="6"/>
        <v>111</v>
      </c>
      <c r="R14" s="1503" t="s">
        <v>11</v>
      </c>
      <c r="S14" s="1504">
        <f t="shared" si="0"/>
        <v>100</v>
      </c>
      <c r="T14" s="1503" t="s">
        <v>11</v>
      </c>
      <c r="U14" s="1504">
        <f t="shared" si="1"/>
        <v>100</v>
      </c>
      <c r="V14" s="1503" t="s">
        <v>11</v>
      </c>
      <c r="W14" s="1504">
        <f t="shared" si="2"/>
        <v>100</v>
      </c>
      <c r="X14" s="1505"/>
      <c r="Y14" s="3429"/>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3289" t="str">
        <f t="shared" si="6"/>
        <v>居住社区成熟度</v>
      </c>
      <c r="R15" s="1508" t="s">
        <v>11</v>
      </c>
      <c r="S15" s="1509">
        <f t="shared" si="0"/>
        <v>100</v>
      </c>
      <c r="T15" s="1508" t="s">
        <v>11</v>
      </c>
      <c r="U15" s="1509">
        <f t="shared" si="1"/>
        <v>100</v>
      </c>
      <c r="V15" s="1508" t="s">
        <v>11</v>
      </c>
      <c r="W15" s="1509">
        <f t="shared" si="2"/>
        <v>100</v>
      </c>
      <c r="X15" s="3291"/>
      <c r="Y15" s="351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518"/>
      <c r="Q16" s="3289"/>
      <c r="R16" s="1508"/>
      <c r="S16" s="1509"/>
      <c r="T16" s="1508"/>
      <c r="U16" s="1509"/>
      <c r="V16" s="1508"/>
      <c r="W16" s="1509"/>
      <c r="X16" s="3291"/>
      <c r="Y16" s="351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3289" t="str">
        <f>B17</f>
        <v>交通便捷度</v>
      </c>
      <c r="R17" s="1508" t="s">
        <v>11</v>
      </c>
      <c r="S17" s="1509">
        <f>F17</f>
        <v>100</v>
      </c>
      <c r="T17" s="1508" t="s">
        <v>11</v>
      </c>
      <c r="U17" s="1509">
        <f>H17</f>
        <v>100</v>
      </c>
      <c r="V17" s="1508" t="s">
        <v>11</v>
      </c>
      <c r="W17" s="1509">
        <f>J17</f>
        <v>100</v>
      </c>
      <c r="X17" s="3291"/>
      <c r="Y17" s="351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518"/>
      <c r="Q18" s="3289"/>
      <c r="R18" s="1508"/>
      <c r="S18" s="1509"/>
      <c r="T18" s="1508"/>
      <c r="U18" s="1509"/>
      <c r="V18" s="1508"/>
      <c r="W18" s="1509"/>
      <c r="X18" s="3291"/>
      <c r="Y18" s="351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3289" t="str">
        <f>B19</f>
        <v>公共配套设施</v>
      </c>
      <c r="R19" s="1508" t="s">
        <v>11</v>
      </c>
      <c r="S19" s="1509">
        <f>F19</f>
        <v>100</v>
      </c>
      <c r="T19" s="1508" t="s">
        <v>11</v>
      </c>
      <c r="U19" s="1509">
        <f>H19</f>
        <v>100</v>
      </c>
      <c r="V19" s="1508" t="s">
        <v>11</v>
      </c>
      <c r="W19" s="1509">
        <f>J19</f>
        <v>100</v>
      </c>
      <c r="X19" s="3291"/>
      <c r="Y19" s="351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518"/>
      <c r="Q20" s="3289"/>
      <c r="R20" s="1508"/>
      <c r="S20" s="1509"/>
      <c r="T20" s="1508"/>
      <c r="U20" s="1509"/>
      <c r="V20" s="1508"/>
      <c r="W20" s="1509"/>
      <c r="X20" s="3291"/>
      <c r="Y20" s="351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3289" t="str">
        <f>B21</f>
        <v>基础设施水平</v>
      </c>
      <c r="R21" s="1508" t="s">
        <v>11</v>
      </c>
      <c r="S21" s="1509">
        <f>F21</f>
        <v>100</v>
      </c>
      <c r="T21" s="1508" t="s">
        <v>11</v>
      </c>
      <c r="U21" s="1509">
        <f>H21</f>
        <v>100</v>
      </c>
      <c r="V21" s="1508" t="s">
        <v>11</v>
      </c>
      <c r="W21" s="1509">
        <f>J21</f>
        <v>100</v>
      </c>
      <c r="X21" s="3291"/>
      <c r="Y21" s="351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518"/>
      <c r="Q22" s="3289"/>
      <c r="R22" s="1508"/>
      <c r="S22" s="1509"/>
      <c r="T22" s="1508"/>
      <c r="U22" s="1509"/>
      <c r="V22" s="1508"/>
      <c r="W22" s="1509"/>
      <c r="X22" s="3291"/>
      <c r="Y22" s="351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3289" t="str">
        <f>B23</f>
        <v>自然及人文环境</v>
      </c>
      <c r="R23" s="1508" t="s">
        <v>11</v>
      </c>
      <c r="S23" s="1509">
        <f>F23</f>
        <v>100</v>
      </c>
      <c r="T23" s="1508" t="s">
        <v>11</v>
      </c>
      <c r="U23" s="1509">
        <f>H23</f>
        <v>100</v>
      </c>
      <c r="V23" s="1508" t="s">
        <v>11</v>
      </c>
      <c r="W23" s="1509">
        <f>J23</f>
        <v>100</v>
      </c>
      <c r="X23" s="3291"/>
      <c r="Y23" s="351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518"/>
      <c r="Q24" s="3289"/>
      <c r="R24" s="1508"/>
      <c r="S24" s="1509"/>
      <c r="T24" s="1508"/>
      <c r="U24" s="1509"/>
      <c r="V24" s="1508"/>
      <c r="W24" s="1509"/>
      <c r="X24" s="3291"/>
      <c r="Y24" s="351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3289" t="str">
        <f t="shared" ref="Q25:Q46" si="11">B25</f>
        <v>楼层-1</v>
      </c>
      <c r="R25" s="1508" t="s">
        <v>11</v>
      </c>
      <c r="S25" s="1509">
        <f>F25</f>
        <v>100</v>
      </c>
      <c r="T25" s="1508" t="s">
        <v>11</v>
      </c>
      <c r="U25" s="1509">
        <f>H25</f>
        <v>100</v>
      </c>
      <c r="V25" s="1508" t="s">
        <v>11</v>
      </c>
      <c r="W25" s="1509">
        <f>J25</f>
        <v>100</v>
      </c>
      <c r="X25" s="3291"/>
      <c r="Y25" s="351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3289" t="str">
        <f t="shared" si="11"/>
        <v>朝向</v>
      </c>
      <c r="R26" s="1508" t="s">
        <v>11</v>
      </c>
      <c r="S26" s="1509">
        <f>F26</f>
        <v>100</v>
      </c>
      <c r="T26" s="1508" t="s">
        <v>11</v>
      </c>
      <c r="U26" s="1509">
        <f>H26</f>
        <v>100</v>
      </c>
      <c r="V26" s="1508" t="s">
        <v>11</v>
      </c>
      <c r="W26" s="1509">
        <f>J26</f>
        <v>100</v>
      </c>
      <c r="X26" s="3291"/>
      <c r="Y26" s="351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3288" t="str">
        <f t="shared" si="11"/>
        <v>道路级别</v>
      </c>
      <c r="R27" s="1503" t="s">
        <v>11</v>
      </c>
      <c r="S27" s="1504">
        <f>F27</f>
        <v>100</v>
      </c>
      <c r="T27" s="1503" t="s">
        <v>11</v>
      </c>
      <c r="U27" s="1504">
        <f>H27</f>
        <v>100</v>
      </c>
      <c r="V27" s="1503" t="s">
        <v>11</v>
      </c>
      <c r="W27" s="1504">
        <f>J27</f>
        <v>100</v>
      </c>
      <c r="X27" s="1505"/>
      <c r="Y27" s="351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3289">
        <f t="shared" si="11"/>
        <v>111</v>
      </c>
      <c r="R28" s="1508" t="s">
        <v>11</v>
      </c>
      <c r="S28" s="1509">
        <f t="shared" ref="S28:S46" si="12">F28</f>
        <v>100</v>
      </c>
      <c r="T28" s="1508" t="s">
        <v>11</v>
      </c>
      <c r="U28" s="1509">
        <f t="shared" ref="U28:U46" si="13">H28</f>
        <v>100</v>
      </c>
      <c r="V28" s="1508" t="s">
        <v>11</v>
      </c>
      <c r="W28" s="1509">
        <f t="shared" ref="W28:W46" si="14">J28</f>
        <v>100</v>
      </c>
      <c r="X28" s="3291"/>
      <c r="Y28" s="351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3289">
        <f t="shared" si="11"/>
        <v>111</v>
      </c>
      <c r="R29" s="1508" t="s">
        <v>11</v>
      </c>
      <c r="S29" s="1509">
        <f t="shared" si="12"/>
        <v>100</v>
      </c>
      <c r="T29" s="1508" t="s">
        <v>11</v>
      </c>
      <c r="U29" s="1509">
        <f t="shared" si="13"/>
        <v>100</v>
      </c>
      <c r="V29" s="1508" t="s">
        <v>11</v>
      </c>
      <c r="W29" s="1509">
        <f t="shared" si="14"/>
        <v>100</v>
      </c>
      <c r="X29" s="3291"/>
      <c r="Y29" s="351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3289">
        <f t="shared" si="11"/>
        <v>111</v>
      </c>
      <c r="R30" s="1508" t="s">
        <v>11</v>
      </c>
      <c r="S30" s="1509">
        <f t="shared" si="12"/>
        <v>100</v>
      </c>
      <c r="T30" s="1508" t="s">
        <v>11</v>
      </c>
      <c r="U30" s="1509">
        <f t="shared" si="13"/>
        <v>100</v>
      </c>
      <c r="V30" s="1508" t="s">
        <v>11</v>
      </c>
      <c r="W30" s="1509">
        <f t="shared" si="14"/>
        <v>100</v>
      </c>
      <c r="X30" s="3291"/>
      <c r="Y30" s="351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3289">
        <f t="shared" si="11"/>
        <v>111</v>
      </c>
      <c r="R31" s="1508" t="s">
        <v>11</v>
      </c>
      <c r="S31" s="1509">
        <f t="shared" si="12"/>
        <v>100</v>
      </c>
      <c r="T31" s="1508" t="s">
        <v>11</v>
      </c>
      <c r="U31" s="1509">
        <f t="shared" si="13"/>
        <v>100</v>
      </c>
      <c r="V31" s="1508" t="s">
        <v>11</v>
      </c>
      <c r="W31" s="1509">
        <f t="shared" si="14"/>
        <v>100</v>
      </c>
      <c r="X31" s="3291"/>
      <c r="Y31" s="3518"/>
      <c r="Z31" s="3290">
        <f t="shared" si="15"/>
        <v>111</v>
      </c>
      <c r="AA31" s="3292">
        <f t="shared" si="3"/>
        <v>1</v>
      </c>
      <c r="AB31" s="3292">
        <f t="shared" si="4"/>
        <v>1</v>
      </c>
      <c r="AC31" s="3292">
        <f t="shared" si="5"/>
        <v>1</v>
      </c>
    </row>
    <row r="32" spans="1:29" ht="15">
      <c r="A32" s="2625" t="s">
        <v>2735</v>
      </c>
      <c r="B32" s="170" t="s">
        <v>719</v>
      </c>
      <c r="C32" s="3301" t="s">
        <v>3123</v>
      </c>
      <c r="D32" s="591">
        <v>100</v>
      </c>
      <c r="E32" s="3302" t="s">
        <v>3124</v>
      </c>
      <c r="F32" s="569">
        <f>SUMIF(100:100,E32,101:101)-SUMIF(100:100,C32,101:101)+100</f>
        <v>100</v>
      </c>
      <c r="G32" s="3301" t="s">
        <v>3125</v>
      </c>
      <c r="H32" s="591">
        <f>SUMIF(100:100,G32,101:101)-SUMIF(100:100,C32,101:101)+100</f>
        <v>100</v>
      </c>
      <c r="I32" s="3302" t="s">
        <v>3125</v>
      </c>
      <c r="J32" s="534">
        <f>SUMIF(100:100,I32,101:101)-SUMIF(100:100,C32,101:101)+100</f>
        <v>100</v>
      </c>
      <c r="K32" s="853"/>
      <c r="L32" s="2025"/>
      <c r="M32" s="2017"/>
      <c r="N32" s="2017"/>
      <c r="O32" s="2024"/>
      <c r="P32" s="3519" t="s">
        <v>544</v>
      </c>
      <c r="Q32" s="3289" t="str">
        <f t="shared" si="11"/>
        <v>建筑类型</v>
      </c>
      <c r="R32" s="1508" t="s">
        <v>11</v>
      </c>
      <c r="S32" s="1509">
        <f t="shared" si="12"/>
        <v>100</v>
      </c>
      <c r="T32" s="1508" t="s">
        <v>11</v>
      </c>
      <c r="U32" s="1509">
        <f t="shared" si="13"/>
        <v>100</v>
      </c>
      <c r="V32" s="1508" t="s">
        <v>11</v>
      </c>
      <c r="W32" s="1509">
        <f t="shared" si="14"/>
        <v>100</v>
      </c>
      <c r="X32" s="3291"/>
      <c r="Y32" s="3520" t="s">
        <v>544</v>
      </c>
      <c r="Z32" s="3290" t="str">
        <f t="shared" si="15"/>
        <v>建筑类型</v>
      </c>
      <c r="AA32" s="3292">
        <f t="shared" si="3"/>
        <v>1</v>
      </c>
      <c r="AB32" s="3292">
        <f t="shared" si="4"/>
        <v>1</v>
      </c>
      <c r="AC32" s="3292">
        <f t="shared" si="5"/>
        <v>1</v>
      </c>
    </row>
    <row r="33" spans="1:29" s="1293" customFormat="1" ht="15">
      <c r="A33" s="597"/>
      <c r="B33" s="521" t="s">
        <v>720</v>
      </c>
      <c r="C33" s="869">
        <f>'数据-汇总表'!E31</f>
        <v>229142.34999999998</v>
      </c>
      <c r="D33" s="253">
        <v>100</v>
      </c>
      <c r="E33" s="528">
        <f>'不动产比较法-住宅'!E33</f>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20"/>
      <c r="Q33" s="1536" t="str">
        <f t="shared" si="11"/>
        <v>项目建筑规模</v>
      </c>
      <c r="R33" s="1512" t="s">
        <v>11</v>
      </c>
      <c r="S33" s="1513">
        <f t="shared" si="12"/>
        <v>100</v>
      </c>
      <c r="T33" s="1512" t="s">
        <v>11</v>
      </c>
      <c r="U33" s="1513">
        <f t="shared" si="13"/>
        <v>99</v>
      </c>
      <c r="V33" s="1512" t="s">
        <v>11</v>
      </c>
      <c r="W33" s="1513">
        <f t="shared" si="14"/>
        <v>104</v>
      </c>
      <c r="X33" s="1514"/>
      <c r="Y33" s="3520"/>
      <c r="Z33" s="1515" t="str">
        <f t="shared" si="15"/>
        <v>项目建筑规模</v>
      </c>
      <c r="AA33" s="3292">
        <f t="shared" si="3"/>
        <v>1</v>
      </c>
      <c r="AB33" s="3292">
        <f t="shared" si="4"/>
        <v>1.0101010101010102</v>
      </c>
      <c r="AC33" s="3292">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3289" t="str">
        <f t="shared" si="11"/>
        <v>建筑结构</v>
      </c>
      <c r="R34" s="1508" t="s">
        <v>11</v>
      </c>
      <c r="S34" s="1509">
        <f t="shared" si="12"/>
        <v>100</v>
      </c>
      <c r="T34" s="1508" t="s">
        <v>11</v>
      </c>
      <c r="U34" s="1509">
        <f t="shared" si="13"/>
        <v>100</v>
      </c>
      <c r="V34" s="1508" t="s">
        <v>11</v>
      </c>
      <c r="W34" s="1509">
        <f t="shared" si="14"/>
        <v>100</v>
      </c>
      <c r="X34" s="3291"/>
      <c r="Y34" s="352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3289" t="str">
        <f t="shared" si="11"/>
        <v>建筑品质</v>
      </c>
      <c r="R35" s="1508" t="s">
        <v>11</v>
      </c>
      <c r="S35" s="1509">
        <f t="shared" si="12"/>
        <v>100</v>
      </c>
      <c r="T35" s="1508" t="s">
        <v>11</v>
      </c>
      <c r="U35" s="1509">
        <f t="shared" si="13"/>
        <v>100</v>
      </c>
      <c r="V35" s="1508" t="s">
        <v>11</v>
      </c>
      <c r="W35" s="1509">
        <f t="shared" si="14"/>
        <v>100</v>
      </c>
      <c r="X35" s="3291"/>
      <c r="Y35" s="352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3289" t="str">
        <f t="shared" si="11"/>
        <v>公共部分装修</v>
      </c>
      <c r="R36" s="1508" t="s">
        <v>11</v>
      </c>
      <c r="S36" s="1509">
        <f t="shared" si="12"/>
        <v>100</v>
      </c>
      <c r="T36" s="1508" t="s">
        <v>11</v>
      </c>
      <c r="U36" s="1509">
        <f t="shared" si="13"/>
        <v>100</v>
      </c>
      <c r="V36" s="1508" t="s">
        <v>11</v>
      </c>
      <c r="W36" s="1509">
        <f t="shared" si="14"/>
        <v>100</v>
      </c>
      <c r="X36" s="3291"/>
      <c r="Y36" s="3520"/>
      <c r="Z36" s="3290" t="str">
        <f t="shared" si="15"/>
        <v>公共部分装修</v>
      </c>
      <c r="AA36" s="3292">
        <f t="shared" si="3"/>
        <v>1</v>
      </c>
      <c r="AB36" s="3292">
        <f t="shared" si="4"/>
        <v>1</v>
      </c>
      <c r="AC36" s="3292">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20"/>
      <c r="Q37" s="3288" t="str">
        <f t="shared" si="11"/>
        <v>成新度</v>
      </c>
      <c r="R37" s="1503" t="s">
        <v>11</v>
      </c>
      <c r="S37" s="1504">
        <f t="shared" si="12"/>
        <v>100</v>
      </c>
      <c r="T37" s="1503" t="s">
        <v>11</v>
      </c>
      <c r="U37" s="1504">
        <f t="shared" si="13"/>
        <v>100</v>
      </c>
      <c r="V37" s="1503" t="s">
        <v>11</v>
      </c>
      <c r="W37" s="1504">
        <f t="shared" si="14"/>
        <v>100</v>
      </c>
      <c r="X37" s="1505"/>
      <c r="Y37" s="3520"/>
      <c r="Z37" s="3287"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3289" t="str">
        <f t="shared" si="11"/>
        <v>物业管理</v>
      </c>
      <c r="R38" s="1508" t="s">
        <v>11</v>
      </c>
      <c r="S38" s="1509">
        <f t="shared" si="12"/>
        <v>100</v>
      </c>
      <c r="T38" s="1508" t="s">
        <v>11</v>
      </c>
      <c r="U38" s="1509">
        <f t="shared" si="13"/>
        <v>100</v>
      </c>
      <c r="V38" s="1508" t="s">
        <v>11</v>
      </c>
      <c r="W38" s="1509">
        <f t="shared" si="14"/>
        <v>100</v>
      </c>
      <c r="X38" s="3291"/>
      <c r="Y38" s="352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3289" t="str">
        <f t="shared" si="11"/>
        <v>市政基础设施</v>
      </c>
      <c r="R39" s="1508" t="s">
        <v>11</v>
      </c>
      <c r="S39" s="1509">
        <f t="shared" si="12"/>
        <v>100</v>
      </c>
      <c r="T39" s="1508" t="s">
        <v>11</v>
      </c>
      <c r="U39" s="1509">
        <f t="shared" si="13"/>
        <v>100</v>
      </c>
      <c r="V39" s="1508" t="s">
        <v>11</v>
      </c>
      <c r="W39" s="1509">
        <f t="shared" si="14"/>
        <v>100</v>
      </c>
      <c r="X39" s="3291"/>
      <c r="Y39" s="352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3289" t="str">
        <f t="shared" si="11"/>
        <v>房型</v>
      </c>
      <c r="R40" s="1508" t="s">
        <v>11</v>
      </c>
      <c r="S40" s="1509">
        <f t="shared" si="12"/>
        <v>100</v>
      </c>
      <c r="T40" s="1508" t="s">
        <v>11</v>
      </c>
      <c r="U40" s="1509">
        <f t="shared" si="13"/>
        <v>100</v>
      </c>
      <c r="V40" s="1508" t="s">
        <v>11</v>
      </c>
      <c r="W40" s="1509">
        <f t="shared" si="14"/>
        <v>100</v>
      </c>
      <c r="X40" s="3291"/>
      <c r="Y40" s="352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3289" t="str">
        <f t="shared" si="11"/>
        <v>内部装修</v>
      </c>
      <c r="R42" s="1508" t="s">
        <v>11</v>
      </c>
      <c r="S42" s="1509">
        <f t="shared" si="12"/>
        <v>100</v>
      </c>
      <c r="T42" s="1508" t="s">
        <v>11</v>
      </c>
      <c r="U42" s="1509">
        <f t="shared" si="13"/>
        <v>100</v>
      </c>
      <c r="V42" s="1508" t="s">
        <v>11</v>
      </c>
      <c r="W42" s="1509">
        <f t="shared" si="14"/>
        <v>100</v>
      </c>
      <c r="X42" s="3291"/>
      <c r="Y42" s="352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3289" t="str">
        <f t="shared" si="11"/>
        <v>内部装修维护情况</v>
      </c>
      <c r="R43" s="1508" t="s">
        <v>11</v>
      </c>
      <c r="S43" s="1509">
        <f t="shared" si="12"/>
        <v>100</v>
      </c>
      <c r="T43" s="1508" t="s">
        <v>11</v>
      </c>
      <c r="U43" s="1509">
        <f t="shared" si="13"/>
        <v>100</v>
      </c>
      <c r="V43" s="1508" t="s">
        <v>11</v>
      </c>
      <c r="W43" s="1509">
        <f t="shared" si="14"/>
        <v>100</v>
      </c>
      <c r="X43" s="3291"/>
      <c r="Y43" s="352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3288">
        <f t="shared" si="11"/>
        <v>111</v>
      </c>
      <c r="R44" s="1503" t="s">
        <v>11</v>
      </c>
      <c r="S44" s="1504">
        <f t="shared" si="12"/>
        <v>100</v>
      </c>
      <c r="T44" s="1503" t="s">
        <v>11</v>
      </c>
      <c r="U44" s="1504">
        <f t="shared" si="13"/>
        <v>100</v>
      </c>
      <c r="V44" s="1503" t="s">
        <v>11</v>
      </c>
      <c r="W44" s="1504">
        <f t="shared" si="14"/>
        <v>100</v>
      </c>
      <c r="X44" s="1505"/>
      <c r="Y44" s="352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3289">
        <f t="shared" si="11"/>
        <v>111</v>
      </c>
      <c r="R45" s="1508" t="s">
        <v>11</v>
      </c>
      <c r="S45" s="1509">
        <f t="shared" si="12"/>
        <v>100</v>
      </c>
      <c r="T45" s="1508" t="s">
        <v>11</v>
      </c>
      <c r="U45" s="1509">
        <f t="shared" si="13"/>
        <v>100</v>
      </c>
      <c r="V45" s="1508" t="s">
        <v>11</v>
      </c>
      <c r="W45" s="1509">
        <f t="shared" si="14"/>
        <v>100</v>
      </c>
      <c r="X45" s="3291"/>
      <c r="Y45" s="352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3289">
        <f t="shared" si="11"/>
        <v>111</v>
      </c>
      <c r="R46" s="1508" t="s">
        <v>10</v>
      </c>
      <c r="S46" s="1509">
        <f t="shared" si="12"/>
        <v>100</v>
      </c>
      <c r="T46" s="1508" t="s">
        <v>10</v>
      </c>
      <c r="U46" s="1509">
        <f t="shared" si="13"/>
        <v>100</v>
      </c>
      <c r="V46" s="1508" t="s">
        <v>10</v>
      </c>
      <c r="W46" s="1509">
        <f t="shared" si="14"/>
        <v>100</v>
      </c>
      <c r="X46" s="3291"/>
      <c r="Y46" s="3579"/>
      <c r="Z46" s="3290">
        <f t="shared" si="15"/>
        <v>111</v>
      </c>
      <c r="AA46" s="3292">
        <f t="shared" si="3"/>
        <v>1</v>
      </c>
      <c r="AB46" s="3292">
        <f t="shared" si="4"/>
        <v>1</v>
      </c>
      <c r="AC46" s="3292">
        <f t="shared" si="5"/>
        <v>1</v>
      </c>
    </row>
    <row r="47" spans="1:29" ht="15">
      <c r="A47" s="601" t="s">
        <v>730</v>
      </c>
      <c r="B47" s="876"/>
      <c r="C47" s="2471" t="s">
        <v>9</v>
      </c>
      <c r="D47" s="2472"/>
      <c r="E47" s="2473">
        <v>10594</v>
      </c>
      <c r="F47" s="2474"/>
      <c r="G47" s="2475">
        <v>9923</v>
      </c>
      <c r="H47" s="2476"/>
      <c r="I47" s="2473">
        <v>9474</v>
      </c>
      <c r="J47" s="2476"/>
      <c r="K47" s="1537"/>
      <c r="L47" s="2027"/>
      <c r="M47" s="2028"/>
      <c r="N47" s="2017"/>
      <c r="O47" s="2028"/>
      <c r="P47" s="3483" t="str">
        <f>A47</f>
        <v>成交单价（元/平方米）</v>
      </c>
      <c r="Q47" s="3483"/>
      <c r="R47" s="3578">
        <f>E47</f>
        <v>10594</v>
      </c>
      <c r="S47" s="3578"/>
      <c r="T47" s="3578">
        <f>G47</f>
        <v>9923</v>
      </c>
      <c r="U47" s="3578"/>
      <c r="V47" s="3578">
        <f>I47</f>
        <v>9474</v>
      </c>
      <c r="W47" s="3578"/>
      <c r="X47" s="1497"/>
      <c r="Y47" s="1516"/>
      <c r="Z47" s="1497"/>
      <c r="AA47" s="1497"/>
      <c r="AB47" s="1497"/>
      <c r="AC47" s="1497"/>
    </row>
    <row r="48" spans="1:29" ht="15.75" thickBot="1">
      <c r="A48" s="609" t="s">
        <v>2673</v>
      </c>
      <c r="B48" s="877"/>
      <c r="C48" s="2477">
        <f>R49</f>
        <v>9909</v>
      </c>
      <c r="D48" s="3014" t="s">
        <v>2971</v>
      </c>
      <c r="E48" s="2478">
        <f>R48</f>
        <v>10594</v>
      </c>
      <c r="F48" s="3015"/>
      <c r="G48" s="2477">
        <f>T48</f>
        <v>10023</v>
      </c>
      <c r="H48" s="3015"/>
      <c r="I48" s="2478">
        <f>V48</f>
        <v>9110</v>
      </c>
      <c r="J48" s="3015"/>
      <c r="K48" s="3023">
        <f>F48+H48+J48</f>
        <v>0</v>
      </c>
      <c r="L48" s="2027"/>
      <c r="M48" s="2028"/>
      <c r="N48" s="2028"/>
      <c r="O48" s="2028"/>
      <c r="P48" s="3483" t="str">
        <f>A48</f>
        <v>比较价格（元/平方米）</v>
      </c>
      <c r="Q48" s="3483"/>
      <c r="R48" s="3578">
        <f>IF(F1="售价",ROUND(PRODUCT(R47,AA7:AA46),0),ROUND(PRODUCT(R47,AA7:AA46),1))</f>
        <v>10594</v>
      </c>
      <c r="S48" s="3578"/>
      <c r="T48" s="3578">
        <f>IF(F1="售价",ROUND(PRODUCT(T47,AB7:AB46),0),ROUND(PRODUCT(T47,AB7:AB46),1))</f>
        <v>10023</v>
      </c>
      <c r="U48" s="3578"/>
      <c r="V48" s="3578">
        <f>IF(F1="售价",ROUND(PRODUCT(V47,AC7:AC46),0),ROUND(PRODUCT(V47,AC7:AC46),1))</f>
        <v>9110</v>
      </c>
      <c r="W48" s="3578"/>
      <c r="X48" s="1497"/>
      <c r="Y48" s="1497"/>
      <c r="Z48" s="1497"/>
      <c r="AA48" s="1497"/>
      <c r="AB48" s="1497"/>
      <c r="AC48" s="1497"/>
    </row>
    <row r="49" spans="1:29" ht="15.75" thickBot="1">
      <c r="A49" s="613" t="s">
        <v>2903</v>
      </c>
      <c r="B49" s="614"/>
      <c r="C49" s="2479">
        <f>R49</f>
        <v>9909</v>
      </c>
      <c r="D49" s="2479"/>
      <c r="E49" s="2479"/>
      <c r="F49" s="2479"/>
      <c r="G49" s="2479"/>
      <c r="H49" s="2479"/>
      <c r="I49" s="2479"/>
      <c r="J49" s="2479"/>
      <c r="K49" s="1538"/>
      <c r="L49" s="2027"/>
      <c r="M49" s="2028"/>
      <c r="N49" s="2028"/>
      <c r="O49" s="2028"/>
      <c r="P49" s="3480" t="str">
        <f>A49</f>
        <v>估价对象XX用房的比较价格（楼面单价，元/平方米）</v>
      </c>
      <c r="Q49" s="3481"/>
      <c r="R49" s="3577">
        <f>IF(F1="售价",ROUND(IF(D48="简单平均",AVERAGE(R48:V48),R48*F48+T48*H48+V48*J48),0),ROUND(IF(D48="简单平均",AVERAGE(R48:V48),R48*F48+T48*H48+V48*J48),1))</f>
        <v>9909</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1.0077597500755875E-2</v>
      </c>
      <c r="H52" s="619" t="str">
        <f>IF(OR(G52&gt;=0.3,G52&lt;=-0.3),"超过30%","")</f>
        <v/>
      </c>
      <c r="I52" s="618">
        <f>IF(I47&lt;I48,I48/I47-1,I47/I48-1)</f>
        <v>3.9956092206366645E-2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5.6968971365858545E-2</v>
      </c>
      <c r="F53" s="619" t="str">
        <f>IF(OR(E53&gt;=0.2,E53&lt;=-0.2),"超过20%","")</f>
        <v/>
      </c>
      <c r="G53" s="618">
        <f>IF(G48&lt;I48,I48/G48-1,G48/I48-1)</f>
        <v>0.10021953896816682</v>
      </c>
      <c r="H53" s="619" t="str">
        <f>IF(OR(G53&gt;=0.2,G53&lt;=-0.2),"超过20%","")</f>
        <v/>
      </c>
      <c r="I53" s="618">
        <f>IF(I48&lt;E48,E48/I48-1,I48/E48-1)</f>
        <v>0.16289791437980239</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6.7620679230071534E-2</v>
      </c>
      <c r="F54" s="619" t="str">
        <f>IF(OR(E54&gt;=0.3,E54&lt;=-0.3),"超过30%","")</f>
        <v/>
      </c>
      <c r="G54" s="618">
        <f>IF(G47&lt;I47,I47/G47-1,G47/I47-1)</f>
        <v>4.7392864682288316E-2</v>
      </c>
      <c r="H54" s="619" t="str">
        <f>IF(OR(G54&gt;=0.3,G54&lt;=-0.3),"超过30%","")</f>
        <v/>
      </c>
      <c r="I54" s="618">
        <f>IF(I47&lt;E47,E47/I47-1,I47/E47-1)</f>
        <v>0.11821828161283521</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0" sqref="F1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3043</v>
      </c>
      <c r="D1" s="2798" t="s">
        <v>3110</v>
      </c>
      <c r="E1" s="2243" t="s">
        <v>2359</v>
      </c>
      <c r="F1" s="2244">
        <f ca="1">J53</f>
        <v>39.94</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7315</v>
      </c>
      <c r="C2" s="3264"/>
      <c r="D2" s="3265"/>
      <c r="E2" s="3266"/>
      <c r="F2" s="3266"/>
      <c r="G2" s="3260"/>
      <c r="H2" s="1941"/>
      <c r="I2" s="1941"/>
      <c r="J2" s="1941"/>
      <c r="K2" s="1942"/>
      <c r="L2" s="1941"/>
      <c r="M2" s="1941"/>
    </row>
    <row r="3" spans="1:33" ht="18" customHeight="1" thickBot="1">
      <c r="A3" s="822" t="s">
        <v>1718</v>
      </c>
      <c r="B3" s="823">
        <f ca="1">IF(ISERROR(B2*10000/F43),0,ROUND(B2*10000/F43,0))</f>
        <v>2001</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600</v>
      </c>
      <c r="D5" s="2350" t="s">
        <v>2442</v>
      </c>
      <c r="E5" s="2344"/>
      <c r="F5" s="2345"/>
      <c r="G5" s="1946"/>
      <c r="H5" s="771">
        <v>1</v>
      </c>
      <c r="I5" s="772" t="s">
        <v>2439</v>
      </c>
      <c r="J5" s="55">
        <f ca="1">J6+J10+J12</f>
        <v>0</v>
      </c>
      <c r="K5" s="2350" t="s">
        <v>2442</v>
      </c>
      <c r="L5" s="2344"/>
      <c r="M5" s="2345"/>
    </row>
    <row r="6" spans="1:33" ht="18" customHeight="1">
      <c r="A6" s="1746" t="s">
        <v>1815</v>
      </c>
      <c r="B6" s="3571" t="s">
        <v>2444</v>
      </c>
      <c r="C6" s="773">
        <f ca="1">ROUND(F6*F8*F7*(1-F9)/10000,0)</f>
        <v>600</v>
      </c>
      <c r="D6" s="2351" t="s">
        <v>2443</v>
      </c>
      <c r="E6" s="774" t="s">
        <v>1729</v>
      </c>
      <c r="F6" s="775">
        <f ca="1">INDIRECT("'数据-取费表'!u"&amp;$G$1)</f>
        <v>0.5</v>
      </c>
      <c r="G6" s="1946"/>
      <c r="H6" s="2358" t="s">
        <v>2449</v>
      </c>
      <c r="I6" s="3571" t="s">
        <v>2444</v>
      </c>
      <c r="J6" s="773">
        <f ca="1">ROUND(M6*M8*M7*(1-M9)/10000,0)</f>
        <v>0</v>
      </c>
      <c r="K6" s="339" t="s">
        <v>1728</v>
      </c>
      <c r="L6" s="774" t="s">
        <v>1729</v>
      </c>
      <c r="M6" s="775">
        <f ca="1">INDIRECT("'数据-取费表'!z"&amp;$G$1)</f>
        <v>0</v>
      </c>
    </row>
    <row r="7" spans="1:33" ht="18" customHeight="1">
      <c r="A7" s="2354"/>
      <c r="B7" s="3572"/>
      <c r="C7" s="778"/>
      <c r="D7" s="779"/>
      <c r="E7" s="774" t="s">
        <v>1730</v>
      </c>
      <c r="F7" s="775">
        <f ca="1">IF(INDIRECT("'数据-取费表'!ah"&amp;$G$1)="",INDIRECT("'数据-取费表'!k"&amp;$G$1),INDIRECT("'数据-取费表'!ah"&amp;$G$1))</f>
        <v>36548.259999999995</v>
      </c>
      <c r="G7" s="1946"/>
      <c r="H7" s="2343"/>
      <c r="I7" s="3572"/>
      <c r="J7" s="778"/>
      <c r="K7" s="779"/>
      <c r="L7" s="774" t="s">
        <v>1730</v>
      </c>
      <c r="M7" s="775">
        <f ca="1">F7</f>
        <v>36548.259999999995</v>
      </c>
    </row>
    <row r="8" spans="1:33" ht="18" customHeight="1">
      <c r="A8" s="2347"/>
      <c r="B8" s="3573"/>
      <c r="C8" s="778"/>
      <c r="D8" s="779"/>
      <c r="E8" s="774" t="s">
        <v>1731</v>
      </c>
      <c r="F8" s="775">
        <f ca="1">INDIRECT("'数据-取费表'!ai"&amp;$G$1)</f>
        <v>365</v>
      </c>
      <c r="G8" s="1946"/>
      <c r="H8" s="2343"/>
      <c r="I8" s="3573"/>
      <c r="J8" s="778"/>
      <c r="K8" s="779"/>
      <c r="L8" s="774" t="s">
        <v>1731</v>
      </c>
      <c r="M8" s="775">
        <f ca="1">INDIRECT("'数据-取费表'!ai"&amp;$G$1)</f>
        <v>365</v>
      </c>
    </row>
    <row r="9" spans="1:33" ht="18" customHeight="1">
      <c r="A9" s="776"/>
      <c r="B9" s="3574"/>
      <c r="C9" s="778"/>
      <c r="D9" s="779"/>
      <c r="E9" s="774" t="s">
        <v>1732</v>
      </c>
      <c r="F9" s="784">
        <f ca="1">INDIRECT("'数据-取费表'!w"&amp;$G$1)</f>
        <v>0.1</v>
      </c>
      <c r="G9" s="1946"/>
      <c r="H9" s="2359"/>
      <c r="I9" s="357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3136</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10069</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7237</v>
      </c>
      <c r="D14" s="1894" t="s">
        <v>1736</v>
      </c>
      <c r="E14" s="1895"/>
      <c r="F14" s="795"/>
      <c r="G14" s="1946"/>
      <c r="H14" s="1578" t="s">
        <v>1821</v>
      </c>
      <c r="I14" s="2112" t="s">
        <v>2805</v>
      </c>
      <c r="J14" s="53">
        <f ca="1">C29</f>
        <v>10069</v>
      </c>
      <c r="K14" s="26"/>
      <c r="L14" s="791"/>
      <c r="M14" s="792"/>
    </row>
    <row r="15" spans="1:33" s="1948" customFormat="1" ht="18" customHeight="1" thickBot="1">
      <c r="A15" s="1577" t="s">
        <v>1876</v>
      </c>
      <c r="B15" s="774" t="s">
        <v>641</v>
      </c>
      <c r="C15" s="53">
        <f ca="1">ROUND(C14*F15,0)</f>
        <v>362</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999</v>
      </c>
      <c r="K16" s="1737" t="s">
        <v>1741</v>
      </c>
      <c r="L16" s="2340"/>
      <c r="M16" s="2345"/>
    </row>
    <row r="17" spans="1:33" s="1948" customFormat="1" ht="18" customHeight="1">
      <c r="A17" s="1577" t="s">
        <v>1878</v>
      </c>
      <c r="B17" s="774" t="s">
        <v>647</v>
      </c>
      <c r="C17" s="53">
        <f ca="1">ROUND(F17*(F43+INDIRECT("'数据-取费表'!S"&amp;$G$1))/10000,0)</f>
        <v>804</v>
      </c>
      <c r="D17" s="774" t="s">
        <v>1742</v>
      </c>
      <c r="E17" s="774" t="s">
        <v>1743</v>
      </c>
      <c r="F17" s="56">
        <f>'数据-取费表'!B35</f>
        <v>200</v>
      </c>
      <c r="G17" s="3261"/>
      <c r="H17" s="1578" t="s">
        <v>1821</v>
      </c>
      <c r="I17" s="774" t="s">
        <v>650</v>
      </c>
      <c r="J17" s="3019">
        <f ca="1">ROUND(IF(AND(项目基本情况!B11="自然人",项目基本情况!B10="北京市"),J6*M17/(1+'数据-取费表'!C42),J18+J19+J20),0)</f>
        <v>848</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109</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5.5500000000000008E-2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8512</v>
      </c>
      <c r="D19" s="259" t="s">
        <v>1748</v>
      </c>
      <c r="E19" s="1897"/>
      <c r="F19" s="56"/>
      <c r="G19" s="1946"/>
      <c r="H19" s="1577" t="s">
        <v>1876</v>
      </c>
      <c r="I19" s="774" t="s">
        <v>1749</v>
      </c>
      <c r="J19" s="53">
        <f ca="1">IF(K19="按租金收入计税",ROUND(J6*M19/(1+'数据-取费表'!C42),1),ROUND(C29*F33*0.7,1))</f>
        <v>845.8</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1"/>
      <c r="H20" s="1580" t="s">
        <v>1871</v>
      </c>
      <c r="I20" s="339" t="s">
        <v>1751</v>
      </c>
      <c r="J20" s="54">
        <f ca="1">ROUND(M20*M21/10000,0)</f>
        <v>2</v>
      </c>
      <c r="K20" s="803" t="s">
        <v>1752</v>
      </c>
      <c r="L20" s="774" t="s">
        <v>1753</v>
      </c>
      <c r="M20" s="632">
        <f>'数据-取费表'!B52</f>
        <v>1</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20705.25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151</v>
      </c>
      <c r="K22" s="2338" t="s">
        <v>1760</v>
      </c>
      <c r="L22" s="774" t="s">
        <v>1738</v>
      </c>
      <c r="M22" s="806">
        <f ca="1">INDIRECT("'数据-取费表'!Ak"&amp;$G$1)</f>
        <v>1.4999999999999999E-2</v>
      </c>
    </row>
    <row r="23" spans="1:33" s="1948" customFormat="1" ht="18" customHeight="1">
      <c r="A23" s="1577" t="s">
        <v>1822</v>
      </c>
      <c r="B23" s="774" t="s">
        <v>2516</v>
      </c>
      <c r="C23" s="53">
        <f ca="1">ROUND(IF('数据-取费表'!B22&lt;=1,(C19+C20)*F24*F23/2,(C19+C20)*(POWER((1+F24),F23/2)-1)),0)</f>
        <v>378</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-999</v>
      </c>
      <c r="K25" s="2402" t="s">
        <v>1768</v>
      </c>
      <c r="L25" s="2403"/>
      <c r="M25" s="2404"/>
    </row>
    <row r="26" spans="1:33" ht="18" customHeight="1">
      <c r="A26" s="1577" t="s">
        <v>1822</v>
      </c>
      <c r="B26" s="774" t="s">
        <v>2422</v>
      </c>
      <c r="C26" s="53">
        <f ca="1">ROUND((C19+C20)*F26,0)</f>
        <v>260</v>
      </c>
      <c r="D26" s="801" t="s">
        <v>1769</v>
      </c>
      <c r="E26" s="785" t="s">
        <v>1770</v>
      </c>
      <c r="F26" s="784">
        <f ca="1">INDIRECT("'数据-取费表'!q"&amp;$G$1)</f>
        <v>0.03</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5.9999999999999995E-4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5.2900000000000003E-2</v>
      </c>
      <c r="D28" s="801" t="s">
        <v>2287</v>
      </c>
      <c r="E28" s="774" t="s">
        <v>1776</v>
      </c>
      <c r="F28" s="799">
        <f>'数据-取费表'!B41</f>
        <v>5.5500000000000008E-2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10069</v>
      </c>
      <c r="D29" s="2399"/>
      <c r="E29" s="2400"/>
      <c r="F29" s="2401"/>
      <c r="G29" s="3261"/>
      <c r="H29" s="812" t="s">
        <v>1778</v>
      </c>
      <c r="I29" s="813" t="s">
        <v>1779</v>
      </c>
      <c r="J29" s="814">
        <f ca="1">ROUND(J26/(1+F40)^F41,0)</f>
        <v>0</v>
      </c>
      <c r="K29" s="815" t="s">
        <v>1780</v>
      </c>
      <c r="L29" s="816"/>
      <c r="M29" s="817">
        <f ca="1">INDIRECT("'数据-取费表'!k"&amp;$G$1)</f>
        <v>36548.259999999995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280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102</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31.7</v>
      </c>
      <c r="D32" s="1892" t="s">
        <v>1786</v>
      </c>
      <c r="E32" s="774" t="s">
        <v>1787</v>
      </c>
      <c r="F32" s="799">
        <f>'数据-取费表'!B41</f>
        <v>5.5500000000000008E-2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68.599999999999994</v>
      </c>
      <c r="D33" s="800" t="s">
        <v>3111</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2.1</v>
      </c>
      <c r="D34" s="803" t="s">
        <v>1790</v>
      </c>
      <c r="E34" s="774" t="s">
        <v>1791</v>
      </c>
      <c r="F34" s="632">
        <f>'数据-取费表'!B52</f>
        <v>1</v>
      </c>
      <c r="G34" s="1946"/>
      <c r="H34" s="1949"/>
      <c r="I34" s="824" t="s">
        <v>1804</v>
      </c>
      <c r="J34" s="825"/>
      <c r="K34" s="1964"/>
      <c r="L34" s="1963"/>
      <c r="M34" s="1963"/>
    </row>
    <row r="35" spans="1:18" ht="18" customHeight="1">
      <c r="A35" s="804"/>
      <c r="B35" s="783"/>
      <c r="C35" s="69"/>
      <c r="D35" s="805"/>
      <c r="E35" s="774" t="s">
        <v>1792</v>
      </c>
      <c r="F35" s="775">
        <f ca="1">INDIRECT("'数据-取费表'!r"&amp;$G$1)</f>
        <v>20705.25</v>
      </c>
      <c r="G35" s="1946"/>
      <c r="H35" s="1949"/>
      <c r="I35" s="826" t="s">
        <v>1805</v>
      </c>
      <c r="J35" s="827">
        <f ca="1">ROUND(C13*J36,0)</f>
        <v>705</v>
      </c>
      <c r="K35" s="1962"/>
      <c r="L35" s="1961"/>
      <c r="M35" s="1961"/>
    </row>
    <row r="36" spans="1:18" ht="18" customHeight="1">
      <c r="A36" s="1578" t="s">
        <v>1880</v>
      </c>
      <c r="B36" s="774" t="s">
        <v>1793</v>
      </c>
      <c r="C36" s="53">
        <f ca="1">ROUND(C29*F36,1)</f>
        <v>151</v>
      </c>
      <c r="D36" s="1892" t="s">
        <v>1794</v>
      </c>
      <c r="E36" s="774" t="s">
        <v>1787</v>
      </c>
      <c r="F36" s="806">
        <f ca="1">INDIRECT("'数据-取费表'!Ak"&amp;$G$1)</f>
        <v>1.4999999999999999E-2</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15.1</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12</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3" t="s">
        <v>2801</v>
      </c>
      <c r="C39" s="782">
        <f ca="1">C5-C30</f>
        <v>320</v>
      </c>
      <c r="D39" s="2402" t="s">
        <v>1797</v>
      </c>
      <c r="E39" s="2403"/>
      <c r="F39" s="2404"/>
      <c r="G39" s="1946"/>
      <c r="H39" s="1961"/>
      <c r="I39" s="826" t="s">
        <v>1809</v>
      </c>
      <c r="J39" s="834">
        <f ca="1">ROUND(J35/C39,3)</f>
        <v>2.2029999999999998</v>
      </c>
      <c r="K39" s="1966"/>
      <c r="L39" s="1961"/>
      <c r="M39" s="1961"/>
    </row>
    <row r="40" spans="1:18" ht="18" customHeight="1">
      <c r="A40" s="771" t="s">
        <v>1886</v>
      </c>
      <c r="B40" s="2113" t="s">
        <v>2289</v>
      </c>
      <c r="C40" s="773">
        <f ca="1">ROUND(C39*(1-((1+F42)/(1+F40))^F41)/(F40-F42),0)</f>
        <v>7315</v>
      </c>
      <c r="D40" s="803" t="s">
        <v>1798</v>
      </c>
      <c r="E40" s="774" t="s">
        <v>2404</v>
      </c>
      <c r="F40" s="784">
        <f ca="1">INDIRECT("'数据-取费表'!I"&amp;$G$1)</f>
        <v>0.05</v>
      </c>
      <c r="G40" s="1946"/>
      <c r="H40" s="1946"/>
      <c r="I40" s="826" t="s">
        <v>1810</v>
      </c>
      <c r="J40" s="834">
        <f ca="1">1-J39</f>
        <v>-1.2029999999999998</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39.94</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1.3759999999999999</v>
      </c>
      <c r="K42" s="1965"/>
      <c r="L42" s="1901"/>
      <c r="M42" s="1901"/>
    </row>
    <row r="43" spans="1:18" ht="18" customHeight="1" thickBot="1">
      <c r="A43" s="812" t="s">
        <v>1778</v>
      </c>
      <c r="B43" s="813" t="s">
        <v>1801</v>
      </c>
      <c r="C43" s="814">
        <f ca="1">ROUND(C40*10000/F43,0)</f>
        <v>2001</v>
      </c>
      <c r="D43" s="815" t="s">
        <v>1802</v>
      </c>
      <c r="E43" s="816" t="s">
        <v>1803</v>
      </c>
      <c r="F43" s="817">
        <f ca="1">INDIRECT("'数据-取费表'!k"&amp;$G$1)</f>
        <v>36548.259999999995</v>
      </c>
      <c r="G43" s="1946"/>
      <c r="H43" s="1901"/>
      <c r="I43" s="836" t="s">
        <v>1813</v>
      </c>
      <c r="J43" s="837">
        <f ca="1">1-J42</f>
        <v>-0.37599999999999989</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-10196</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3112</v>
      </c>
      <c r="K47" s="2808" t="s">
        <v>2334</v>
      </c>
      <c r="L47" s="2812">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41.94</v>
      </c>
      <c r="M48" s="3263"/>
      <c r="O48" s="2254" t="s">
        <v>2364</v>
      </c>
      <c r="P48" s="2255" t="s">
        <v>2390</v>
      </c>
      <c r="Q48" s="2256">
        <f ca="1">C40+J29</f>
        <v>7315</v>
      </c>
      <c r="R48" s="2255" t="s">
        <v>2365</v>
      </c>
    </row>
    <row r="49" spans="1:18" s="1943" customFormat="1" ht="18" customHeight="1" thickBot="1">
      <c r="A49" s="776"/>
      <c r="B49" s="777"/>
      <c r="C49" s="778"/>
      <c r="D49" s="779"/>
      <c r="E49" s="774" t="s">
        <v>1730</v>
      </c>
      <c r="F49" s="775">
        <f ca="1">F7</f>
        <v>36548.259999999995</v>
      </c>
      <c r="G49" s="1973"/>
      <c r="H49" s="1976"/>
      <c r="I49" s="2799" t="s">
        <v>2331</v>
      </c>
      <c r="J49" s="2239">
        <v>2024</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10069</v>
      </c>
      <c r="R50" s="2255" t="s">
        <v>2365</v>
      </c>
    </row>
    <row r="51" spans="1:18" s="1943" customFormat="1" ht="18" customHeight="1" thickBot="1">
      <c r="A51" s="776"/>
      <c r="B51" s="777"/>
      <c r="C51" s="778"/>
      <c r="D51" s="779"/>
      <c r="E51" s="774" t="s">
        <v>634</v>
      </c>
      <c r="F51" s="2227"/>
      <c r="H51" s="1976"/>
      <c r="I51" s="2803" t="s">
        <v>2333</v>
      </c>
      <c r="J51" s="2807">
        <f>IF(J49="",J50,J49+J50-YEAR('数据-取费表'!B2))</f>
        <v>63</v>
      </c>
      <c r="K51" s="2799" t="s">
        <v>2339</v>
      </c>
      <c r="L51" s="2813">
        <f ca="1">ROUND(-PV(INDIRECT("'数据-取费表'!h"&amp;$G$1),J51,(C39-C13*J36),0),0)</f>
        <v>-24244</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f>'数据-取费表'!I6+0.02</f>
        <v>7.0000000000000007E-2</v>
      </c>
      <c r="K52" s="2804" t="s">
        <v>2405</v>
      </c>
      <c r="L52" s="2241"/>
      <c r="M52" s="3263"/>
      <c r="O52" s="2257" t="s">
        <v>2371</v>
      </c>
      <c r="P52" s="2255" t="s">
        <v>2372</v>
      </c>
      <c r="Q52" s="2258">
        <f>J52</f>
        <v>7.0000000000000007E-2</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39.94</v>
      </c>
      <c r="K53" s="3582" t="s">
        <v>2931</v>
      </c>
      <c r="L53" s="3583"/>
      <c r="M53" s="3263"/>
      <c r="O53" s="2257" t="s">
        <v>2373</v>
      </c>
      <c r="P53" s="2255" t="s">
        <v>2374</v>
      </c>
      <c r="Q53" s="2256">
        <f ca="1">J53</f>
        <v>39.94</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7315</v>
      </c>
      <c r="R54" s="2259" t="s">
        <v>2377</v>
      </c>
    </row>
    <row r="55" spans="1:18" s="1943" customFormat="1" ht="18" customHeight="1" thickTop="1" thickBot="1">
      <c r="A55" s="787">
        <v>2</v>
      </c>
      <c r="B55" s="788" t="s">
        <v>638</v>
      </c>
      <c r="C55" s="789">
        <f ca="1">C13</f>
        <v>10069</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10069</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168</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7315</v>
      </c>
      <c r="R57" s="2255" t="s">
        <v>2365</v>
      </c>
    </row>
    <row r="58" spans="1:18" s="1943" customFormat="1" ht="28.5" customHeight="1" thickBot="1">
      <c r="A58" s="1578" t="s">
        <v>1815</v>
      </c>
      <c r="B58" s="774" t="s">
        <v>650</v>
      </c>
      <c r="C58" s="3019">
        <f ca="1">ROUND(IF(AND(项目基本情况!B11="自然人",项目基本情况!B10="北京市"),C48*F58/(1+'数据-取费表'!C42),C59+C60+C61),0)</f>
        <v>2</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5.5500000000000008E-2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2.1</v>
      </c>
      <c r="D61" s="803" t="s">
        <v>663</v>
      </c>
      <c r="E61" s="774" t="s">
        <v>664</v>
      </c>
      <c r="F61" s="632">
        <f t="shared" si="0"/>
        <v>1</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20705.25</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151</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7315</v>
      </c>
      <c r="R63" s="2259" t="s">
        <v>2377</v>
      </c>
    </row>
    <row r="64" spans="1:18" s="1943" customFormat="1" ht="16.5" thickBot="1">
      <c r="A64" s="1578" t="s">
        <v>1881</v>
      </c>
      <c r="B64" s="774" t="s">
        <v>673</v>
      </c>
      <c r="C64" s="53">
        <f ca="1">ROUND(C55*F64,1)</f>
        <v>15.1</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-168</v>
      </c>
      <c r="D66" s="2481" t="s">
        <v>694</v>
      </c>
      <c r="E66" s="2480"/>
      <c r="F66" s="809"/>
      <c r="K66" s="1969"/>
      <c r="O66" s="2254" t="s">
        <v>2364</v>
      </c>
      <c r="P66" s="2255" t="s">
        <v>2394</v>
      </c>
      <c r="Q66" s="2256">
        <f ca="1">C40+J29</f>
        <v>7315</v>
      </c>
      <c r="R66" s="2255" t="s">
        <v>2365</v>
      </c>
    </row>
    <row r="67" spans="1:18" s="1943" customFormat="1" ht="20.25" thickBot="1">
      <c r="A67" s="771" t="s">
        <v>1771</v>
      </c>
      <c r="B67" s="2113" t="s">
        <v>2289</v>
      </c>
      <c r="C67" s="773">
        <f ca="1">ROUND(C66*(1-((1+F69)/(1+F67))^F68)/(F67-F69),0)</f>
        <v>-2881</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39.94</v>
      </c>
      <c r="O68" s="2257" t="s">
        <v>2368</v>
      </c>
      <c r="P68" s="2255" t="s">
        <v>2398</v>
      </c>
      <c r="Q68" s="2261">
        <f ca="1">L51</f>
        <v>-24244</v>
      </c>
      <c r="R68" s="2262" t="s">
        <v>2401</v>
      </c>
    </row>
    <row r="69" spans="1:18" ht="20.25" thickBot="1">
      <c r="A69" s="780"/>
      <c r="B69" s="781"/>
      <c r="C69" s="782"/>
      <c r="D69" s="805"/>
      <c r="E69" s="774" t="s">
        <v>704</v>
      </c>
      <c r="F69" s="2227"/>
      <c r="O69" s="2257" t="s">
        <v>2369</v>
      </c>
      <c r="P69" s="2263" t="s">
        <v>2383</v>
      </c>
      <c r="Q69" s="2256">
        <f ca="1">ROUND(Q70-Q71*Q72,0)</f>
        <v>-385</v>
      </c>
      <c r="R69" s="2259"/>
    </row>
    <row r="70" spans="1:18" ht="15.75" thickBot="1">
      <c r="A70" s="812" t="s">
        <v>1778</v>
      </c>
      <c r="B70" s="813" t="s">
        <v>1801</v>
      </c>
      <c r="C70" s="814">
        <f ca="1">ROUND(C67*10000/F70,0)</f>
        <v>-788</v>
      </c>
      <c r="D70" s="815" t="s">
        <v>1802</v>
      </c>
      <c r="E70" s="816" t="s">
        <v>1803</v>
      </c>
      <c r="F70" s="817">
        <f ca="1">F43</f>
        <v>36548.259999999995</v>
      </c>
      <c r="O70" s="2257" t="s">
        <v>2384</v>
      </c>
      <c r="P70" s="2263" t="s">
        <v>2385</v>
      </c>
      <c r="Q70" s="2256">
        <f ca="1">C39</f>
        <v>320</v>
      </c>
      <c r="R70" s="2255" t="s">
        <v>2365</v>
      </c>
    </row>
    <row r="71" spans="1:18" ht="15.75" thickBot="1">
      <c r="O71" s="2257" t="s">
        <v>2386</v>
      </c>
      <c r="P71" s="2263" t="s">
        <v>2387</v>
      </c>
      <c r="Q71" s="2256">
        <f ca="1">C13</f>
        <v>10069</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7315</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4" t="s">
        <v>2452</v>
      </c>
      <c r="B1" s="3585"/>
      <c r="C1" s="3586"/>
      <c r="D1" s="3587">
        <f>SUM(I10,I15,I20,I21,I23)</f>
        <v>0</v>
      </c>
      <c r="E1" s="3587"/>
      <c r="F1" s="3587"/>
      <c r="G1" s="3587"/>
      <c r="H1" s="3587"/>
      <c r="I1" s="3588"/>
    </row>
    <row r="2" spans="1:9">
      <c r="A2" s="3589" t="s">
        <v>2453</v>
      </c>
      <c r="B2" s="3590" t="s">
        <v>2454</v>
      </c>
      <c r="C2" s="3590"/>
      <c r="D2" s="2361" t="s">
        <v>2455</v>
      </c>
      <c r="E2" s="2361" t="s">
        <v>2456</v>
      </c>
      <c r="F2" s="2361" t="s">
        <v>2457</v>
      </c>
      <c r="G2" s="2361" t="s">
        <v>2458</v>
      </c>
      <c r="H2" s="2361" t="s">
        <v>2459</v>
      </c>
      <c r="I2" s="2362" t="s">
        <v>2460</v>
      </c>
    </row>
    <row r="3" spans="1:9">
      <c r="A3" s="3589"/>
      <c r="B3" s="3590" t="s">
        <v>2461</v>
      </c>
      <c r="C3" s="3590"/>
      <c r="D3" s="2363"/>
      <c r="E3" s="2361"/>
      <c r="F3" s="2364"/>
      <c r="G3" s="2364"/>
      <c r="H3" s="2365"/>
      <c r="I3" s="2366">
        <f>ROUND(D3*E3*F3*G3*H3/10000,0)</f>
        <v>0</v>
      </c>
    </row>
    <row r="4" spans="1:9">
      <c r="A4" s="3589"/>
      <c r="B4" s="3590" t="s">
        <v>2462</v>
      </c>
      <c r="C4" s="3590"/>
      <c r="D4" s="2363"/>
      <c r="E4" s="2361"/>
      <c r="F4" s="2364"/>
      <c r="G4" s="2364"/>
      <c r="H4" s="2365"/>
      <c r="I4" s="2366">
        <f t="shared" ref="I4:I9" si="0">ROUND(D4*E4*F4*G4*H4/10000,0)</f>
        <v>0</v>
      </c>
    </row>
    <row r="5" spans="1:9">
      <c r="A5" s="3589"/>
      <c r="B5" s="3590" t="s">
        <v>2463</v>
      </c>
      <c r="C5" s="3590"/>
      <c r="D5" s="2363"/>
      <c r="E5" s="2361"/>
      <c r="F5" s="2364"/>
      <c r="G5" s="2364"/>
      <c r="H5" s="2365"/>
      <c r="I5" s="2366">
        <f t="shared" si="0"/>
        <v>0</v>
      </c>
    </row>
    <row r="6" spans="1:9">
      <c r="A6" s="3589"/>
      <c r="B6" s="3590" t="s">
        <v>2464</v>
      </c>
      <c r="C6" s="3590"/>
      <c r="D6" s="2363"/>
      <c r="E6" s="2361"/>
      <c r="F6" s="2364"/>
      <c r="G6" s="2364"/>
      <c r="H6" s="2365"/>
      <c r="I6" s="2366">
        <f t="shared" si="0"/>
        <v>0</v>
      </c>
    </row>
    <row r="7" spans="1:9">
      <c r="A7" s="3589"/>
      <c r="B7" s="3590" t="s">
        <v>2465</v>
      </c>
      <c r="C7" s="3590"/>
      <c r="D7" s="2363"/>
      <c r="E7" s="2361"/>
      <c r="F7" s="2364"/>
      <c r="G7" s="2364"/>
      <c r="H7" s="2365"/>
      <c r="I7" s="2366">
        <f t="shared" si="0"/>
        <v>0</v>
      </c>
    </row>
    <row r="8" spans="1:9">
      <c r="A8" s="3589"/>
      <c r="B8" s="3590" t="s">
        <v>2466</v>
      </c>
      <c r="C8" s="3590"/>
      <c r="D8" s="2363"/>
      <c r="E8" s="2361"/>
      <c r="F8" s="2364"/>
      <c r="G8" s="2364"/>
      <c r="H8" s="2365"/>
      <c r="I8" s="2366">
        <f t="shared" si="0"/>
        <v>0</v>
      </c>
    </row>
    <row r="9" spans="1:9">
      <c r="A9" s="3589"/>
      <c r="B9" s="3590" t="s">
        <v>2467</v>
      </c>
      <c r="C9" s="3590"/>
      <c r="D9" s="2363"/>
      <c r="E9" s="2361"/>
      <c r="F9" s="2364"/>
      <c r="G9" s="2364"/>
      <c r="H9" s="2365"/>
      <c r="I9" s="2366">
        <f t="shared" si="0"/>
        <v>0</v>
      </c>
    </row>
    <row r="10" spans="1:9">
      <c r="A10" s="3589"/>
      <c r="B10" s="3591" t="s">
        <v>2468</v>
      </c>
      <c r="C10" s="3591"/>
      <c r="D10" s="2367">
        <v>527</v>
      </c>
      <c r="E10" s="2367" t="e">
        <f>ROUND(D1*10000/D10/H9,0)</f>
        <v>#DIV/0!</v>
      </c>
      <c r="F10" s="2368"/>
      <c r="G10" s="2368"/>
      <c r="H10" s="2369"/>
      <c r="I10" s="2370">
        <f>SUM(I3:I9)</f>
        <v>0</v>
      </c>
    </row>
    <row r="11" spans="1:9" ht="14.25">
      <c r="A11" s="3589" t="s">
        <v>2469</v>
      </c>
      <c r="B11" s="3590" t="s">
        <v>2470</v>
      </c>
      <c r="C11" s="3590"/>
      <c r="D11" s="2363" t="s">
        <v>2471</v>
      </c>
      <c r="E11" s="2363" t="s">
        <v>2472</v>
      </c>
      <c r="F11" s="2364" t="s">
        <v>2473</v>
      </c>
      <c r="G11" s="2364" t="s">
        <v>2474</v>
      </c>
      <c r="H11" s="2371" t="s">
        <v>2475</v>
      </c>
      <c r="I11" s="2362" t="s">
        <v>2476</v>
      </c>
    </row>
    <row r="12" spans="1:9">
      <c r="A12" s="3589"/>
      <c r="B12" s="3590" t="s">
        <v>2477</v>
      </c>
      <c r="C12" s="3590"/>
      <c r="D12" s="2363"/>
      <c r="E12" s="2363"/>
      <c r="F12" s="2364"/>
      <c r="G12" s="2365"/>
      <c r="H12" s="2372"/>
      <c r="I12" s="2362">
        <f>ROUND(D12*E12*F12*G12/10000,0)</f>
        <v>0</v>
      </c>
    </row>
    <row r="13" spans="1:9">
      <c r="A13" s="3589"/>
      <c r="B13" s="3590" t="s">
        <v>2478</v>
      </c>
      <c r="C13" s="3590"/>
      <c r="D13" s="2363"/>
      <c r="E13" s="2363"/>
      <c r="F13" s="2364"/>
      <c r="G13" s="2365"/>
      <c r="H13" s="2372"/>
      <c r="I13" s="2362">
        <f>ROUND(D13*E13*F13*G13/10000,0)</f>
        <v>0</v>
      </c>
    </row>
    <row r="14" spans="1:9">
      <c r="A14" s="3589"/>
      <c r="B14" s="3590" t="s">
        <v>2479</v>
      </c>
      <c r="C14" s="3590"/>
      <c r="D14" s="2363"/>
      <c r="E14" s="2363"/>
      <c r="F14" s="2364"/>
      <c r="G14" s="2365"/>
      <c r="H14" s="2372"/>
      <c r="I14" s="2362">
        <f>ROUND(D14*E14*F14*G14/10000,0)</f>
        <v>0</v>
      </c>
    </row>
    <row r="15" spans="1:9">
      <c r="A15" s="3589"/>
      <c r="B15" s="3591" t="s">
        <v>2468</v>
      </c>
      <c r="C15" s="3591"/>
      <c r="D15" s="2367"/>
      <c r="E15" s="2367">
        <f>SUM(E12:E14)</f>
        <v>0</v>
      </c>
      <c r="F15" s="2368"/>
      <c r="G15" s="2365"/>
      <c r="H15" s="2372"/>
      <c r="I15" s="2373">
        <f>SUM(I12:I14)</f>
        <v>0</v>
      </c>
    </row>
    <row r="16" spans="1:9" ht="24">
      <c r="A16" s="3589" t="s">
        <v>2480</v>
      </c>
      <c r="B16" s="3590" t="s">
        <v>2481</v>
      </c>
      <c r="C16" s="3590"/>
      <c r="D16" s="2363" t="s">
        <v>2482</v>
      </c>
      <c r="E16" s="2374" t="s">
        <v>2483</v>
      </c>
      <c r="F16" s="2364" t="s">
        <v>2484</v>
      </c>
      <c r="G16" s="2365" t="s">
        <v>2474</v>
      </c>
      <c r="H16" s="2371" t="s">
        <v>2475</v>
      </c>
      <c r="I16" s="2362" t="s">
        <v>2476</v>
      </c>
    </row>
    <row r="17" spans="1:9" ht="14.25">
      <c r="A17" s="3589"/>
      <c r="B17" s="3590" t="s">
        <v>2485</v>
      </c>
      <c r="C17" s="3590"/>
      <c r="D17" s="2363"/>
      <c r="E17" s="2363"/>
      <c r="F17" s="2364"/>
      <c r="G17" s="2365"/>
      <c r="H17" s="2375"/>
      <c r="I17" s="2376">
        <f>ROUND(D17*E17*F17*G17/10000,0)</f>
        <v>0</v>
      </c>
    </row>
    <row r="18" spans="1:9" ht="14.25">
      <c r="A18" s="3589"/>
      <c r="B18" s="3590" t="s">
        <v>2486</v>
      </c>
      <c r="C18" s="3590"/>
      <c r="D18" s="2363"/>
      <c r="E18" s="2363"/>
      <c r="F18" s="2364"/>
      <c r="G18" s="2365"/>
      <c r="H18" s="2375"/>
      <c r="I18" s="2376">
        <f>ROUND(D18*E18*F18*G18/10000,0)</f>
        <v>0</v>
      </c>
    </row>
    <row r="19" spans="1:9" ht="14.25">
      <c r="A19" s="3589"/>
      <c r="B19" s="3590" t="s">
        <v>2487</v>
      </c>
      <c r="C19" s="3590"/>
      <c r="D19" s="2363"/>
      <c r="E19" s="2363"/>
      <c r="F19" s="2364"/>
      <c r="G19" s="2365"/>
      <c r="H19" s="2375"/>
      <c r="I19" s="2376">
        <f>ROUND(D19*E19*F19*G19/10000,0)</f>
        <v>0</v>
      </c>
    </row>
    <row r="20" spans="1:9">
      <c r="A20" s="3589"/>
      <c r="B20" s="3591" t="s">
        <v>2468</v>
      </c>
      <c r="C20" s="3591"/>
      <c r="D20" s="2367">
        <f>SUM(D17:D19)</f>
        <v>0</v>
      </c>
      <c r="E20" s="2367"/>
      <c r="F20" s="2368"/>
      <c r="G20" s="2365"/>
      <c r="H20" s="2372"/>
      <c r="I20" s="2373">
        <f>SUM(I17:I19)</f>
        <v>0</v>
      </c>
    </row>
    <row r="21" spans="1:9">
      <c r="A21" s="3589" t="s">
        <v>2488</v>
      </c>
      <c r="B21" s="3593"/>
      <c r="C21" s="3593"/>
      <c r="D21" s="3593"/>
      <c r="E21" s="3593"/>
      <c r="F21" s="3593"/>
      <c r="G21" s="3593"/>
      <c r="H21" s="2377">
        <v>0.1</v>
      </c>
      <c r="I21" s="2370">
        <f>ROUND(I10*H21,0)</f>
        <v>0</v>
      </c>
    </row>
    <row r="22" spans="1:9" ht="14.25">
      <c r="A22" s="3594" t="s">
        <v>2489</v>
      </c>
      <c r="B22" s="3595"/>
      <c r="C22" s="3596"/>
      <c r="D22" s="2378" t="s">
        <v>2490</v>
      </c>
      <c r="E22" s="2378" t="s">
        <v>2491</v>
      </c>
      <c r="F22" s="2379" t="s">
        <v>2492</v>
      </c>
      <c r="G22" s="2379" t="s">
        <v>2493</v>
      </c>
      <c r="H22" s="2371" t="s">
        <v>2494</v>
      </c>
      <c r="I22" s="2362" t="s">
        <v>2495</v>
      </c>
    </row>
    <row r="23" spans="1:9" ht="14.25" thickBot="1">
      <c r="A23" s="3597"/>
      <c r="B23" s="3598"/>
      <c r="C23" s="3599"/>
      <c r="D23" s="2380"/>
      <c r="E23" s="2380"/>
      <c r="F23" s="2380"/>
      <c r="G23" s="2381"/>
      <c r="H23" s="2382"/>
      <c r="I23" s="2383">
        <f>ROUND(E23*D23*F23*(1-G23)/10000,0)</f>
        <v>0</v>
      </c>
    </row>
    <row r="26" spans="1:9">
      <c r="A26" s="2384" t="s">
        <v>2496</v>
      </c>
      <c r="B26" s="2384"/>
      <c r="C26" s="2384"/>
      <c r="D26" s="2384"/>
      <c r="E26" s="3600">
        <f>C27-C30-C31-C32</f>
        <v>0</v>
      </c>
      <c r="F26" s="3600"/>
      <c r="G26" s="3600"/>
      <c r="H26" s="2756" t="s">
        <v>2822</v>
      </c>
    </row>
    <row r="27" spans="1:9">
      <c r="A27" s="2385">
        <v>1</v>
      </c>
      <c r="B27" s="2386" t="s">
        <v>2497</v>
      </c>
      <c r="C27" s="2386"/>
      <c r="D27" s="2386"/>
      <c r="E27" s="3601"/>
      <c r="F27" s="3601"/>
      <c r="G27" s="3601"/>
    </row>
    <row r="28" spans="1:9">
      <c r="A28" s="2387" t="s">
        <v>2498</v>
      </c>
      <c r="B28" s="2386" t="s">
        <v>2499</v>
      </c>
      <c r="C28" s="2386"/>
      <c r="D28" s="2386"/>
      <c r="E28" s="3601"/>
      <c r="F28" s="3601"/>
      <c r="G28" s="3601"/>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92"/>
      <c r="F32" s="3592"/>
      <c r="G32" s="3592"/>
    </row>
    <row r="33" spans="1:7" hidden="1">
      <c r="A33" s="3602" t="s">
        <v>2507</v>
      </c>
      <c r="B33" s="3603"/>
      <c r="C33" s="3603"/>
      <c r="D33" s="3604"/>
      <c r="E33" s="3600"/>
      <c r="F33" s="3600"/>
      <c r="G33" s="3600"/>
    </row>
    <row r="34" spans="1:7" hidden="1">
      <c r="A34" s="2389">
        <v>1</v>
      </c>
      <c r="B34" s="2386" t="s">
        <v>2508</v>
      </c>
      <c r="C34" s="2386"/>
      <c r="D34" s="2386"/>
      <c r="E34" s="3601"/>
      <c r="F34" s="3601"/>
      <c r="G34" s="3601"/>
    </row>
    <row r="35" spans="1:7" hidden="1">
      <c r="A35" s="2389">
        <v>2</v>
      </c>
      <c r="B35" s="2386" t="s">
        <v>2509</v>
      </c>
      <c r="C35" s="2386"/>
      <c r="D35" s="2386"/>
      <c r="E35" s="3601"/>
      <c r="F35" s="3601"/>
      <c r="G35" s="3601"/>
    </row>
    <row r="36" spans="1:7" hidden="1">
      <c r="A36" s="2389">
        <v>3</v>
      </c>
      <c r="B36" s="2386" t="s">
        <v>2510</v>
      </c>
      <c r="C36" s="2386"/>
      <c r="D36" s="2386"/>
      <c r="E36" s="3601"/>
      <c r="F36" s="3601"/>
      <c r="G36" s="3601"/>
    </row>
    <row r="37" spans="1:7" hidden="1">
      <c r="A37" s="2389">
        <v>4</v>
      </c>
      <c r="B37" s="2386" t="s">
        <v>2511</v>
      </c>
      <c r="C37" s="2386"/>
      <c r="D37" s="2386"/>
      <c r="E37" s="3601"/>
      <c r="F37" s="3601"/>
      <c r="G37" s="3601"/>
    </row>
    <row r="38" spans="1:7" hidden="1">
      <c r="A38" s="3602" t="s">
        <v>2512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2883</v>
      </c>
      <c r="D12" s="3271">
        <f>'数据-汇总表'!E5</f>
        <v>160160.98000000001</v>
      </c>
      <c r="E12" s="3271">
        <f>'数据-取费表'!B27</f>
        <v>180</v>
      </c>
      <c r="F12" s="746"/>
      <c r="G12" s="749"/>
    </row>
    <row r="13" spans="1:25" s="2065" customFormat="1" ht="13.5" customHeight="1">
      <c r="A13" s="2330" t="s">
        <v>2430</v>
      </c>
      <c r="B13" s="747" t="s">
        <v>606</v>
      </c>
      <c r="C13" s="748">
        <f>ROUND(D13*E13/10000,0)</f>
        <v>1242</v>
      </c>
      <c r="D13" s="3271">
        <f>'数据-汇总表'!E6</f>
        <v>68981.369999999966</v>
      </c>
      <c r="E13" s="3271">
        <f>'数据-取费表'!B28</f>
        <v>180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0.93500000000000005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9" t="s">
        <v>516</v>
      </c>
      <c r="D4" s="3490"/>
      <c r="E4" s="3523" t="s">
        <v>517</v>
      </c>
      <c r="F4" s="3524"/>
      <c r="G4" s="3489" t="s">
        <v>518</v>
      </c>
      <c r="H4" s="3490"/>
      <c r="I4" s="3489" t="s">
        <v>519</v>
      </c>
      <c r="J4" s="3490"/>
      <c r="K4" s="508"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4"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4"/>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4"/>
      <c r="AC6" s="3488"/>
    </row>
    <row r="7" spans="1:29" s="1203" customFormat="1" ht="15.75" thickBot="1">
      <c r="A7" s="2630"/>
      <c r="B7" s="2637" t="s">
        <v>523</v>
      </c>
      <c r="C7" s="513">
        <f>'数据-取费表'!B2</f>
        <v>44468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14"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7" t="s">
        <v>534</v>
      </c>
      <c r="Q15" s="1507" t="str">
        <f t="shared" si="6"/>
        <v>商业繁华度</v>
      </c>
      <c r="R15" s="1508" t="s">
        <v>8</v>
      </c>
      <c r="S15" s="1509">
        <f t="shared" si="0"/>
        <v>100</v>
      </c>
      <c r="T15" s="1508" t="s">
        <v>8</v>
      </c>
      <c r="U15" s="1509">
        <f t="shared" si="1"/>
        <v>100</v>
      </c>
      <c r="V15" s="1508" t="s">
        <v>8</v>
      </c>
      <c r="W15" s="1509">
        <f t="shared" si="2"/>
        <v>100</v>
      </c>
      <c r="X15" s="1502"/>
      <c r="Y15" s="351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8"/>
      <c r="Q22" s="2430"/>
      <c r="R22" s="1508"/>
      <c r="S22" s="1509"/>
      <c r="T22" s="1508"/>
      <c r="U22" s="1509"/>
      <c r="V22" s="1508"/>
      <c r="W22" s="1509"/>
      <c r="X22" s="2432"/>
      <c r="Y22" s="351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8"/>
      <c r="Q23" s="1507" t="str">
        <f>B23</f>
        <v>自然及人文环境</v>
      </c>
      <c r="R23" s="1508" t="s">
        <v>8</v>
      </c>
      <c r="S23" s="1509">
        <f>F23</f>
        <v>100</v>
      </c>
      <c r="T23" s="1508" t="s">
        <v>8</v>
      </c>
      <c r="U23" s="1509">
        <f>H23</f>
        <v>100</v>
      </c>
      <c r="V23" s="1508" t="s">
        <v>8</v>
      </c>
      <c r="W23" s="1509">
        <f>J23</f>
        <v>100</v>
      </c>
      <c r="X23" s="1502"/>
      <c r="Y23" s="351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8"/>
      <c r="Q25" s="1507" t="str">
        <f t="shared" ref="Q25:Q46" si="11">B25</f>
        <v>临街状况</v>
      </c>
      <c r="R25" s="1508" t="s">
        <v>8</v>
      </c>
      <c r="S25" s="1509">
        <f>F25</f>
        <v>100</v>
      </c>
      <c r="T25" s="1508" t="s">
        <v>8</v>
      </c>
      <c r="U25" s="1509">
        <f>H25</f>
        <v>100</v>
      </c>
      <c r="V25" s="1508" t="s">
        <v>8</v>
      </c>
      <c r="W25" s="1509">
        <f>J25</f>
        <v>100</v>
      </c>
      <c r="X25" s="1502"/>
      <c r="Y25" s="351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8"/>
      <c r="Q26" s="1507" t="str">
        <f t="shared" si="11"/>
        <v>平面位置/可视性</v>
      </c>
      <c r="R26" s="1508" t="s">
        <v>8</v>
      </c>
      <c r="S26" s="1509">
        <f>F26</f>
        <v>100</v>
      </c>
      <c r="T26" s="1508" t="s">
        <v>8</v>
      </c>
      <c r="U26" s="1509">
        <f>H26</f>
        <v>100</v>
      </c>
      <c r="V26" s="1508" t="s">
        <v>8</v>
      </c>
      <c r="W26" s="1509">
        <f>J26</f>
        <v>100</v>
      </c>
      <c r="X26" s="1502"/>
      <c r="Y26" s="351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8"/>
      <c r="Q27" s="1134" t="str">
        <f t="shared" si="11"/>
        <v>人流量</v>
      </c>
      <c r="R27" s="1503" t="s">
        <v>8</v>
      </c>
      <c r="S27" s="1504">
        <f>F27</f>
        <v>100</v>
      </c>
      <c r="T27" s="1503" t="s">
        <v>8</v>
      </c>
      <c r="U27" s="1504">
        <f>H27</f>
        <v>100</v>
      </c>
      <c r="V27" s="1503" t="s">
        <v>8</v>
      </c>
      <c r="W27" s="1504">
        <f>J27</f>
        <v>100</v>
      </c>
      <c r="X27" s="1505"/>
      <c r="Y27" s="351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8"/>
      <c r="Q29" s="1507">
        <f t="shared" si="11"/>
        <v>111</v>
      </c>
      <c r="R29" s="1508" t="s">
        <v>8</v>
      </c>
      <c r="S29" s="1509">
        <f t="shared" si="12"/>
        <v>100</v>
      </c>
      <c r="T29" s="1508" t="s">
        <v>8</v>
      </c>
      <c r="U29" s="1509">
        <f t="shared" si="13"/>
        <v>100</v>
      </c>
      <c r="V29" s="1508" t="s">
        <v>8</v>
      </c>
      <c r="W29" s="1509">
        <f t="shared" si="14"/>
        <v>100</v>
      </c>
      <c r="X29" s="1502"/>
      <c r="Y29" s="351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8"/>
      <c r="Q30" s="1507">
        <f t="shared" si="11"/>
        <v>111</v>
      </c>
      <c r="R30" s="1508" t="s">
        <v>8</v>
      </c>
      <c r="S30" s="1509">
        <f t="shared" si="12"/>
        <v>100</v>
      </c>
      <c r="T30" s="1508" t="s">
        <v>8</v>
      </c>
      <c r="U30" s="1509">
        <f t="shared" si="13"/>
        <v>100</v>
      </c>
      <c r="V30" s="1508" t="s">
        <v>8</v>
      </c>
      <c r="W30" s="1509">
        <f t="shared" si="14"/>
        <v>100</v>
      </c>
      <c r="X30" s="1502"/>
      <c r="Y30" s="351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8"/>
      <c r="Q31" s="1507">
        <f t="shared" si="11"/>
        <v>111</v>
      </c>
      <c r="R31" s="1508" t="s">
        <v>8</v>
      </c>
      <c r="S31" s="1509">
        <f t="shared" si="12"/>
        <v>100</v>
      </c>
      <c r="T31" s="1508" t="s">
        <v>8</v>
      </c>
      <c r="U31" s="1509">
        <f t="shared" si="13"/>
        <v>100</v>
      </c>
      <c r="V31" s="1508" t="s">
        <v>8</v>
      </c>
      <c r="W31" s="1509">
        <f t="shared" si="14"/>
        <v>100</v>
      </c>
      <c r="X31" s="1502"/>
      <c r="Y31" s="351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9" t="s">
        <v>544</v>
      </c>
      <c r="Q32" s="1507" t="str">
        <f t="shared" si="11"/>
        <v>商业类型</v>
      </c>
      <c r="R32" s="1508" t="s">
        <v>8</v>
      </c>
      <c r="S32" s="1509">
        <f t="shared" si="12"/>
        <v>100</v>
      </c>
      <c r="T32" s="1508" t="s">
        <v>8</v>
      </c>
      <c r="U32" s="1509">
        <f t="shared" si="13"/>
        <v>100</v>
      </c>
      <c r="V32" s="1508" t="s">
        <v>8</v>
      </c>
      <c r="W32" s="1509">
        <f t="shared" si="14"/>
        <v>100</v>
      </c>
      <c r="X32" s="1502"/>
      <c r="Y32" s="352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20"/>
      <c r="Q33" s="1536" t="str">
        <f t="shared" si="11"/>
        <v>项目建筑规模</v>
      </c>
      <c r="R33" s="1512" t="s">
        <v>8</v>
      </c>
      <c r="S33" s="1513" t="e">
        <f t="shared" si="12"/>
        <v>#N/A</v>
      </c>
      <c r="T33" s="1512" t="s">
        <v>8</v>
      </c>
      <c r="U33" s="1513" t="e">
        <f t="shared" si="13"/>
        <v>#N/A</v>
      </c>
      <c r="V33" s="1512" t="s">
        <v>8</v>
      </c>
      <c r="W33" s="1513" t="e">
        <f t="shared" si="14"/>
        <v>#N/A</v>
      </c>
      <c r="X33" s="1514"/>
      <c r="Y33" s="352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20"/>
      <c r="Q34" s="1507" t="str">
        <f t="shared" si="11"/>
        <v>建筑结构</v>
      </c>
      <c r="R34" s="1508" t="s">
        <v>8</v>
      </c>
      <c r="S34" s="1509">
        <f t="shared" si="12"/>
        <v>100</v>
      </c>
      <c r="T34" s="1508" t="s">
        <v>8</v>
      </c>
      <c r="U34" s="1509">
        <f t="shared" si="13"/>
        <v>100</v>
      </c>
      <c r="V34" s="1508" t="s">
        <v>8</v>
      </c>
      <c r="W34" s="1509">
        <f t="shared" si="14"/>
        <v>100</v>
      </c>
      <c r="X34" s="1502"/>
      <c r="Y34" s="352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20"/>
      <c r="Q35" s="1507" t="str">
        <f t="shared" si="11"/>
        <v>公共部分装修</v>
      </c>
      <c r="R35" s="1508" t="s">
        <v>8</v>
      </c>
      <c r="S35" s="1509">
        <f t="shared" si="12"/>
        <v>100</v>
      </c>
      <c r="T35" s="1508" t="s">
        <v>8</v>
      </c>
      <c r="U35" s="1509">
        <f t="shared" si="13"/>
        <v>100</v>
      </c>
      <c r="V35" s="1508" t="s">
        <v>8</v>
      </c>
      <c r="W35" s="1509">
        <f t="shared" si="14"/>
        <v>100</v>
      </c>
      <c r="X35" s="1502"/>
      <c r="Y35" s="352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20"/>
      <c r="Q36" s="1507" t="str">
        <f t="shared" si="11"/>
        <v>成新度</v>
      </c>
      <c r="R36" s="1508" t="s">
        <v>8</v>
      </c>
      <c r="S36" s="1509" t="e">
        <f t="shared" si="12"/>
        <v>#N/A</v>
      </c>
      <c r="T36" s="1508" t="s">
        <v>8</v>
      </c>
      <c r="U36" s="1509" t="e">
        <f t="shared" si="13"/>
        <v>#N/A</v>
      </c>
      <c r="V36" s="1508" t="s">
        <v>8</v>
      </c>
      <c r="W36" s="1509" t="e">
        <f t="shared" si="14"/>
        <v>#N/A</v>
      </c>
      <c r="X36" s="1502"/>
      <c r="Y36" s="352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20"/>
      <c r="Q37" s="1134" t="str">
        <f t="shared" si="11"/>
        <v>市政基础设施</v>
      </c>
      <c r="R37" s="1503" t="s">
        <v>8</v>
      </c>
      <c r="S37" s="1504">
        <f t="shared" si="12"/>
        <v>100</v>
      </c>
      <c r="T37" s="1503" t="s">
        <v>8</v>
      </c>
      <c r="U37" s="1504">
        <f t="shared" si="13"/>
        <v>100</v>
      </c>
      <c r="V37" s="1503" t="s">
        <v>8</v>
      </c>
      <c r="W37" s="1504">
        <f t="shared" si="14"/>
        <v>100</v>
      </c>
      <c r="X37" s="1505"/>
      <c r="Y37" s="352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20" t="s">
        <v>760</v>
      </c>
      <c r="Q38" s="1507" t="str">
        <f t="shared" si="11"/>
        <v>业态</v>
      </c>
      <c r="R38" s="1508" t="s">
        <v>8</v>
      </c>
      <c r="S38" s="1509">
        <f t="shared" si="12"/>
        <v>100</v>
      </c>
      <c r="T38" s="1508" t="s">
        <v>8</v>
      </c>
      <c r="U38" s="1509">
        <f t="shared" si="13"/>
        <v>100</v>
      </c>
      <c r="V38" s="1508" t="s">
        <v>8</v>
      </c>
      <c r="W38" s="1509">
        <f t="shared" si="14"/>
        <v>100</v>
      </c>
      <c r="X38" s="1502"/>
      <c r="Y38" s="352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20"/>
      <c r="Q39" s="1507" t="str">
        <f t="shared" si="11"/>
        <v>层高</v>
      </c>
      <c r="R39" s="1508" t="s">
        <v>8</v>
      </c>
      <c r="S39" s="1509">
        <f t="shared" si="12"/>
        <v>100</v>
      </c>
      <c r="T39" s="1508" t="s">
        <v>8</v>
      </c>
      <c r="U39" s="1509">
        <f t="shared" si="13"/>
        <v>100</v>
      </c>
      <c r="V39" s="1508" t="s">
        <v>8</v>
      </c>
      <c r="W39" s="1509">
        <f t="shared" si="14"/>
        <v>100</v>
      </c>
      <c r="X39" s="1502"/>
      <c r="Y39" s="352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20"/>
      <c r="Q40" s="1507" t="str">
        <f t="shared" si="11"/>
        <v>单套建筑面积</v>
      </c>
      <c r="R40" s="1508" t="s">
        <v>8</v>
      </c>
      <c r="S40" s="1509">
        <f t="shared" si="12"/>
        <v>100</v>
      </c>
      <c r="T40" s="1508" t="s">
        <v>8</v>
      </c>
      <c r="U40" s="1509">
        <f t="shared" si="13"/>
        <v>100</v>
      </c>
      <c r="V40" s="1508" t="s">
        <v>8</v>
      </c>
      <c r="W40" s="1509">
        <f t="shared" si="14"/>
        <v>100</v>
      </c>
      <c r="X40" s="1502"/>
      <c r="Y40" s="352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20"/>
      <c r="Q41" s="1536" t="str">
        <f t="shared" si="11"/>
        <v>进深比</v>
      </c>
      <c r="R41" s="1512" t="s">
        <v>8</v>
      </c>
      <c r="S41" s="1513">
        <f t="shared" si="12"/>
        <v>100</v>
      </c>
      <c r="T41" s="1512" t="s">
        <v>8</v>
      </c>
      <c r="U41" s="1513">
        <f t="shared" si="13"/>
        <v>100</v>
      </c>
      <c r="V41" s="1512" t="s">
        <v>8</v>
      </c>
      <c r="W41" s="1513">
        <f t="shared" si="14"/>
        <v>100</v>
      </c>
      <c r="X41" s="1514"/>
      <c r="Y41" s="352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20"/>
      <c r="Q42" s="1507" t="str">
        <f t="shared" si="11"/>
        <v>内部装修</v>
      </c>
      <c r="R42" s="1508" t="s">
        <v>8</v>
      </c>
      <c r="S42" s="1509">
        <f t="shared" si="12"/>
        <v>100</v>
      </c>
      <c r="T42" s="1508" t="s">
        <v>8</v>
      </c>
      <c r="U42" s="1509">
        <f t="shared" si="13"/>
        <v>100</v>
      </c>
      <c r="V42" s="1508" t="s">
        <v>8</v>
      </c>
      <c r="W42" s="1509">
        <f t="shared" si="14"/>
        <v>100</v>
      </c>
      <c r="X42" s="1502"/>
      <c r="Y42" s="352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20"/>
      <c r="Q43" s="1507" t="str">
        <f t="shared" si="11"/>
        <v>内部装修维护情况</v>
      </c>
      <c r="R43" s="1508" t="s">
        <v>8</v>
      </c>
      <c r="S43" s="1509">
        <f t="shared" si="12"/>
        <v>100</v>
      </c>
      <c r="T43" s="1508" t="s">
        <v>8</v>
      </c>
      <c r="U43" s="1509">
        <f t="shared" si="13"/>
        <v>100</v>
      </c>
      <c r="V43" s="1508" t="s">
        <v>8</v>
      </c>
      <c r="W43" s="1509">
        <f t="shared" si="14"/>
        <v>100</v>
      </c>
      <c r="X43" s="1502"/>
      <c r="Y43" s="352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20"/>
      <c r="Q44" s="1134">
        <f t="shared" si="11"/>
        <v>111</v>
      </c>
      <c r="R44" s="1503" t="s">
        <v>8</v>
      </c>
      <c r="S44" s="1504">
        <f t="shared" si="12"/>
        <v>100</v>
      </c>
      <c r="T44" s="1503" t="s">
        <v>8</v>
      </c>
      <c r="U44" s="1504">
        <f t="shared" si="13"/>
        <v>100</v>
      </c>
      <c r="V44" s="1503" t="s">
        <v>8</v>
      </c>
      <c r="W44" s="1504">
        <f t="shared" si="14"/>
        <v>100</v>
      </c>
      <c r="X44" s="1505"/>
      <c r="Y44" s="352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20"/>
      <c r="Q45" s="1507">
        <f t="shared" si="11"/>
        <v>111</v>
      </c>
      <c r="R45" s="1508" t="s">
        <v>8</v>
      </c>
      <c r="S45" s="1509">
        <f t="shared" si="12"/>
        <v>100</v>
      </c>
      <c r="T45" s="1508" t="s">
        <v>8</v>
      </c>
      <c r="U45" s="1509">
        <f t="shared" si="13"/>
        <v>100</v>
      </c>
      <c r="V45" s="1508" t="s">
        <v>8</v>
      </c>
      <c r="W45" s="1509">
        <f t="shared" si="14"/>
        <v>100</v>
      </c>
      <c r="X45" s="1502"/>
      <c r="Y45" s="352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9"/>
      <c r="Q46" s="1507">
        <f t="shared" si="11"/>
        <v>111</v>
      </c>
      <c r="R46" s="1508" t="s">
        <v>8</v>
      </c>
      <c r="S46" s="1509">
        <f t="shared" si="12"/>
        <v>100</v>
      </c>
      <c r="T46" s="1508" t="s">
        <v>8</v>
      </c>
      <c r="U46" s="1509">
        <f t="shared" si="13"/>
        <v>100</v>
      </c>
      <c r="V46" s="1508" t="s">
        <v>8</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3" t="str">
        <f>A47</f>
        <v>成交单价（元/平方米）</v>
      </c>
      <c r="Q47" s="3483"/>
      <c r="R47" s="3578">
        <f>E47</f>
        <v>0</v>
      </c>
      <c r="S47" s="3578"/>
      <c r="T47" s="3578">
        <f>G47</f>
        <v>0</v>
      </c>
      <c r="U47" s="3578"/>
      <c r="V47" s="3578">
        <f>I47</f>
        <v>0</v>
      </c>
      <c r="W47" s="3578"/>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83" t="str">
        <f>A48</f>
        <v>比较价格（元/平方米）</v>
      </c>
      <c r="Q48" s="348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80" t="str">
        <f>A49</f>
        <v>估价对象XX用房的比较价格（楼面单价，元/平方米）</v>
      </c>
      <c r="Q49" s="3481"/>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9" t="s">
        <v>516</v>
      </c>
      <c r="D4" s="3490"/>
      <c r="E4" s="3523" t="s">
        <v>517</v>
      </c>
      <c r="F4" s="3524"/>
      <c r="G4" s="3489" t="s">
        <v>518</v>
      </c>
      <c r="H4" s="3490"/>
      <c r="I4" s="3489" t="s">
        <v>519</v>
      </c>
      <c r="J4" s="3490"/>
      <c r="K4" s="508" t="s">
        <v>520</v>
      </c>
      <c r="L4" s="2016"/>
      <c r="M4" s="2017"/>
      <c r="N4" s="2017"/>
      <c r="O4" s="2017"/>
      <c r="P4" s="3606" t="s">
        <v>521</v>
      </c>
      <c r="Q4" s="3492"/>
      <c r="R4" s="3497" t="s">
        <v>517</v>
      </c>
      <c r="S4" s="3498"/>
      <c r="T4" s="3497" t="s">
        <v>518</v>
      </c>
      <c r="U4" s="3498"/>
      <c r="V4" s="3484" t="s">
        <v>519</v>
      </c>
      <c r="W4" s="3484"/>
      <c r="X4" s="1502"/>
      <c r="Y4" s="3497" t="s">
        <v>521</v>
      </c>
      <c r="Z4" s="3498"/>
      <c r="AA4" s="3486" t="s">
        <v>517</v>
      </c>
      <c r="AB4" s="3486"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607"/>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608"/>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6"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6" t="s">
        <v>527</v>
      </c>
      <c r="Q8" s="3515"/>
      <c r="R8" s="1503" t="s">
        <v>8</v>
      </c>
      <c r="S8" s="1504">
        <f t="shared" si="0"/>
        <v>0</v>
      </c>
      <c r="T8" s="1503" t="s">
        <v>8</v>
      </c>
      <c r="U8" s="1504">
        <f t="shared" si="1"/>
        <v>0</v>
      </c>
      <c r="V8" s="1503" t="s">
        <v>8</v>
      </c>
      <c r="W8" s="1504">
        <f t="shared" si="2"/>
        <v>0</v>
      </c>
      <c r="X8" s="1505"/>
      <c r="Y8" s="3514" t="s">
        <v>527</v>
      </c>
      <c r="Z8" s="351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7" t="s">
        <v>534</v>
      </c>
      <c r="Q15" s="1507" t="str">
        <f t="shared" si="6"/>
        <v>办公集聚程度</v>
      </c>
      <c r="R15" s="1508" t="s">
        <v>8</v>
      </c>
      <c r="S15" s="1509">
        <f t="shared" si="0"/>
        <v>100</v>
      </c>
      <c r="T15" s="1508" t="s">
        <v>8</v>
      </c>
      <c r="U15" s="1509">
        <f t="shared" si="1"/>
        <v>100</v>
      </c>
      <c r="V15" s="1508" t="s">
        <v>8</v>
      </c>
      <c r="W15" s="1509">
        <f t="shared" si="2"/>
        <v>100</v>
      </c>
      <c r="X15" s="1502"/>
      <c r="Y15" s="351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8"/>
      <c r="Q16" s="1507"/>
      <c r="R16" s="1508"/>
      <c r="S16" s="1509"/>
      <c r="T16" s="1508"/>
      <c r="U16" s="1509"/>
      <c r="V16" s="1508"/>
      <c r="W16" s="1509"/>
      <c r="X16" s="1502"/>
      <c r="Y16" s="351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8"/>
      <c r="Q18" s="1507"/>
      <c r="R18" s="1508"/>
      <c r="S18" s="1509"/>
      <c r="T18" s="1508"/>
      <c r="U18" s="1509"/>
      <c r="V18" s="1508"/>
      <c r="W18" s="1509"/>
      <c r="X18" s="1502"/>
      <c r="Y18" s="351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8"/>
      <c r="Q20" s="1507"/>
      <c r="R20" s="1508"/>
      <c r="S20" s="1509"/>
      <c r="T20" s="1508"/>
      <c r="U20" s="1509"/>
      <c r="V20" s="1508"/>
      <c r="W20" s="1509"/>
      <c r="X20" s="1502"/>
      <c r="Y20" s="351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8"/>
      <c r="Q22" s="2430"/>
      <c r="R22" s="1508"/>
      <c r="S22" s="1509"/>
      <c r="T22" s="1508"/>
      <c r="U22" s="1509"/>
      <c r="V22" s="1508"/>
      <c r="W22" s="1509"/>
      <c r="X22" s="2432"/>
      <c r="Y22" s="351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8"/>
      <c r="Q23" s="1507" t="str">
        <f>B23</f>
        <v>环境质量</v>
      </c>
      <c r="R23" s="1508" t="s">
        <v>8</v>
      </c>
      <c r="S23" s="1509">
        <f>F23</f>
        <v>100</v>
      </c>
      <c r="T23" s="1508" t="s">
        <v>8</v>
      </c>
      <c r="U23" s="1509">
        <f>H23</f>
        <v>100</v>
      </c>
      <c r="V23" s="1508" t="s">
        <v>8</v>
      </c>
      <c r="W23" s="1509">
        <f>J23</f>
        <v>100</v>
      </c>
      <c r="X23" s="1502"/>
      <c r="Y23" s="351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8"/>
      <c r="Q24" s="1507"/>
      <c r="R24" s="1508"/>
      <c r="S24" s="1509"/>
      <c r="T24" s="1508"/>
      <c r="U24" s="1509"/>
      <c r="V24" s="1508"/>
      <c r="W24" s="1509"/>
      <c r="X24" s="1502"/>
      <c r="Y24" s="351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8"/>
      <c r="Q25" s="1507" t="str">
        <f>B25</f>
        <v>毗邻道路的类型与等级</v>
      </c>
      <c r="R25" s="1508" t="s">
        <v>8</v>
      </c>
      <c r="S25" s="1509">
        <f>F25</f>
        <v>100</v>
      </c>
      <c r="T25" s="1508" t="s">
        <v>8</v>
      </c>
      <c r="U25" s="1509">
        <f>H25</f>
        <v>100</v>
      </c>
      <c r="V25" s="1508" t="s">
        <v>8</v>
      </c>
      <c r="W25" s="1509">
        <f>J25</f>
        <v>100</v>
      </c>
      <c r="X25" s="1502"/>
      <c r="Y25" s="351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8"/>
      <c r="Q26" s="1507"/>
      <c r="R26" s="1508"/>
      <c r="S26" s="1509"/>
      <c r="T26" s="1508"/>
      <c r="U26" s="1509"/>
      <c r="V26" s="1508"/>
      <c r="W26" s="1509"/>
      <c r="X26" s="1502"/>
      <c r="Y26" s="351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8"/>
      <c r="Q27" s="1507" t="str">
        <f t="shared" ref="Q27:Q47" si="11">B27</f>
        <v>楼层</v>
      </c>
      <c r="R27" s="1508" t="s">
        <v>8</v>
      </c>
      <c r="S27" s="1509">
        <f>F27</f>
        <v>100</v>
      </c>
      <c r="T27" s="1508" t="s">
        <v>8</v>
      </c>
      <c r="U27" s="1509">
        <f>H27</f>
        <v>100</v>
      </c>
      <c r="V27" s="1508" t="s">
        <v>8</v>
      </c>
      <c r="W27" s="1509">
        <f>J27</f>
        <v>100</v>
      </c>
      <c r="X27" s="1502"/>
      <c r="Y27" s="351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8"/>
      <c r="Q28" s="1134" t="str">
        <f t="shared" si="11"/>
        <v>朝向</v>
      </c>
      <c r="R28" s="1503" t="s">
        <v>8</v>
      </c>
      <c r="S28" s="1504">
        <f>F28</f>
        <v>100</v>
      </c>
      <c r="T28" s="1503" t="s">
        <v>8</v>
      </c>
      <c r="U28" s="1504">
        <f>H28</f>
        <v>100</v>
      </c>
      <c r="V28" s="1503" t="s">
        <v>8</v>
      </c>
      <c r="W28" s="1504">
        <f>J28</f>
        <v>100</v>
      </c>
      <c r="X28" s="1505"/>
      <c r="Y28" s="351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8"/>
      <c r="Q29" s="1507">
        <f t="shared" si="11"/>
        <v>111</v>
      </c>
      <c r="R29" s="1508" t="s">
        <v>8</v>
      </c>
      <c r="S29" s="1509">
        <f t="shared" ref="S29:S47" si="12">F29</f>
        <v>100</v>
      </c>
      <c r="T29" s="1508" t="s">
        <v>8</v>
      </c>
      <c r="U29" s="1509">
        <f t="shared" ref="U29:U47" si="13">H29</f>
        <v>100</v>
      </c>
      <c r="V29" s="1508" t="s">
        <v>8</v>
      </c>
      <c r="W29" s="1509">
        <f t="shared" ref="W29:W47" si="14">J29</f>
        <v>100</v>
      </c>
      <c r="X29" s="1502"/>
      <c r="Y29" s="351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8"/>
      <c r="Q30" s="1507">
        <f t="shared" si="11"/>
        <v>111</v>
      </c>
      <c r="R30" s="1508" t="s">
        <v>8</v>
      </c>
      <c r="S30" s="1509">
        <f t="shared" si="12"/>
        <v>100</v>
      </c>
      <c r="T30" s="1508" t="s">
        <v>8</v>
      </c>
      <c r="U30" s="1509">
        <f t="shared" si="13"/>
        <v>100</v>
      </c>
      <c r="V30" s="1508" t="s">
        <v>8</v>
      </c>
      <c r="W30" s="1509">
        <f t="shared" si="14"/>
        <v>100</v>
      </c>
      <c r="X30" s="1502"/>
      <c r="Y30" s="351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8"/>
      <c r="Q31" s="1507">
        <f t="shared" si="11"/>
        <v>111</v>
      </c>
      <c r="R31" s="1508" t="s">
        <v>8</v>
      </c>
      <c r="S31" s="1509">
        <f t="shared" si="12"/>
        <v>100</v>
      </c>
      <c r="T31" s="1508" t="s">
        <v>8</v>
      </c>
      <c r="U31" s="1509">
        <f t="shared" si="13"/>
        <v>100</v>
      </c>
      <c r="V31" s="1508" t="s">
        <v>8</v>
      </c>
      <c r="W31" s="1509">
        <f t="shared" si="14"/>
        <v>100</v>
      </c>
      <c r="X31" s="1502"/>
      <c r="Y31" s="351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8"/>
      <c r="Q32" s="1507">
        <f t="shared" si="11"/>
        <v>111</v>
      </c>
      <c r="R32" s="1508" t="s">
        <v>8</v>
      </c>
      <c r="S32" s="1509">
        <f t="shared" si="12"/>
        <v>100</v>
      </c>
      <c r="T32" s="1508" t="s">
        <v>8</v>
      </c>
      <c r="U32" s="1509">
        <f t="shared" si="13"/>
        <v>100</v>
      </c>
      <c r="V32" s="1508" t="s">
        <v>8</v>
      </c>
      <c r="W32" s="1509">
        <f t="shared" si="14"/>
        <v>100</v>
      </c>
      <c r="X32" s="1502"/>
      <c r="Y32" s="351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9" t="s">
        <v>544</v>
      </c>
      <c r="Q33" s="1507" t="str">
        <f t="shared" si="11"/>
        <v>建筑类型</v>
      </c>
      <c r="R33" s="1508" t="s">
        <v>8</v>
      </c>
      <c r="S33" s="1509">
        <f t="shared" si="12"/>
        <v>100</v>
      </c>
      <c r="T33" s="1508" t="s">
        <v>8</v>
      </c>
      <c r="U33" s="1509">
        <f t="shared" si="13"/>
        <v>100</v>
      </c>
      <c r="V33" s="1508" t="s">
        <v>8</v>
      </c>
      <c r="W33" s="1509">
        <f t="shared" si="14"/>
        <v>100</v>
      </c>
      <c r="X33" s="1502"/>
      <c r="Y33" s="352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20"/>
      <c r="Q34" s="1536" t="str">
        <f t="shared" si="11"/>
        <v>项目建筑规模</v>
      </c>
      <c r="R34" s="1512" t="s">
        <v>8</v>
      </c>
      <c r="S34" s="1513" t="e">
        <f t="shared" si="12"/>
        <v>#N/A</v>
      </c>
      <c r="T34" s="1512" t="s">
        <v>8</v>
      </c>
      <c r="U34" s="1513" t="e">
        <f t="shared" si="13"/>
        <v>#N/A</v>
      </c>
      <c r="V34" s="1512" t="s">
        <v>8</v>
      </c>
      <c r="W34" s="1513" t="e">
        <f t="shared" si="14"/>
        <v>#N/A</v>
      </c>
      <c r="X34" s="1514"/>
      <c r="Y34" s="352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20"/>
      <c r="Q35" s="1507" t="str">
        <f t="shared" si="11"/>
        <v>建筑结构</v>
      </c>
      <c r="R35" s="1508" t="s">
        <v>8</v>
      </c>
      <c r="S35" s="1509">
        <f t="shared" si="12"/>
        <v>100</v>
      </c>
      <c r="T35" s="1508" t="s">
        <v>8</v>
      </c>
      <c r="U35" s="1509">
        <f t="shared" si="13"/>
        <v>100</v>
      </c>
      <c r="V35" s="1508" t="s">
        <v>8</v>
      </c>
      <c r="W35" s="1509">
        <f t="shared" si="14"/>
        <v>100</v>
      </c>
      <c r="X35" s="1502"/>
      <c r="Y35" s="352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20"/>
      <c r="Q36" s="1507" t="str">
        <f t="shared" si="11"/>
        <v>公共部分装修</v>
      </c>
      <c r="R36" s="1508" t="s">
        <v>8</v>
      </c>
      <c r="S36" s="1509">
        <f t="shared" si="12"/>
        <v>100</v>
      </c>
      <c r="T36" s="1508" t="s">
        <v>8</v>
      </c>
      <c r="U36" s="1509">
        <f t="shared" si="13"/>
        <v>100</v>
      </c>
      <c r="V36" s="1508" t="s">
        <v>8</v>
      </c>
      <c r="W36" s="1509">
        <f t="shared" si="14"/>
        <v>100</v>
      </c>
      <c r="X36" s="1502"/>
      <c r="Y36" s="352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20"/>
      <c r="Q37" s="1507" t="str">
        <f t="shared" si="11"/>
        <v>成新度</v>
      </c>
      <c r="R37" s="1508" t="s">
        <v>8</v>
      </c>
      <c r="S37" s="1509" t="e">
        <f t="shared" si="12"/>
        <v>#N/A</v>
      </c>
      <c r="T37" s="1508" t="s">
        <v>8</v>
      </c>
      <c r="U37" s="1509" t="e">
        <f t="shared" si="13"/>
        <v>#N/A</v>
      </c>
      <c r="V37" s="1508" t="s">
        <v>8</v>
      </c>
      <c r="W37" s="1509" t="e">
        <f t="shared" si="14"/>
        <v>#N/A</v>
      </c>
      <c r="X37" s="1502"/>
      <c r="Y37" s="352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20"/>
      <c r="Q38" s="1134" t="str">
        <f t="shared" si="11"/>
        <v>写字楼等级</v>
      </c>
      <c r="R38" s="1503" t="s">
        <v>8</v>
      </c>
      <c r="S38" s="1504">
        <f t="shared" si="12"/>
        <v>100</v>
      </c>
      <c r="T38" s="1503" t="s">
        <v>8</v>
      </c>
      <c r="U38" s="1504">
        <f t="shared" si="13"/>
        <v>100</v>
      </c>
      <c r="V38" s="1503" t="s">
        <v>8</v>
      </c>
      <c r="W38" s="1504">
        <f t="shared" si="14"/>
        <v>100</v>
      </c>
      <c r="X38" s="1505"/>
      <c r="Y38" s="352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20" t="s">
        <v>544</v>
      </c>
      <c r="Q39" s="1507" t="str">
        <f t="shared" si="11"/>
        <v>物业管理</v>
      </c>
      <c r="R39" s="1508" t="s">
        <v>8</v>
      </c>
      <c r="S39" s="1509">
        <f t="shared" si="12"/>
        <v>100</v>
      </c>
      <c r="T39" s="1508" t="s">
        <v>8</v>
      </c>
      <c r="U39" s="1509">
        <f t="shared" si="13"/>
        <v>100</v>
      </c>
      <c r="V39" s="1508" t="s">
        <v>8</v>
      </c>
      <c r="W39" s="1509">
        <f t="shared" si="14"/>
        <v>100</v>
      </c>
      <c r="X39" s="1502"/>
      <c r="Y39" s="352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20"/>
      <c r="Q40" s="1507" t="str">
        <f t="shared" si="11"/>
        <v>市政基础设施</v>
      </c>
      <c r="R40" s="1508" t="s">
        <v>8</v>
      </c>
      <c r="S40" s="1509">
        <f t="shared" si="12"/>
        <v>100</v>
      </c>
      <c r="T40" s="1508" t="s">
        <v>8</v>
      </c>
      <c r="U40" s="1509">
        <f t="shared" si="13"/>
        <v>100</v>
      </c>
      <c r="V40" s="1508" t="s">
        <v>8</v>
      </c>
      <c r="W40" s="1509">
        <f t="shared" si="14"/>
        <v>100</v>
      </c>
      <c r="X40" s="1502"/>
      <c r="Y40" s="352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20"/>
      <c r="Q41" s="1507" t="str">
        <f t="shared" si="11"/>
        <v>层高</v>
      </c>
      <c r="R41" s="1508" t="s">
        <v>8</v>
      </c>
      <c r="S41" s="1509">
        <f t="shared" si="12"/>
        <v>100</v>
      </c>
      <c r="T41" s="1508" t="s">
        <v>8</v>
      </c>
      <c r="U41" s="1509">
        <f t="shared" si="13"/>
        <v>100</v>
      </c>
      <c r="V41" s="1508" t="s">
        <v>8</v>
      </c>
      <c r="W41" s="1509">
        <f t="shared" si="14"/>
        <v>100</v>
      </c>
      <c r="X41" s="1502"/>
      <c r="Y41" s="352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20"/>
      <c r="Q42" s="1536" t="str">
        <f t="shared" si="11"/>
        <v>单套建筑面积</v>
      </c>
      <c r="R42" s="1512" t="s">
        <v>8</v>
      </c>
      <c r="S42" s="1513">
        <f t="shared" si="12"/>
        <v>100</v>
      </c>
      <c r="T42" s="1512" t="s">
        <v>8</v>
      </c>
      <c r="U42" s="1513">
        <f t="shared" si="13"/>
        <v>100</v>
      </c>
      <c r="V42" s="1512" t="s">
        <v>8</v>
      </c>
      <c r="W42" s="1513">
        <f t="shared" si="14"/>
        <v>100</v>
      </c>
      <c r="X42" s="1514"/>
      <c r="Y42" s="352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20"/>
      <c r="Q43" s="1507" t="str">
        <f t="shared" si="11"/>
        <v>内部装修</v>
      </c>
      <c r="R43" s="1508" t="s">
        <v>8</v>
      </c>
      <c r="S43" s="1509">
        <f t="shared" si="12"/>
        <v>100</v>
      </c>
      <c r="T43" s="1508" t="s">
        <v>8</v>
      </c>
      <c r="U43" s="1509">
        <f t="shared" si="13"/>
        <v>100</v>
      </c>
      <c r="V43" s="1508" t="s">
        <v>8</v>
      </c>
      <c r="W43" s="1509">
        <f t="shared" si="14"/>
        <v>100</v>
      </c>
      <c r="X43" s="1502"/>
      <c r="Y43" s="352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20"/>
      <c r="Q44" s="1507" t="str">
        <f t="shared" si="11"/>
        <v>内部装修维护情况</v>
      </c>
      <c r="R44" s="1508" t="s">
        <v>8</v>
      </c>
      <c r="S44" s="1509">
        <f t="shared" si="12"/>
        <v>100</v>
      </c>
      <c r="T44" s="1508" t="s">
        <v>8</v>
      </c>
      <c r="U44" s="1509">
        <f t="shared" si="13"/>
        <v>100</v>
      </c>
      <c r="V44" s="1508" t="s">
        <v>8</v>
      </c>
      <c r="W44" s="1509">
        <f t="shared" si="14"/>
        <v>100</v>
      </c>
      <c r="X44" s="1502"/>
      <c r="Y44" s="352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20"/>
      <c r="Q45" s="1134">
        <f t="shared" si="11"/>
        <v>111</v>
      </c>
      <c r="R45" s="1503" t="s">
        <v>8</v>
      </c>
      <c r="S45" s="1504">
        <f t="shared" si="12"/>
        <v>100</v>
      </c>
      <c r="T45" s="1503" t="s">
        <v>8</v>
      </c>
      <c r="U45" s="1504">
        <f t="shared" si="13"/>
        <v>100</v>
      </c>
      <c r="V45" s="1503" t="s">
        <v>8</v>
      </c>
      <c r="W45" s="1504">
        <f t="shared" si="14"/>
        <v>100</v>
      </c>
      <c r="X45" s="1505"/>
      <c r="Y45" s="352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20"/>
      <c r="Q46" s="1507">
        <f t="shared" si="11"/>
        <v>111</v>
      </c>
      <c r="R46" s="1508" t="s">
        <v>8</v>
      </c>
      <c r="S46" s="1509">
        <f t="shared" si="12"/>
        <v>100</v>
      </c>
      <c r="T46" s="1508" t="s">
        <v>8</v>
      </c>
      <c r="U46" s="1509">
        <f t="shared" si="13"/>
        <v>100</v>
      </c>
      <c r="V46" s="1508" t="s">
        <v>8</v>
      </c>
      <c r="W46" s="1509">
        <f t="shared" si="14"/>
        <v>100</v>
      </c>
      <c r="X46" s="1502"/>
      <c r="Y46" s="352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9"/>
      <c r="Q47" s="1507">
        <f t="shared" si="11"/>
        <v>111</v>
      </c>
      <c r="R47" s="1508" t="s">
        <v>8</v>
      </c>
      <c r="S47" s="1509">
        <f t="shared" si="12"/>
        <v>100</v>
      </c>
      <c r="T47" s="1508" t="s">
        <v>8</v>
      </c>
      <c r="U47" s="1509">
        <f t="shared" si="13"/>
        <v>100</v>
      </c>
      <c r="V47" s="1508" t="s">
        <v>8</v>
      </c>
      <c r="W47" s="1509">
        <f t="shared" si="14"/>
        <v>100</v>
      </c>
      <c r="X47" s="1502"/>
      <c r="Y47" s="357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81" t="str">
        <f>A48</f>
        <v>成交单价（元/平方米）</v>
      </c>
      <c r="Q48" s="3483"/>
      <c r="R48" s="3578">
        <f>E48</f>
        <v>0</v>
      </c>
      <c r="S48" s="3578"/>
      <c r="T48" s="3578">
        <f>G48</f>
        <v>0</v>
      </c>
      <c r="U48" s="3578"/>
      <c r="V48" s="3578">
        <f>I48</f>
        <v>0</v>
      </c>
      <c r="W48" s="3578"/>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481" t="str">
        <f>A49</f>
        <v>比较价格（元/平方米）</v>
      </c>
      <c r="Q49" s="3483"/>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05" t="str">
        <f>A50</f>
        <v>估价对象XX用房的比较价格（楼面单价，元/平方米）</v>
      </c>
      <c r="Q50" s="3481"/>
      <c r="R50" s="3577" t="e">
        <f>IF(F1="售价",ROUND(IF(D49="简单平均",AVERAGE(R49:V49),R49*F49+T49*H49+V49*J49),0),ROUND(IF(D49="简单平均",AVERAGE(R49:V49),R49*F49+T49*H49+V49*J49),1))</f>
        <v>#DIV/0!</v>
      </c>
      <c r="S50" s="3577"/>
      <c r="T50" s="3577"/>
      <c r="U50" s="3577"/>
      <c r="V50" s="3577"/>
      <c r="W50" s="3577"/>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2021-9</v>
      </c>
      <c r="D59" s="2522">
        <f>EDATE(C59,-1)</f>
        <v>44409</v>
      </c>
      <c r="E59" s="2522">
        <f t="shared" ref="E59:O59" si="16">EDATE(D59,-1)</f>
        <v>44378</v>
      </c>
      <c r="F59" s="2522">
        <f t="shared" si="16"/>
        <v>44348</v>
      </c>
      <c r="G59" s="2522">
        <f t="shared" si="16"/>
        <v>44317</v>
      </c>
      <c r="H59" s="2522">
        <f t="shared" si="16"/>
        <v>44287</v>
      </c>
      <c r="I59" s="2522">
        <f t="shared" si="16"/>
        <v>44256</v>
      </c>
      <c r="J59" s="2522">
        <f t="shared" si="16"/>
        <v>44228</v>
      </c>
      <c r="K59" s="2522">
        <f t="shared" si="16"/>
        <v>44197</v>
      </c>
      <c r="L59" s="2522">
        <f t="shared" si="16"/>
        <v>44166</v>
      </c>
      <c r="M59" s="2522">
        <f t="shared" si="16"/>
        <v>44136</v>
      </c>
      <c r="N59" s="2522">
        <f t="shared" si="16"/>
        <v>44105</v>
      </c>
      <c r="O59" s="2522">
        <f t="shared" si="16"/>
        <v>44075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9" t="s">
        <v>516</v>
      </c>
      <c r="D4" s="3490"/>
      <c r="E4" s="3523" t="s">
        <v>517</v>
      </c>
      <c r="F4" s="3524"/>
      <c r="G4" s="3489" t="s">
        <v>518</v>
      </c>
      <c r="H4" s="3490"/>
      <c r="I4" s="3489" t="s">
        <v>519</v>
      </c>
      <c r="J4" s="3490"/>
      <c r="K4" s="508"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7"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14"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7" t="s">
        <v>534</v>
      </c>
      <c r="Q15" s="1507" t="str">
        <f t="shared" si="6"/>
        <v>产业集聚程度</v>
      </c>
      <c r="R15" s="1508" t="s">
        <v>8</v>
      </c>
      <c r="S15" s="1509">
        <f t="shared" si="0"/>
        <v>100</v>
      </c>
      <c r="T15" s="1508" t="s">
        <v>8</v>
      </c>
      <c r="U15" s="1509">
        <f t="shared" si="1"/>
        <v>100</v>
      </c>
      <c r="V15" s="1508" t="s">
        <v>8</v>
      </c>
      <c r="W15" s="1509">
        <f t="shared" si="2"/>
        <v>100</v>
      </c>
      <c r="X15" s="1502"/>
      <c r="Y15" s="351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8"/>
      <c r="Q22" s="2430"/>
      <c r="R22" s="1508"/>
      <c r="S22" s="1509"/>
      <c r="T22" s="1508"/>
      <c r="U22" s="1509"/>
      <c r="V22" s="1508"/>
      <c r="W22" s="1509"/>
      <c r="X22" s="2432"/>
      <c r="Y22" s="351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8"/>
      <c r="Q23" s="1507" t="str">
        <f>B23</f>
        <v>环境质量</v>
      </c>
      <c r="R23" s="1508" t="s">
        <v>8</v>
      </c>
      <c r="S23" s="1509">
        <f>F23</f>
        <v>100</v>
      </c>
      <c r="T23" s="1508" t="s">
        <v>8</v>
      </c>
      <c r="U23" s="1509">
        <f>H23</f>
        <v>100</v>
      </c>
      <c r="V23" s="1508" t="s">
        <v>8</v>
      </c>
      <c r="W23" s="1509">
        <f>J23</f>
        <v>100</v>
      </c>
      <c r="X23" s="1502"/>
      <c r="Y23" s="351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8"/>
      <c r="Q25" s="1507">
        <f>B25</f>
        <v>111</v>
      </c>
      <c r="R25" s="1508" t="s">
        <v>8</v>
      </c>
      <c r="S25" s="1509">
        <f>F25</f>
        <v>100</v>
      </c>
      <c r="T25" s="1508" t="s">
        <v>8</v>
      </c>
      <c r="U25" s="1509">
        <f>H25</f>
        <v>100</v>
      </c>
      <c r="V25" s="1508" t="s">
        <v>8</v>
      </c>
      <c r="W25" s="1509">
        <f>J25</f>
        <v>100</v>
      </c>
      <c r="X25" s="1502"/>
      <c r="Y25" s="351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8"/>
      <c r="Q26" s="1507">
        <f t="shared" ref="Q26:Q40" si="11">B26</f>
        <v>111</v>
      </c>
      <c r="R26" s="1508" t="s">
        <v>8</v>
      </c>
      <c r="S26" s="1509">
        <f>F26</f>
        <v>100</v>
      </c>
      <c r="T26" s="1508" t="s">
        <v>8</v>
      </c>
      <c r="U26" s="1509">
        <f>H26</f>
        <v>100</v>
      </c>
      <c r="V26" s="1508" t="s">
        <v>8</v>
      </c>
      <c r="W26" s="1509">
        <f>J26</f>
        <v>100</v>
      </c>
      <c r="X26" s="1502"/>
      <c r="Y26" s="351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8"/>
      <c r="Q27" s="1134">
        <f t="shared" si="11"/>
        <v>111</v>
      </c>
      <c r="R27" s="1503" t="s">
        <v>8</v>
      </c>
      <c r="S27" s="1504">
        <f>F27</f>
        <v>100</v>
      </c>
      <c r="T27" s="1503" t="s">
        <v>8</v>
      </c>
      <c r="U27" s="1504">
        <f>H27</f>
        <v>100</v>
      </c>
      <c r="V27" s="1503" t="s">
        <v>8</v>
      </c>
      <c r="W27" s="1504">
        <f>J27</f>
        <v>100</v>
      </c>
      <c r="X27" s="1505"/>
      <c r="Y27" s="351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8"/>
      <c r="Q28" s="1507">
        <f t="shared" si="11"/>
        <v>111</v>
      </c>
      <c r="R28" s="1508" t="s">
        <v>8</v>
      </c>
      <c r="S28" s="1509">
        <f t="shared" ref="S28:S40" si="12">F28</f>
        <v>100</v>
      </c>
      <c r="T28" s="1508" t="s">
        <v>8</v>
      </c>
      <c r="U28" s="1509">
        <f t="shared" ref="U28:U40" si="13">H28</f>
        <v>100</v>
      </c>
      <c r="V28" s="1508" t="s">
        <v>8</v>
      </c>
      <c r="W28" s="1509">
        <f t="shared" ref="W28:W40" si="14">J28</f>
        <v>100</v>
      </c>
      <c r="X28" s="1502"/>
      <c r="Y28" s="351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9" t="s">
        <v>544</v>
      </c>
      <c r="Q29" s="1507" t="str">
        <f t="shared" si="11"/>
        <v>建筑类型</v>
      </c>
      <c r="R29" s="1508" t="s">
        <v>8</v>
      </c>
      <c r="S29" s="1509">
        <f t="shared" si="12"/>
        <v>100</v>
      </c>
      <c r="T29" s="1508" t="s">
        <v>8</v>
      </c>
      <c r="U29" s="1509">
        <f t="shared" si="13"/>
        <v>100</v>
      </c>
      <c r="V29" s="1508" t="s">
        <v>8</v>
      </c>
      <c r="W29" s="1509">
        <f t="shared" si="14"/>
        <v>100</v>
      </c>
      <c r="X29" s="1502"/>
      <c r="Y29" s="352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20"/>
      <c r="Q30" s="1536" t="str">
        <f t="shared" si="11"/>
        <v>项目建筑规模</v>
      </c>
      <c r="R30" s="1512" t="s">
        <v>8</v>
      </c>
      <c r="S30" s="1513" t="e">
        <f t="shared" si="12"/>
        <v>#N/A</v>
      </c>
      <c r="T30" s="1512" t="s">
        <v>8</v>
      </c>
      <c r="U30" s="1513" t="e">
        <f t="shared" si="13"/>
        <v>#N/A</v>
      </c>
      <c r="V30" s="1512" t="s">
        <v>8</v>
      </c>
      <c r="W30" s="1513" t="e">
        <f t="shared" si="14"/>
        <v>#N/A</v>
      </c>
      <c r="X30" s="1514"/>
      <c r="Y30" s="352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20"/>
      <c r="Q31" s="1507" t="str">
        <f t="shared" si="11"/>
        <v>建筑结构</v>
      </c>
      <c r="R31" s="1508" t="s">
        <v>8</v>
      </c>
      <c r="S31" s="1509">
        <f t="shared" si="12"/>
        <v>100</v>
      </c>
      <c r="T31" s="1508" t="s">
        <v>8</v>
      </c>
      <c r="U31" s="1509">
        <f t="shared" si="13"/>
        <v>100</v>
      </c>
      <c r="V31" s="1508" t="s">
        <v>8</v>
      </c>
      <c r="W31" s="1509">
        <f t="shared" si="14"/>
        <v>100</v>
      </c>
      <c r="X31" s="1502"/>
      <c r="Y31" s="352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20"/>
      <c r="Q32" s="1507" t="str">
        <f t="shared" si="11"/>
        <v>公共部分装修</v>
      </c>
      <c r="R32" s="1508" t="s">
        <v>8</v>
      </c>
      <c r="S32" s="1509">
        <f t="shared" si="12"/>
        <v>100</v>
      </c>
      <c r="T32" s="1508" t="s">
        <v>8</v>
      </c>
      <c r="U32" s="1509">
        <f t="shared" si="13"/>
        <v>100</v>
      </c>
      <c r="V32" s="1508" t="s">
        <v>8</v>
      </c>
      <c r="W32" s="1509">
        <f t="shared" si="14"/>
        <v>100</v>
      </c>
      <c r="X32" s="1502"/>
      <c r="Y32" s="352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20"/>
      <c r="Q33" s="1507" t="str">
        <f t="shared" si="11"/>
        <v>成新度</v>
      </c>
      <c r="R33" s="1508" t="s">
        <v>8</v>
      </c>
      <c r="S33" s="1509" t="e">
        <f t="shared" si="12"/>
        <v>#N/A</v>
      </c>
      <c r="T33" s="1508" t="s">
        <v>8</v>
      </c>
      <c r="U33" s="1509" t="e">
        <f t="shared" si="13"/>
        <v>#N/A</v>
      </c>
      <c r="V33" s="1508" t="s">
        <v>8</v>
      </c>
      <c r="W33" s="1509" t="e">
        <f t="shared" si="14"/>
        <v>#N/A</v>
      </c>
      <c r="X33" s="1502"/>
      <c r="Y33" s="352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20"/>
      <c r="Q34" s="1134" t="str">
        <f t="shared" si="11"/>
        <v>物业管理</v>
      </c>
      <c r="R34" s="1503" t="s">
        <v>8</v>
      </c>
      <c r="S34" s="1504">
        <f t="shared" si="12"/>
        <v>100</v>
      </c>
      <c r="T34" s="1503" t="s">
        <v>8</v>
      </c>
      <c r="U34" s="1504">
        <f t="shared" si="13"/>
        <v>100</v>
      </c>
      <c r="V34" s="1503" t="s">
        <v>8</v>
      </c>
      <c r="W34" s="1504">
        <f t="shared" si="14"/>
        <v>100</v>
      </c>
      <c r="X34" s="1505"/>
      <c r="Y34" s="352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20" t="s">
        <v>544</v>
      </c>
      <c r="Q35" s="1507" t="str">
        <f t="shared" si="11"/>
        <v>市政基础设施</v>
      </c>
      <c r="R35" s="1508" t="s">
        <v>8</v>
      </c>
      <c r="S35" s="1509">
        <f t="shared" si="12"/>
        <v>100</v>
      </c>
      <c r="T35" s="1508" t="s">
        <v>8</v>
      </c>
      <c r="U35" s="1509">
        <f t="shared" si="13"/>
        <v>100</v>
      </c>
      <c r="V35" s="1508" t="s">
        <v>8</v>
      </c>
      <c r="W35" s="1509">
        <f t="shared" si="14"/>
        <v>100</v>
      </c>
      <c r="X35" s="1502"/>
      <c r="Y35" s="352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20"/>
      <c r="Q36" s="1507" t="str">
        <f t="shared" si="11"/>
        <v>内部装修</v>
      </c>
      <c r="R36" s="1508" t="s">
        <v>8</v>
      </c>
      <c r="S36" s="1509">
        <f t="shared" si="12"/>
        <v>100</v>
      </c>
      <c r="T36" s="1508" t="s">
        <v>8</v>
      </c>
      <c r="U36" s="1509">
        <f t="shared" si="13"/>
        <v>100</v>
      </c>
      <c r="V36" s="1508" t="s">
        <v>8</v>
      </c>
      <c r="W36" s="1509">
        <f t="shared" si="14"/>
        <v>100</v>
      </c>
      <c r="X36" s="1502"/>
      <c r="Y36" s="352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20"/>
      <c r="Q37" s="1507" t="str">
        <f t="shared" si="11"/>
        <v>内部装修状况</v>
      </c>
      <c r="R37" s="1508" t="s">
        <v>8</v>
      </c>
      <c r="S37" s="1509">
        <f t="shared" si="12"/>
        <v>100</v>
      </c>
      <c r="T37" s="1508" t="s">
        <v>8</v>
      </c>
      <c r="U37" s="1509">
        <f t="shared" si="13"/>
        <v>100</v>
      </c>
      <c r="V37" s="1508" t="s">
        <v>8</v>
      </c>
      <c r="W37" s="1509">
        <f t="shared" si="14"/>
        <v>100</v>
      </c>
      <c r="X37" s="1502"/>
      <c r="Y37" s="352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20"/>
      <c r="Q38" s="1536">
        <f t="shared" si="11"/>
        <v>111</v>
      </c>
      <c r="R38" s="1512" t="s">
        <v>8</v>
      </c>
      <c r="S38" s="1513">
        <f t="shared" si="12"/>
        <v>100</v>
      </c>
      <c r="T38" s="1512" t="s">
        <v>8</v>
      </c>
      <c r="U38" s="1513">
        <f t="shared" si="13"/>
        <v>100</v>
      </c>
      <c r="V38" s="1512" t="s">
        <v>8</v>
      </c>
      <c r="W38" s="1513">
        <f t="shared" si="14"/>
        <v>100</v>
      </c>
      <c r="X38" s="1514"/>
      <c r="Y38" s="352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20"/>
      <c r="Q39" s="1507">
        <f t="shared" si="11"/>
        <v>111</v>
      </c>
      <c r="R39" s="1508" t="s">
        <v>8</v>
      </c>
      <c r="S39" s="1509">
        <f t="shared" si="12"/>
        <v>100</v>
      </c>
      <c r="T39" s="1508" t="s">
        <v>8</v>
      </c>
      <c r="U39" s="1509">
        <f t="shared" si="13"/>
        <v>100</v>
      </c>
      <c r="V39" s="1508" t="s">
        <v>8</v>
      </c>
      <c r="W39" s="1509">
        <f t="shared" si="14"/>
        <v>100</v>
      </c>
      <c r="X39" s="1502"/>
      <c r="Y39" s="352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9"/>
      <c r="Q40" s="1507">
        <f t="shared" si="11"/>
        <v>111</v>
      </c>
      <c r="R40" s="1508" t="s">
        <v>8</v>
      </c>
      <c r="S40" s="1509">
        <f t="shared" si="12"/>
        <v>100</v>
      </c>
      <c r="T40" s="1508" t="s">
        <v>8</v>
      </c>
      <c r="U40" s="1509">
        <f t="shared" si="13"/>
        <v>100</v>
      </c>
      <c r="V40" s="1508" t="s">
        <v>8</v>
      </c>
      <c r="W40" s="1509">
        <f t="shared" si="14"/>
        <v>100</v>
      </c>
      <c r="X40" s="1502"/>
      <c r="Y40" s="357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3" t="str">
        <f>A41</f>
        <v>成交单价（元/平方米）</v>
      </c>
      <c r="Q41" s="3483"/>
      <c r="R41" s="3578">
        <f>E41</f>
        <v>0</v>
      </c>
      <c r="S41" s="3578"/>
      <c r="T41" s="3578">
        <f>G41</f>
        <v>0</v>
      </c>
      <c r="U41" s="3578"/>
      <c r="V41" s="3578">
        <f>I41</f>
        <v>0</v>
      </c>
      <c r="W41" s="3578"/>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83" t="str">
        <f>A42</f>
        <v>比较价格（元/平方米）</v>
      </c>
      <c r="Q42" s="3483"/>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80" t="str">
        <f>A43</f>
        <v>估价对象XX用房的比较价格（楼面单价，元/平方米）</v>
      </c>
      <c r="Q43" s="3481"/>
      <c r="R43" s="3577" t="e">
        <f>IF(F1="售价",ROUND(IF(D42="简单平均",AVERAGE(R42:V42),R42*F42+T42*H42+V42*J42),0),ROUND(IF(D42="简单平均",AVERAGE(R42:V42),R42*F42+T42*H42+V42*J42),1))</f>
        <v>#DIV/0!</v>
      </c>
      <c r="S43" s="3577"/>
      <c r="T43" s="3577"/>
      <c r="U43" s="3577"/>
      <c r="V43" s="3577"/>
      <c r="W43" s="3577"/>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2021-9</v>
      </c>
      <c r="D52" s="2522">
        <f>EDATE(C52,-1)</f>
        <v>44409</v>
      </c>
      <c r="E52" s="2522">
        <f t="shared" ref="E52:O52" si="16">EDATE(D52,-1)</f>
        <v>44378</v>
      </c>
      <c r="F52" s="2522">
        <f t="shared" si="16"/>
        <v>44348</v>
      </c>
      <c r="G52" s="2522">
        <f t="shared" si="16"/>
        <v>44317</v>
      </c>
      <c r="H52" s="2522">
        <f t="shared" si="16"/>
        <v>44287</v>
      </c>
      <c r="I52" s="2522">
        <f t="shared" si="16"/>
        <v>44256</v>
      </c>
      <c r="J52" s="2522">
        <f t="shared" si="16"/>
        <v>44228</v>
      </c>
      <c r="K52" s="2522">
        <f t="shared" si="16"/>
        <v>44197</v>
      </c>
      <c r="L52" s="2522">
        <f t="shared" si="16"/>
        <v>44166</v>
      </c>
      <c r="M52" s="2522">
        <f t="shared" si="16"/>
        <v>44136</v>
      </c>
      <c r="N52" s="2522">
        <f t="shared" si="16"/>
        <v>44105</v>
      </c>
      <c r="O52" s="2522">
        <f t="shared" si="16"/>
        <v>44075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9" t="s">
        <v>792</v>
      </c>
      <c r="D4" s="3490"/>
      <c r="E4" s="3489" t="s">
        <v>793</v>
      </c>
      <c r="F4" s="3490"/>
      <c r="G4" s="3489" t="s">
        <v>794</v>
      </c>
      <c r="H4" s="3490"/>
      <c r="I4" s="3489" t="s">
        <v>795</v>
      </c>
      <c r="J4" s="3490"/>
      <c r="K4" s="508" t="s">
        <v>796</v>
      </c>
      <c r="L4" s="2016"/>
      <c r="M4" s="2017"/>
      <c r="N4" s="2017"/>
      <c r="O4" s="2017"/>
      <c r="P4" s="3491" t="s">
        <v>797</v>
      </c>
      <c r="Q4" s="3492"/>
      <c r="R4" s="3497" t="s">
        <v>793</v>
      </c>
      <c r="S4" s="3498"/>
      <c r="T4" s="3497" t="s">
        <v>794</v>
      </c>
      <c r="U4" s="3498"/>
      <c r="V4" s="3484" t="s">
        <v>795</v>
      </c>
      <c r="W4" s="3484"/>
      <c r="X4" s="1502"/>
      <c r="Y4" s="3497" t="s">
        <v>797</v>
      </c>
      <c r="Z4" s="3498"/>
      <c r="AA4" s="3486" t="s">
        <v>793</v>
      </c>
      <c r="AB4" s="3487" t="s">
        <v>794</v>
      </c>
      <c r="AC4" s="3486" t="s">
        <v>795</v>
      </c>
    </row>
    <row r="5" spans="1:29" ht="15">
      <c r="A5" s="509"/>
      <c r="B5" s="510"/>
      <c r="C5" s="3505" t="s">
        <v>2897</v>
      </c>
      <c r="D5" s="3506"/>
      <c r="E5" s="3505" t="s">
        <v>2898</v>
      </c>
      <c r="F5" s="350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07" t="s">
        <v>2901</v>
      </c>
      <c r="F6" s="3508"/>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14" t="s">
        <v>524</v>
      </c>
      <c r="Q7" s="3516"/>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2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2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7" t="s">
        <v>534</v>
      </c>
      <c r="Q14" s="1507" t="str">
        <f t="shared" si="6"/>
        <v>交通便捷度</v>
      </c>
      <c r="R14" s="1508" t="s">
        <v>8</v>
      </c>
      <c r="S14" s="1509">
        <f t="shared" si="0"/>
        <v>100</v>
      </c>
      <c r="T14" s="1508" t="s">
        <v>8</v>
      </c>
      <c r="U14" s="1509">
        <f t="shared" si="1"/>
        <v>100</v>
      </c>
      <c r="V14" s="1508" t="s">
        <v>8</v>
      </c>
      <c r="W14" s="1509">
        <f t="shared" si="2"/>
        <v>100</v>
      </c>
      <c r="X14" s="1502"/>
      <c r="Y14" s="351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8"/>
      <c r="Q15" s="1507"/>
      <c r="R15" s="1508"/>
      <c r="S15" s="1509"/>
      <c r="T15" s="1508"/>
      <c r="U15" s="1509"/>
      <c r="V15" s="1508"/>
      <c r="W15" s="1509"/>
      <c r="X15" s="1502"/>
      <c r="Y15" s="351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8"/>
      <c r="Q16" s="1507" t="str">
        <f>B16</f>
        <v>公共配套设施</v>
      </c>
      <c r="R16" s="1508" t="s">
        <v>8</v>
      </c>
      <c r="S16" s="1509">
        <f>F16</f>
        <v>100</v>
      </c>
      <c r="T16" s="1508" t="s">
        <v>8</v>
      </c>
      <c r="U16" s="1509">
        <f>H16</f>
        <v>100</v>
      </c>
      <c r="V16" s="1508" t="s">
        <v>8</v>
      </c>
      <c r="W16" s="1509">
        <f>J16</f>
        <v>100</v>
      </c>
      <c r="X16" s="1502"/>
      <c r="Y16" s="351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8"/>
      <c r="Q17" s="1507"/>
      <c r="R17" s="1508"/>
      <c r="S17" s="1509"/>
      <c r="T17" s="1508"/>
      <c r="U17" s="1509"/>
      <c r="V17" s="1508"/>
      <c r="W17" s="1509"/>
      <c r="X17" s="1502"/>
      <c r="Y17" s="351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8"/>
      <c r="Q18" s="2430" t="str">
        <f>B18</f>
        <v>基础设施水平</v>
      </c>
      <c r="R18" s="1508" t="s">
        <v>8</v>
      </c>
      <c r="S18" s="1509">
        <f>F18</f>
        <v>100</v>
      </c>
      <c r="T18" s="1508" t="s">
        <v>8</v>
      </c>
      <c r="U18" s="1509">
        <f>H18</f>
        <v>100</v>
      </c>
      <c r="V18" s="1508" t="s">
        <v>8</v>
      </c>
      <c r="W18" s="1509">
        <f>J18</f>
        <v>100</v>
      </c>
      <c r="X18" s="2432"/>
      <c r="Y18" s="351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8"/>
      <c r="Q19" s="2430"/>
      <c r="R19" s="1508"/>
      <c r="S19" s="1509"/>
      <c r="T19" s="1508"/>
      <c r="U19" s="1509"/>
      <c r="V19" s="1508"/>
      <c r="W19" s="1509"/>
      <c r="X19" s="2432"/>
      <c r="Y19" s="351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8"/>
      <c r="Q20" s="1507" t="str">
        <f>B20</f>
        <v>自然及人文环境</v>
      </c>
      <c r="R20" s="1508" t="s">
        <v>8</v>
      </c>
      <c r="S20" s="1509">
        <f>F20</f>
        <v>100</v>
      </c>
      <c r="T20" s="1508" t="s">
        <v>8</v>
      </c>
      <c r="U20" s="1509">
        <f>H20</f>
        <v>100</v>
      </c>
      <c r="V20" s="1508" t="s">
        <v>8</v>
      </c>
      <c r="W20" s="1509">
        <f>J20</f>
        <v>100</v>
      </c>
      <c r="X20" s="1502"/>
      <c r="Y20" s="351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8"/>
      <c r="Q21" s="1507"/>
      <c r="R21" s="1508"/>
      <c r="S21" s="1509"/>
      <c r="T21" s="1508"/>
      <c r="U21" s="1509"/>
      <c r="V21" s="1508"/>
      <c r="W21" s="1509"/>
      <c r="X21" s="1502"/>
      <c r="Y21" s="351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8"/>
      <c r="Q22" s="1507" t="str">
        <f>B22</f>
        <v>楼层</v>
      </c>
      <c r="R22" s="1508" t="s">
        <v>8</v>
      </c>
      <c r="S22" s="1509">
        <f>F22</f>
        <v>100</v>
      </c>
      <c r="T22" s="1508" t="s">
        <v>8</v>
      </c>
      <c r="U22" s="1509">
        <f>H22</f>
        <v>100</v>
      </c>
      <c r="V22" s="1508" t="s">
        <v>8</v>
      </c>
      <c r="W22" s="1509">
        <f>J22</f>
        <v>100</v>
      </c>
      <c r="X22" s="1502"/>
      <c r="Y22" s="351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8"/>
      <c r="Q23" s="1507">
        <f>B23</f>
        <v>111</v>
      </c>
      <c r="R23" s="1508" t="s">
        <v>8</v>
      </c>
      <c r="S23" s="1509">
        <f>F23</f>
        <v>100</v>
      </c>
      <c r="T23" s="1508" t="s">
        <v>8</v>
      </c>
      <c r="U23" s="1509">
        <f>H23</f>
        <v>100</v>
      </c>
      <c r="V23" s="1508" t="s">
        <v>8</v>
      </c>
      <c r="W23" s="1509">
        <f>J23</f>
        <v>100</v>
      </c>
      <c r="X23" s="1502"/>
      <c r="Y23" s="351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8"/>
      <c r="Q24" s="1507">
        <f t="shared" ref="Q24:Q36" si="11">B24</f>
        <v>111</v>
      </c>
      <c r="R24" s="1508" t="s">
        <v>8</v>
      </c>
      <c r="S24" s="1509">
        <f>F24</f>
        <v>100</v>
      </c>
      <c r="T24" s="1508" t="s">
        <v>8</v>
      </c>
      <c r="U24" s="1509">
        <f>H24</f>
        <v>100</v>
      </c>
      <c r="V24" s="1508" t="s">
        <v>8</v>
      </c>
      <c r="W24" s="1509">
        <f>J24</f>
        <v>100</v>
      </c>
      <c r="X24" s="1502"/>
      <c r="Y24" s="351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8"/>
      <c r="Q25" s="1134">
        <f t="shared" si="11"/>
        <v>111</v>
      </c>
      <c r="R25" s="1503" t="s">
        <v>8</v>
      </c>
      <c r="S25" s="1504">
        <f>F25</f>
        <v>100</v>
      </c>
      <c r="T25" s="1503" t="s">
        <v>8</v>
      </c>
      <c r="U25" s="1504">
        <f>H25</f>
        <v>100</v>
      </c>
      <c r="V25" s="1503" t="s">
        <v>8</v>
      </c>
      <c r="W25" s="1504">
        <f>J25</f>
        <v>100</v>
      </c>
      <c r="X25" s="1505"/>
      <c r="Y25" s="351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20"/>
      <c r="Q27" s="1536" t="str">
        <f t="shared" si="11"/>
        <v>项目停车位配比</v>
      </c>
      <c r="R27" s="1512" t="s">
        <v>8</v>
      </c>
      <c r="S27" s="1513">
        <f t="shared" si="12"/>
        <v>100</v>
      </c>
      <c r="T27" s="1512" t="s">
        <v>8</v>
      </c>
      <c r="U27" s="1513">
        <f t="shared" si="13"/>
        <v>100</v>
      </c>
      <c r="V27" s="1512" t="s">
        <v>8</v>
      </c>
      <c r="W27" s="1513">
        <f t="shared" si="14"/>
        <v>100</v>
      </c>
      <c r="X27" s="1514"/>
      <c r="Y27" s="352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20"/>
      <c r="Q28" s="1507" t="str">
        <f t="shared" si="11"/>
        <v>公共部分装修</v>
      </c>
      <c r="R28" s="1508" t="s">
        <v>8</v>
      </c>
      <c r="S28" s="1509">
        <f t="shared" si="12"/>
        <v>100</v>
      </c>
      <c r="T28" s="1508" t="s">
        <v>8</v>
      </c>
      <c r="U28" s="1509">
        <f t="shared" si="13"/>
        <v>100</v>
      </c>
      <c r="V28" s="1508" t="s">
        <v>8</v>
      </c>
      <c r="W28" s="1509">
        <f t="shared" si="14"/>
        <v>100</v>
      </c>
      <c r="X28" s="1502"/>
      <c r="Y28" s="352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20"/>
      <c r="Q29" s="1507" t="str">
        <f t="shared" si="11"/>
        <v>成新率</v>
      </c>
      <c r="R29" s="1508" t="s">
        <v>8</v>
      </c>
      <c r="S29" s="1509" t="e">
        <f t="shared" si="12"/>
        <v>#N/A</v>
      </c>
      <c r="T29" s="1508" t="s">
        <v>8</v>
      </c>
      <c r="U29" s="1509" t="e">
        <f t="shared" si="13"/>
        <v>#N/A</v>
      </c>
      <c r="V29" s="1508" t="s">
        <v>8</v>
      </c>
      <c r="W29" s="1509" t="e">
        <f t="shared" si="14"/>
        <v>#N/A</v>
      </c>
      <c r="X29" s="1502"/>
      <c r="Y29" s="352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20"/>
      <c r="Q30" s="1507" t="str">
        <f t="shared" si="11"/>
        <v>物业等级</v>
      </c>
      <c r="R30" s="1508" t="s">
        <v>8</v>
      </c>
      <c r="S30" s="1509">
        <f t="shared" si="12"/>
        <v>100</v>
      </c>
      <c r="T30" s="1508" t="s">
        <v>8</v>
      </c>
      <c r="U30" s="1509">
        <f t="shared" si="13"/>
        <v>100</v>
      </c>
      <c r="V30" s="1508" t="s">
        <v>8</v>
      </c>
      <c r="W30" s="1509">
        <f t="shared" si="14"/>
        <v>100</v>
      </c>
      <c r="X30" s="1502"/>
      <c r="Y30" s="352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20"/>
      <c r="Q31" s="1134" t="str">
        <f t="shared" si="11"/>
        <v>停车位面积</v>
      </c>
      <c r="R31" s="1503" t="s">
        <v>8</v>
      </c>
      <c r="S31" s="1504" t="e">
        <f t="shared" si="12"/>
        <v>#N/A</v>
      </c>
      <c r="T31" s="1503" t="s">
        <v>8</v>
      </c>
      <c r="U31" s="1504" t="e">
        <f t="shared" si="13"/>
        <v>#N/A</v>
      </c>
      <c r="V31" s="1503" t="s">
        <v>8</v>
      </c>
      <c r="W31" s="1504" t="e">
        <f t="shared" si="14"/>
        <v>#N/A</v>
      </c>
      <c r="X31" s="1505"/>
      <c r="Y31" s="352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20" t="s">
        <v>544</v>
      </c>
      <c r="Q32" s="1507" t="str">
        <f t="shared" si="11"/>
        <v>车位类型</v>
      </c>
      <c r="R32" s="1508" t="s">
        <v>8</v>
      </c>
      <c r="S32" s="1509">
        <f t="shared" si="12"/>
        <v>100</v>
      </c>
      <c r="T32" s="1508" t="s">
        <v>8</v>
      </c>
      <c r="U32" s="1509">
        <f t="shared" si="13"/>
        <v>100</v>
      </c>
      <c r="V32" s="1508" t="s">
        <v>8</v>
      </c>
      <c r="W32" s="1509">
        <f t="shared" si="14"/>
        <v>100</v>
      </c>
      <c r="X32" s="1502"/>
      <c r="Y32" s="352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20"/>
      <c r="Q33" s="1507" t="str">
        <f t="shared" si="11"/>
        <v>是否直接入户</v>
      </c>
      <c r="R33" s="1508" t="s">
        <v>8</v>
      </c>
      <c r="S33" s="1509">
        <f t="shared" si="12"/>
        <v>100</v>
      </c>
      <c r="T33" s="1508" t="s">
        <v>8</v>
      </c>
      <c r="U33" s="1509">
        <f t="shared" si="13"/>
        <v>100</v>
      </c>
      <c r="V33" s="1508" t="s">
        <v>8</v>
      </c>
      <c r="W33" s="1509">
        <f t="shared" si="14"/>
        <v>100</v>
      </c>
      <c r="X33" s="1502"/>
      <c r="Y33" s="352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20"/>
      <c r="Q34" s="1507">
        <f t="shared" si="11"/>
        <v>111</v>
      </c>
      <c r="R34" s="1508" t="s">
        <v>8</v>
      </c>
      <c r="S34" s="1509">
        <f t="shared" si="12"/>
        <v>100</v>
      </c>
      <c r="T34" s="1508" t="s">
        <v>8</v>
      </c>
      <c r="U34" s="1509">
        <f t="shared" si="13"/>
        <v>100</v>
      </c>
      <c r="V34" s="1508" t="s">
        <v>8</v>
      </c>
      <c r="W34" s="1509">
        <f t="shared" si="14"/>
        <v>100</v>
      </c>
      <c r="X34" s="1502"/>
      <c r="Y34" s="352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20"/>
      <c r="Q35" s="1536">
        <f t="shared" si="11"/>
        <v>111</v>
      </c>
      <c r="R35" s="1512" t="s">
        <v>8</v>
      </c>
      <c r="S35" s="1513">
        <f t="shared" si="12"/>
        <v>100</v>
      </c>
      <c r="T35" s="1512" t="s">
        <v>8</v>
      </c>
      <c r="U35" s="1513">
        <f t="shared" si="13"/>
        <v>100</v>
      </c>
      <c r="V35" s="1512" t="s">
        <v>8</v>
      </c>
      <c r="W35" s="1513">
        <f t="shared" si="14"/>
        <v>100</v>
      </c>
      <c r="X35" s="1514"/>
      <c r="Y35" s="352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20"/>
      <c r="Q36" s="1507">
        <f t="shared" si="11"/>
        <v>111</v>
      </c>
      <c r="R36" s="1508" t="s">
        <v>8</v>
      </c>
      <c r="S36" s="1509">
        <f t="shared" si="12"/>
        <v>100</v>
      </c>
      <c r="T36" s="1508" t="s">
        <v>8</v>
      </c>
      <c r="U36" s="1509">
        <f t="shared" si="13"/>
        <v>100</v>
      </c>
      <c r="V36" s="1508" t="s">
        <v>8</v>
      </c>
      <c r="W36" s="1509">
        <f t="shared" si="14"/>
        <v>100</v>
      </c>
      <c r="X36" s="1502"/>
      <c r="Y36" s="352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3" t="str">
        <f>A37</f>
        <v>成交单价</v>
      </c>
      <c r="Q37" s="3483"/>
      <c r="R37" s="3578">
        <f>E37</f>
        <v>0</v>
      </c>
      <c r="S37" s="3578"/>
      <c r="T37" s="3578">
        <f>G37</f>
        <v>0</v>
      </c>
      <c r="U37" s="3578"/>
      <c r="V37" s="3578">
        <f>I37</f>
        <v>0</v>
      </c>
      <c r="W37" s="3578"/>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83" t="str">
        <f>A38</f>
        <v>比较价格（元/平方米）</v>
      </c>
      <c r="Q38" s="3483"/>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80" t="str">
        <f>A39</f>
        <v>估价对象XX用房的比较价格（楼面单价，元/平方米）</v>
      </c>
      <c r="Q39" s="3481"/>
      <c r="R39" s="3577" t="e">
        <f>IF(F1="售价",ROUND(IF(D38="简单平均",AVERAGE(R38:W38),R38*F38+T38*H38+V38*J38),0),ROUND(IF(D38="简单平均",AVERAGE(R38:V38),R38*F38+T38*H38+V38*J38),1))</f>
        <v>#DIV/0!</v>
      </c>
      <c r="S39" s="3577"/>
      <c r="T39" s="3577"/>
      <c r="U39" s="3577"/>
      <c r="V39" s="3577"/>
      <c r="W39" s="3577"/>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2021-9</v>
      </c>
      <c r="D48" s="2522">
        <f>EDATE(C48,-1)</f>
        <v>44409</v>
      </c>
      <c r="E48" s="2522">
        <f t="shared" ref="E48:O48" si="16">EDATE(D48,-1)</f>
        <v>44378</v>
      </c>
      <c r="F48" s="2522">
        <f t="shared" si="16"/>
        <v>44348</v>
      </c>
      <c r="G48" s="2522">
        <f t="shared" si="16"/>
        <v>44317</v>
      </c>
      <c r="H48" s="2522">
        <f t="shared" si="16"/>
        <v>44287</v>
      </c>
      <c r="I48" s="2522">
        <f t="shared" si="16"/>
        <v>44256</v>
      </c>
      <c r="J48" s="2522">
        <f t="shared" si="16"/>
        <v>44228</v>
      </c>
      <c r="K48" s="2522">
        <f t="shared" si="16"/>
        <v>44197</v>
      </c>
      <c r="L48" s="2522">
        <f t="shared" si="16"/>
        <v>44166</v>
      </c>
      <c r="M48" s="2522">
        <f t="shared" si="16"/>
        <v>44136</v>
      </c>
      <c r="N48" s="2522">
        <f t="shared" si="16"/>
        <v>44105</v>
      </c>
      <c r="O48" s="2522">
        <f t="shared" si="16"/>
        <v>44075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9" t="s">
        <v>792</v>
      </c>
      <c r="D4" s="3490"/>
      <c r="E4" s="3523" t="s">
        <v>793</v>
      </c>
      <c r="F4" s="3524"/>
      <c r="G4" s="3489" t="s">
        <v>794</v>
      </c>
      <c r="H4" s="3490"/>
      <c r="I4" s="3489" t="s">
        <v>795</v>
      </c>
      <c r="J4" s="3490"/>
      <c r="K4" s="508" t="s">
        <v>796</v>
      </c>
      <c r="L4" s="2016"/>
      <c r="M4" s="2017"/>
      <c r="N4" s="2017"/>
      <c r="O4" s="2017"/>
      <c r="P4" s="3491" t="s">
        <v>797</v>
      </c>
      <c r="Q4" s="3492"/>
      <c r="R4" s="3497" t="s">
        <v>793</v>
      </c>
      <c r="S4" s="3498"/>
      <c r="T4" s="3497" t="s">
        <v>794</v>
      </c>
      <c r="U4" s="3498"/>
      <c r="V4" s="3484" t="s">
        <v>795</v>
      </c>
      <c r="W4" s="3484"/>
      <c r="X4" s="1502"/>
      <c r="Y4" s="3497" t="s">
        <v>797</v>
      </c>
      <c r="Z4" s="3498"/>
      <c r="AA4" s="3486" t="s">
        <v>793</v>
      </c>
      <c r="AB4" s="3487" t="s">
        <v>794</v>
      </c>
      <c r="AC4" s="3486" t="s">
        <v>795</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14" t="s">
        <v>524</v>
      </c>
      <c r="Q7" s="3516"/>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2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2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7" t="s">
        <v>534</v>
      </c>
      <c r="Q14" s="1507" t="str">
        <f t="shared" si="6"/>
        <v>交通便捷度</v>
      </c>
      <c r="R14" s="1508" t="s">
        <v>8</v>
      </c>
      <c r="S14" s="1509">
        <f t="shared" si="0"/>
        <v>100</v>
      </c>
      <c r="T14" s="1508" t="s">
        <v>8</v>
      </c>
      <c r="U14" s="1509">
        <f t="shared" si="1"/>
        <v>100</v>
      </c>
      <c r="V14" s="1508" t="s">
        <v>8</v>
      </c>
      <c r="W14" s="1509">
        <f t="shared" si="2"/>
        <v>100</v>
      </c>
      <c r="X14" s="1502"/>
      <c r="Y14" s="351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8"/>
      <c r="Q15" s="1507"/>
      <c r="R15" s="1508"/>
      <c r="S15" s="1509"/>
      <c r="T15" s="1508"/>
      <c r="U15" s="1509"/>
      <c r="V15" s="1508"/>
      <c r="W15" s="1509"/>
      <c r="X15" s="1502"/>
      <c r="Y15" s="351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8"/>
      <c r="Q16" s="1507" t="str">
        <f>B16</f>
        <v>公共配套设施</v>
      </c>
      <c r="R16" s="1508" t="s">
        <v>8</v>
      </c>
      <c r="S16" s="1509">
        <f>F16</f>
        <v>100</v>
      </c>
      <c r="T16" s="1508" t="s">
        <v>8</v>
      </c>
      <c r="U16" s="1509">
        <f>H16</f>
        <v>100</v>
      </c>
      <c r="V16" s="1508" t="s">
        <v>8</v>
      </c>
      <c r="W16" s="1509">
        <f>J16</f>
        <v>100</v>
      </c>
      <c r="X16" s="1502"/>
      <c r="Y16" s="351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8"/>
      <c r="Q17" s="1507"/>
      <c r="R17" s="1508"/>
      <c r="S17" s="1509"/>
      <c r="T17" s="1508"/>
      <c r="U17" s="1509"/>
      <c r="V17" s="1508"/>
      <c r="W17" s="1509"/>
      <c r="X17" s="1502"/>
      <c r="Y17" s="351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8"/>
      <c r="Q18" s="2430" t="str">
        <f>B18</f>
        <v>基础设施水平</v>
      </c>
      <c r="R18" s="1508" t="s">
        <v>8</v>
      </c>
      <c r="S18" s="1509">
        <f>F18</f>
        <v>100</v>
      </c>
      <c r="T18" s="1508" t="s">
        <v>8</v>
      </c>
      <c r="U18" s="1509">
        <f>H18</f>
        <v>100</v>
      </c>
      <c r="V18" s="1508" t="s">
        <v>8</v>
      </c>
      <c r="W18" s="1509">
        <f>J18</f>
        <v>100</v>
      </c>
      <c r="X18" s="2432"/>
      <c r="Y18" s="351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8"/>
      <c r="Q19" s="2430"/>
      <c r="R19" s="1508"/>
      <c r="S19" s="1509"/>
      <c r="T19" s="1508"/>
      <c r="U19" s="1509"/>
      <c r="V19" s="1508"/>
      <c r="W19" s="1509"/>
      <c r="X19" s="2432"/>
      <c r="Y19" s="351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8"/>
      <c r="Q20" s="1507" t="str">
        <f>B20</f>
        <v>自然及人文环境</v>
      </c>
      <c r="R20" s="1508" t="s">
        <v>8</v>
      </c>
      <c r="S20" s="1509">
        <f>F20</f>
        <v>100</v>
      </c>
      <c r="T20" s="1508" t="s">
        <v>8</v>
      </c>
      <c r="U20" s="1509">
        <f>H20</f>
        <v>100</v>
      </c>
      <c r="V20" s="1508" t="s">
        <v>8</v>
      </c>
      <c r="W20" s="1509">
        <f>J20</f>
        <v>100</v>
      </c>
      <c r="X20" s="1502"/>
      <c r="Y20" s="351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8"/>
      <c r="Q21" s="1507"/>
      <c r="R21" s="1508"/>
      <c r="S21" s="1509"/>
      <c r="T21" s="1508"/>
      <c r="U21" s="1509"/>
      <c r="V21" s="1508"/>
      <c r="W21" s="1509"/>
      <c r="X21" s="1502"/>
      <c r="Y21" s="351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8"/>
      <c r="Q22" s="1507" t="str">
        <f>B22</f>
        <v>楼层</v>
      </c>
      <c r="R22" s="1508" t="s">
        <v>8</v>
      </c>
      <c r="S22" s="1509">
        <f>F22</f>
        <v>100</v>
      </c>
      <c r="T22" s="1508" t="s">
        <v>8</v>
      </c>
      <c r="U22" s="1509">
        <f>H22</f>
        <v>100</v>
      </c>
      <c r="V22" s="1508" t="s">
        <v>8</v>
      </c>
      <c r="W22" s="1509">
        <f>J22</f>
        <v>100</v>
      </c>
      <c r="X22" s="1502"/>
      <c r="Y22" s="351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8"/>
      <c r="Q23" s="1507">
        <f>B23</f>
        <v>111</v>
      </c>
      <c r="R23" s="1508" t="s">
        <v>8</v>
      </c>
      <c r="S23" s="1509">
        <f>F23</f>
        <v>100</v>
      </c>
      <c r="T23" s="1508" t="s">
        <v>8</v>
      </c>
      <c r="U23" s="1509">
        <f>H23</f>
        <v>100</v>
      </c>
      <c r="V23" s="1508" t="s">
        <v>8</v>
      </c>
      <c r="W23" s="1509">
        <f>J23</f>
        <v>100</v>
      </c>
      <c r="X23" s="1502"/>
      <c r="Y23" s="351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8"/>
      <c r="Q24" s="1507">
        <f t="shared" ref="Q24:Q34" si="11">B24</f>
        <v>111</v>
      </c>
      <c r="R24" s="1508" t="s">
        <v>8</v>
      </c>
      <c r="S24" s="1509">
        <f>F24</f>
        <v>100</v>
      </c>
      <c r="T24" s="1508" t="s">
        <v>8</v>
      </c>
      <c r="U24" s="1509">
        <f>H24</f>
        <v>100</v>
      </c>
      <c r="V24" s="1508" t="s">
        <v>8</v>
      </c>
      <c r="W24" s="1509">
        <f>J24</f>
        <v>100</v>
      </c>
      <c r="X24" s="1502"/>
      <c r="Y24" s="351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8"/>
      <c r="Q25" s="1134">
        <f t="shared" si="11"/>
        <v>111</v>
      </c>
      <c r="R25" s="1503" t="s">
        <v>8</v>
      </c>
      <c r="S25" s="1504">
        <f>F25</f>
        <v>100</v>
      </c>
      <c r="T25" s="1503" t="s">
        <v>8</v>
      </c>
      <c r="U25" s="1504">
        <f>H25</f>
        <v>100</v>
      </c>
      <c r="V25" s="1503" t="s">
        <v>8</v>
      </c>
      <c r="W25" s="1504">
        <f>J25</f>
        <v>100</v>
      </c>
      <c r="X25" s="1505"/>
      <c r="Y25" s="351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20"/>
      <c r="Q27" s="1536" t="str">
        <f t="shared" si="11"/>
        <v>成新率</v>
      </c>
      <c r="R27" s="1512" t="s">
        <v>8</v>
      </c>
      <c r="S27" s="1513" t="e">
        <f t="shared" si="12"/>
        <v>#N/A</v>
      </c>
      <c r="T27" s="1512" t="s">
        <v>8</v>
      </c>
      <c r="U27" s="1513" t="e">
        <f t="shared" si="13"/>
        <v>#N/A</v>
      </c>
      <c r="V27" s="1512" t="s">
        <v>8</v>
      </c>
      <c r="W27" s="1513" t="e">
        <f t="shared" si="14"/>
        <v>#N/A</v>
      </c>
      <c r="X27" s="1514"/>
      <c r="Y27" s="352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20"/>
      <c r="Q28" s="1507" t="str">
        <f t="shared" si="11"/>
        <v>物业等级</v>
      </c>
      <c r="R28" s="1508" t="s">
        <v>8</v>
      </c>
      <c r="S28" s="1509">
        <f t="shared" si="12"/>
        <v>100</v>
      </c>
      <c r="T28" s="1508" t="s">
        <v>8</v>
      </c>
      <c r="U28" s="1509">
        <f t="shared" si="13"/>
        <v>100</v>
      </c>
      <c r="V28" s="1508" t="s">
        <v>8</v>
      </c>
      <c r="W28" s="1509">
        <f t="shared" si="14"/>
        <v>100</v>
      </c>
      <c r="X28" s="1502"/>
      <c r="Y28" s="352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20"/>
      <c r="Q29" s="1507" t="str">
        <f t="shared" si="11"/>
        <v>有无电梯</v>
      </c>
      <c r="R29" s="1508" t="s">
        <v>8</v>
      </c>
      <c r="S29" s="1509">
        <f t="shared" si="12"/>
        <v>100</v>
      </c>
      <c r="T29" s="1508" t="s">
        <v>8</v>
      </c>
      <c r="U29" s="1509">
        <f t="shared" si="13"/>
        <v>100</v>
      </c>
      <c r="V29" s="1508" t="s">
        <v>8</v>
      </c>
      <c r="W29" s="1509">
        <f t="shared" si="14"/>
        <v>100</v>
      </c>
      <c r="X29" s="1502"/>
      <c r="Y29" s="352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20"/>
      <c r="Q30" s="1507" t="str">
        <f t="shared" si="11"/>
        <v>建筑面积</v>
      </c>
      <c r="R30" s="1508" t="s">
        <v>8</v>
      </c>
      <c r="S30" s="1509" t="e">
        <f t="shared" si="12"/>
        <v>#N/A</v>
      </c>
      <c r="T30" s="1508" t="s">
        <v>8</v>
      </c>
      <c r="U30" s="1509" t="e">
        <f t="shared" si="13"/>
        <v>#N/A</v>
      </c>
      <c r="V30" s="1508" t="s">
        <v>8</v>
      </c>
      <c r="W30" s="1509" t="e">
        <f t="shared" si="14"/>
        <v>#N/A</v>
      </c>
      <c r="X30" s="1502"/>
      <c r="Y30" s="352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20"/>
      <c r="Q31" s="1134" t="str">
        <f t="shared" si="11"/>
        <v>是否封闭</v>
      </c>
      <c r="R31" s="1503" t="s">
        <v>8</v>
      </c>
      <c r="S31" s="1504">
        <f t="shared" si="12"/>
        <v>100</v>
      </c>
      <c r="T31" s="1503" t="s">
        <v>8</v>
      </c>
      <c r="U31" s="1504">
        <f t="shared" si="13"/>
        <v>100</v>
      </c>
      <c r="V31" s="1503" t="s">
        <v>8</v>
      </c>
      <c r="W31" s="1504">
        <f t="shared" si="14"/>
        <v>100</v>
      </c>
      <c r="X31" s="1505"/>
      <c r="Y31" s="352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20" t="s">
        <v>544</v>
      </c>
      <c r="Q32" s="1507">
        <f t="shared" si="11"/>
        <v>111</v>
      </c>
      <c r="R32" s="1508" t="s">
        <v>8</v>
      </c>
      <c r="S32" s="1509">
        <f t="shared" si="12"/>
        <v>100</v>
      </c>
      <c r="T32" s="1508" t="s">
        <v>8</v>
      </c>
      <c r="U32" s="1509">
        <f t="shared" si="13"/>
        <v>100</v>
      </c>
      <c r="V32" s="1508" t="s">
        <v>8</v>
      </c>
      <c r="W32" s="1509">
        <f t="shared" si="14"/>
        <v>100</v>
      </c>
      <c r="X32" s="1502"/>
      <c r="Y32" s="352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20"/>
      <c r="Q33" s="1507">
        <f t="shared" si="11"/>
        <v>111</v>
      </c>
      <c r="R33" s="1508" t="s">
        <v>8</v>
      </c>
      <c r="S33" s="1509">
        <f t="shared" si="12"/>
        <v>100</v>
      </c>
      <c r="T33" s="1508" t="s">
        <v>8</v>
      </c>
      <c r="U33" s="1509">
        <f t="shared" si="13"/>
        <v>100</v>
      </c>
      <c r="V33" s="1508" t="s">
        <v>8</v>
      </c>
      <c r="W33" s="1509">
        <f t="shared" si="14"/>
        <v>100</v>
      </c>
      <c r="X33" s="1502"/>
      <c r="Y33" s="352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20"/>
      <c r="Q34" s="1507">
        <f t="shared" si="11"/>
        <v>111</v>
      </c>
      <c r="R34" s="1508" t="s">
        <v>8</v>
      </c>
      <c r="S34" s="1509">
        <f t="shared" si="12"/>
        <v>100</v>
      </c>
      <c r="T34" s="1508" t="s">
        <v>8</v>
      </c>
      <c r="U34" s="1509">
        <f t="shared" si="13"/>
        <v>100</v>
      </c>
      <c r="V34" s="1508" t="s">
        <v>8</v>
      </c>
      <c r="W34" s="1509">
        <f t="shared" si="14"/>
        <v>100</v>
      </c>
      <c r="X34" s="1502"/>
      <c r="Y34" s="352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3" t="str">
        <f>A35</f>
        <v>成交单价（元/平方米）</v>
      </c>
      <c r="Q35" s="3483"/>
      <c r="R35" s="3578">
        <f>E35</f>
        <v>0</v>
      </c>
      <c r="S35" s="3578"/>
      <c r="T35" s="3578">
        <f>G35</f>
        <v>0</v>
      </c>
      <c r="U35" s="3578"/>
      <c r="V35" s="3578">
        <f>I35</f>
        <v>0</v>
      </c>
      <c r="W35" s="3578"/>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83" t="str">
        <f>A36</f>
        <v>比较价格（元/平方米）</v>
      </c>
      <c r="Q36" s="3483"/>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80" t="str">
        <f>A37</f>
        <v>估价对象XX用房的比较价格（楼面单价，元/平方米）</v>
      </c>
      <c r="Q37" s="3481"/>
      <c r="R37" s="3577" t="e">
        <f>IF(F1="售价",ROUND(IF(D36="简单平均",AVERAGE(R36:W36),R36*F36+T36*H36+V36*J36),0),ROUND(IF(D36="简单平均",AVERAGE(R36:V36),R36*F36+T36*H36+V36*J36),1))</f>
        <v>#DIV/0!</v>
      </c>
      <c r="S37" s="3577"/>
      <c r="T37" s="3577"/>
      <c r="U37" s="3577"/>
      <c r="V37" s="3577"/>
      <c r="W37" s="3577"/>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2021-9</v>
      </c>
      <c r="D46" s="2522">
        <f>EDATE(C46,-1)</f>
        <v>44409</v>
      </c>
      <c r="E46" s="2522">
        <f t="shared" ref="E46:O46" si="16">EDATE(D46,-1)</f>
        <v>44378</v>
      </c>
      <c r="F46" s="2522">
        <f t="shared" si="16"/>
        <v>44348</v>
      </c>
      <c r="G46" s="2522">
        <f t="shared" si="16"/>
        <v>44317</v>
      </c>
      <c r="H46" s="2522">
        <f t="shared" si="16"/>
        <v>44287</v>
      </c>
      <c r="I46" s="2522">
        <f t="shared" si="16"/>
        <v>44256</v>
      </c>
      <c r="J46" s="2522">
        <f t="shared" si="16"/>
        <v>44228</v>
      </c>
      <c r="K46" s="2522">
        <f t="shared" si="16"/>
        <v>44197</v>
      </c>
      <c r="L46" s="2522">
        <f t="shared" si="16"/>
        <v>44166</v>
      </c>
      <c r="M46" s="2522">
        <f t="shared" si="16"/>
        <v>44136</v>
      </c>
      <c r="N46" s="2522">
        <f t="shared" si="16"/>
        <v>44105</v>
      </c>
      <c r="O46" s="2522">
        <f t="shared" si="16"/>
        <v>44075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2" t="s">
        <v>2292</v>
      </c>
      <c r="D1" s="3613"/>
      <c r="E1" s="3613"/>
      <c r="F1" s="3613"/>
      <c r="G1" s="3613"/>
      <c r="H1" s="3613"/>
      <c r="I1" s="3613"/>
      <c r="J1" s="3613"/>
      <c r="K1" s="3613"/>
      <c r="L1" s="3613"/>
      <c r="M1" s="3613"/>
      <c r="N1" s="3613"/>
      <c r="O1" s="3613"/>
      <c r="P1" s="3613"/>
      <c r="Q1" s="3613"/>
      <c r="R1" s="3613"/>
      <c r="S1" s="3614"/>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9" t="s">
        <v>20</v>
      </c>
      <c r="D22" s="3610"/>
      <c r="E22" s="3610"/>
      <c r="F22" s="3610"/>
      <c r="G22" s="3610"/>
      <c r="H22" s="3610"/>
      <c r="I22" s="3610"/>
      <c r="J22" s="3610"/>
      <c r="K22" s="3610"/>
      <c r="L22" s="3610"/>
      <c r="M22" s="3610"/>
      <c r="N22" s="3610"/>
      <c r="O22" s="3610"/>
      <c r="P22" s="3610"/>
      <c r="Q22" s="3611"/>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44468</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2</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1" sqref="N2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2027</v>
      </c>
      <c r="B1" s="3309"/>
      <c r="C1" s="3309"/>
      <c r="D1" s="3309"/>
      <c r="E1" s="3309"/>
      <c r="F1" s="3309"/>
      <c r="G1" s="3309"/>
      <c r="H1" s="3309"/>
      <c r="I1" s="3309"/>
      <c r="J1" s="3309"/>
      <c r="K1" s="3309"/>
      <c r="L1" s="3309"/>
      <c r="M1" s="3309"/>
      <c r="N1" s="3309"/>
      <c r="O1" s="3309"/>
      <c r="P1" s="3309"/>
      <c r="Q1" s="3309"/>
      <c r="R1" s="3309"/>
    </row>
    <row r="2" spans="1:18">
      <c r="A2" s="1723" t="s">
        <v>2029</v>
      </c>
      <c r="B2" s="1723"/>
      <c r="C2" s="1723"/>
      <c r="D2" s="1723"/>
      <c r="E2" s="1723"/>
      <c r="F2" s="1723"/>
      <c r="G2" s="1723"/>
      <c r="H2" s="1723"/>
      <c r="I2" s="1724"/>
      <c r="J2" s="1724"/>
      <c r="K2" s="1725" t="str">
        <f>"估价期日："&amp;TEXT(项目基本情况!D3,"yyyy年m月d日;;")</f>
        <v>估价期日：2021年9月29日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0" t="s">
        <v>2018</v>
      </c>
      <c r="B3" s="3310" t="s">
        <v>2711</v>
      </c>
      <c r="C3" s="3311" t="s">
        <v>2019</v>
      </c>
      <c r="D3" s="3310" t="s">
        <v>2715</v>
      </c>
      <c r="E3" s="3313" t="s">
        <v>2020</v>
      </c>
      <c r="F3" s="3313"/>
      <c r="G3" s="3313"/>
      <c r="H3" s="3313" t="s">
        <v>2021</v>
      </c>
      <c r="I3" s="3313"/>
      <c r="J3" s="3313"/>
      <c r="K3" s="3311" t="s">
        <v>2022</v>
      </c>
      <c r="L3" s="3311" t="s">
        <v>2023</v>
      </c>
      <c r="M3" s="3310" t="s">
        <v>2712</v>
      </c>
      <c r="N3" s="3312" t="str">
        <f>"（分摊）"&amp;项目基本情况!B16&amp;"国有建设用地使用权面积/㎡"</f>
        <v>（分摊）出让国有建设用地使用权面积/㎡</v>
      </c>
      <c r="O3" s="3310" t="s">
        <v>2052</v>
      </c>
      <c r="P3" s="3311" t="s">
        <v>2032</v>
      </c>
      <c r="Q3" s="3311" t="s">
        <v>2053</v>
      </c>
      <c r="R3" s="3311" t="s">
        <v>2024</v>
      </c>
    </row>
    <row r="4" spans="1:18" ht="36.75" customHeight="1">
      <c r="A4" s="3310"/>
      <c r="B4" s="3310"/>
      <c r="C4" s="3311"/>
      <c r="D4" s="3310"/>
      <c r="E4" s="2492" t="s">
        <v>2031</v>
      </c>
      <c r="F4" s="2492" t="s">
        <v>2724</v>
      </c>
      <c r="G4" s="2492" t="s">
        <v>2025</v>
      </c>
      <c r="H4" s="2492" t="s">
        <v>2026</v>
      </c>
      <c r="I4" s="2492" t="s">
        <v>2725</v>
      </c>
      <c r="J4" s="2492" t="s">
        <v>2025</v>
      </c>
      <c r="K4" s="3311"/>
      <c r="L4" s="3311"/>
      <c r="M4" s="3310"/>
      <c r="N4" s="3312"/>
      <c r="O4" s="3310"/>
      <c r="P4" s="3311"/>
      <c r="Q4" s="3311"/>
      <c r="R4" s="3311"/>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118010.9</v>
      </c>
      <c r="O5" s="1726">
        <f>项目基本情况!C21</f>
        <v>229142.34999999998</v>
      </c>
      <c r="P5" s="1726">
        <f ca="1">结果表!E42</f>
        <v>3940</v>
      </c>
      <c r="Q5" s="1726">
        <f ca="1">结果表!D42</f>
        <v>2029</v>
      </c>
      <c r="R5" s="1727">
        <f ca="1">结果表!C42</f>
        <v>46494</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8">
        <f ca="1">结果表!O39</f>
        <v>46494</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8" t="str">
        <f>结果表!O40</f>
        <v>——</v>
      </c>
    </row>
    <row r="8" spans="1:18">
      <c r="A8" s="3306">
        <f>IF(项目基本情况!B9="市场价格","——",项目基本情况!E9)</f>
        <v>0</v>
      </c>
      <c r="B8" s="3307"/>
      <c r="C8" s="3307"/>
      <c r="D8" s="3307"/>
      <c r="E8" s="3307"/>
      <c r="F8" s="3307"/>
      <c r="G8" s="3307"/>
      <c r="H8" s="3307"/>
      <c r="I8" s="3307"/>
      <c r="J8" s="3307"/>
      <c r="K8" s="3307"/>
      <c r="L8" s="3307"/>
      <c r="M8" s="3307"/>
      <c r="N8" s="3307"/>
      <c r="O8" s="3307"/>
      <c r="P8" s="3307"/>
      <c r="Q8" s="3308"/>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2726</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5" t="s">
        <v>2679</v>
      </c>
      <c r="B23" s="3315"/>
      <c r="C23" s="3315"/>
      <c r="D23" s="3315"/>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6" t="s">
        <v>53</v>
      </c>
      <c r="B15" s="3327" t="s">
        <v>838</v>
      </c>
      <c r="C15" s="3323"/>
    </row>
    <row r="16" spans="1:7" ht="14.25">
      <c r="A16" s="3326"/>
      <c r="B16" s="3324" t="s">
        <v>54</v>
      </c>
      <c r="C16" s="1155" t="s">
        <v>53</v>
      </c>
    </row>
    <row r="17" spans="1:3" ht="14.25">
      <c r="A17" s="3326"/>
      <c r="B17" s="3324"/>
      <c r="C17" s="1155" t="s">
        <v>55</v>
      </c>
    </row>
    <row r="18" spans="1:3" ht="14.25">
      <c r="A18" s="3326"/>
      <c r="B18" s="3324"/>
      <c r="C18" s="1155" t="s">
        <v>56</v>
      </c>
    </row>
    <row r="19" spans="1:3" ht="14.25">
      <c r="A19" s="3326"/>
      <c r="B19" s="3322" t="s">
        <v>57</v>
      </c>
      <c r="C19" s="3323"/>
    </row>
    <row r="20" spans="1:3" ht="14.25">
      <c r="A20" s="1156" t="s">
        <v>58</v>
      </c>
      <c r="B20" s="1157"/>
      <c r="C20" s="115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9" t="s">
        <v>829</v>
      </c>
    </row>
    <row r="25" spans="1:3" ht="14.25">
      <c r="A25" s="3325"/>
      <c r="B25" s="3329"/>
      <c r="C25" s="1159" t="s">
        <v>830</v>
      </c>
    </row>
    <row r="26" spans="1:3" ht="14.25">
      <c r="A26" s="3325"/>
      <c r="B26" s="3329"/>
      <c r="C26" s="1159" t="s">
        <v>831</v>
      </c>
    </row>
    <row r="27" spans="1:3" ht="14.25">
      <c r="A27" s="3325"/>
      <c r="B27" s="3329"/>
      <c r="C27" s="1159" t="s">
        <v>832</v>
      </c>
    </row>
    <row r="28" spans="1:3" ht="14.25">
      <c r="A28" s="3325"/>
      <c r="B28" s="3329"/>
      <c r="C28" s="1159" t="s">
        <v>833</v>
      </c>
    </row>
    <row r="29" spans="1:3" ht="14.25">
      <c r="A29" s="3325"/>
      <c r="B29" s="3329"/>
      <c r="C29" s="1159" t="s">
        <v>834</v>
      </c>
    </row>
    <row r="30" spans="1:3" ht="14.25">
      <c r="A30" s="3325"/>
      <c r="B30" s="3329"/>
      <c r="C30" s="1159" t="s">
        <v>835</v>
      </c>
    </row>
    <row r="31" spans="1:3" ht="14.25">
      <c r="A31" s="3325"/>
      <c r="B31" s="3329"/>
      <c r="C31" s="1159" t="s">
        <v>836</v>
      </c>
    </row>
    <row r="32" spans="1:3" ht="14.25">
      <c r="A32" s="3325"/>
      <c r="B32" s="3329"/>
      <c r="C32" s="1159" t="s">
        <v>1637</v>
      </c>
    </row>
    <row r="33" spans="1:3" ht="14.25">
      <c r="A33" s="3325"/>
      <c r="B33" s="3319" t="s">
        <v>1643</v>
      </c>
      <c r="C33" s="1159" t="s">
        <v>1638</v>
      </c>
    </row>
    <row r="34" spans="1:3" ht="14.25">
      <c r="A34" s="3325"/>
      <c r="B34" s="3320"/>
      <c r="C34" s="1164" t="s">
        <v>1639</v>
      </c>
    </row>
    <row r="35" spans="1:3" ht="14.25">
      <c r="A35" s="3325"/>
      <c r="B35" s="3320"/>
      <c r="C35" s="1165" t="s">
        <v>1640</v>
      </c>
    </row>
    <row r="36" spans="1:3" ht="14.25">
      <c r="A36" s="3325"/>
      <c r="B36" s="3320"/>
      <c r="C36" s="1165" t="s">
        <v>1641</v>
      </c>
    </row>
    <row r="37" spans="1:3" ht="14.25">
      <c r="A37" s="3325"/>
      <c r="B37" s="332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c r="D53" s="1686"/>
      <c r="E53" s="1686"/>
    </row>
    <row r="54" spans="1:5">
      <c r="A54" s="333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180</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不动产比较法-废弃</vt:lpstr>
      <vt:lpstr>不动产比较法-别墅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'不动产比较法-废弃'!Print_Area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'不动产比较法-废弃'!住宅朝向</vt:lpstr>
      <vt:lpstr>住宅朝向</vt:lpstr>
      <vt:lpstr>'不动产比较法-别墅'!住宅房型</vt:lpstr>
      <vt:lpstr>'不动产比较法-废弃'!住宅房型</vt:lpstr>
      <vt:lpstr>住宅房型</vt:lpstr>
      <vt:lpstr>'不动产比较法-别墅'!住宅公共部分装修</vt:lpstr>
      <vt:lpstr>'不动产比较法-废弃'!住宅公共部分装修</vt:lpstr>
      <vt:lpstr>住宅公共部分装修</vt:lpstr>
      <vt:lpstr>'不动产比较法-别墅'!住宅基础设施水平</vt:lpstr>
      <vt:lpstr>'不动产比较法-废弃'!住宅基础设施水平</vt:lpstr>
      <vt:lpstr>住宅基础设施水平</vt:lpstr>
      <vt:lpstr>'不动产比较法-别墅'!住宅建筑结构</vt:lpstr>
      <vt:lpstr>'不动产比较法-废弃'!住宅建筑结构</vt:lpstr>
      <vt:lpstr>住宅建筑结构</vt:lpstr>
      <vt:lpstr>'不动产比较法-别墅'!住宅建筑类型</vt:lpstr>
      <vt:lpstr>'不动产比较法-废弃'!住宅建筑类型</vt:lpstr>
      <vt:lpstr>住宅建筑类型</vt:lpstr>
      <vt:lpstr>'不动产比较法-别墅'!住宅建筑品质</vt:lpstr>
      <vt:lpstr>'不动产比较法-废弃'!住宅建筑品质</vt:lpstr>
      <vt:lpstr>住宅建筑品质</vt:lpstr>
      <vt:lpstr>'不动产比较法-别墅'!住宅交易情况</vt:lpstr>
      <vt:lpstr>'不动产比较法-废弃'!住宅交易情况</vt:lpstr>
      <vt:lpstr>住宅交易情况</vt:lpstr>
      <vt:lpstr>'不动产比较法-别墅'!住宅楼层</vt:lpstr>
      <vt:lpstr>'不动产比较法-废弃'!住宅楼层</vt:lpstr>
      <vt:lpstr>住宅楼层</vt:lpstr>
      <vt:lpstr>'不动产比较法-别墅'!住宅内部装修</vt:lpstr>
      <vt:lpstr>'不动产比较法-废弃'!住宅内部装修</vt:lpstr>
      <vt:lpstr>住宅内部装修</vt:lpstr>
      <vt:lpstr>'不动产比较法-别墅'!住宅物业管理</vt:lpstr>
      <vt:lpstr>'不动产比较法-废弃'!住宅物业管理</vt:lpstr>
      <vt:lpstr>住宅物业管理</vt:lpstr>
      <vt:lpstr>'不动产比较法-别墅'!住宅用途</vt:lpstr>
      <vt:lpstr>'不动产比较法-废弃'!住宅用途</vt:lpstr>
      <vt:lpstr>住宅用途</vt:lpstr>
      <vt:lpstr>'不动产比较法-别墅'!住宅主力户型面积</vt:lpstr>
      <vt:lpstr>'不动产比较法-废弃'!住宅主力户型面积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2021-09-30T03:44:15Z</dcterms:modified>
</cp:coreProperties>
</file>