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44" activeTab="44"/>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结果表 (商业无租约）" sheetId="87" state="hidden" r:id="rId23"/>
    <sheet name="结果表 (商业有租约)" sheetId="81" state="hidden" r:id="rId24"/>
    <sheet name="比较法-办公" sheetId="34" r:id="rId25"/>
    <sheet name="比较法-办公 (租金)" sheetId="77" r:id="rId26"/>
    <sheet name="收益法（汇总）" sheetId="70" state="hidden" r:id="rId27"/>
    <sheet name="酒店收入计算" sheetId="66" state="hidden" r:id="rId28"/>
    <sheet name="比较法-住宅" sheetId="21" state="hidden" r:id="rId29"/>
    <sheet name="比较法-商业（无租约）"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有租约）" sheetId="86" state="hidden" r:id="rId41"/>
    <sheet name="收益法 (办公)" sheetId="67" r:id="rId42"/>
    <sheet name="收益法 (商业无租约)" sheetId="79" state="hidden" r:id="rId43"/>
    <sheet name="收益法 (商业有租约) " sheetId="85" state="hidden" r:id="rId44"/>
    <sheet name="典型户型修正（办公）"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 (商业" sheetId="80" state="hidden" r:id="rId51"/>
    <sheet name="售价案例" sheetId="78" r:id="rId52"/>
    <sheet name="Sheet5" sheetId="82" state="hidden" r:id="rId53"/>
    <sheet name="租金表" sheetId="83" state="hidden" r:id="rId54"/>
    <sheet name="租金案例" sheetId="88" r:id="rId55"/>
    <sheet name="年期修正系数" sheetId="84" r:id="rId56"/>
  </sheets>
  <externalReferences>
    <externalReference r:id="rId57"/>
  </externalReferences>
  <definedNames>
    <definedName name="_xlnm._FilterDatabase" localSheetId="24"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'比较法-商业（无租约）'!$A$1:$L$49</definedName>
    <definedName name="_xlnm._FilterDatabase" localSheetId="40" hidden="1">'比较法-商业（有租约）'!$A$1:$L$49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1">'收益法 (办公)'!$A$1:$AK$69</definedName>
    <definedName name="_xlnm.Print_Area" localSheetId="42">'收益法 (商业无租约)'!$A$1:$AK$69</definedName>
    <definedName name="_xlnm.Print_Area" localSheetId="43">'收益法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'比较法-商业（有租约）'!$B$116:$M$116</definedName>
    <definedName name="商业层高">'比较法-商业（无租约）'!$B$116:$M$116</definedName>
    <definedName name="商业成新度" localSheetId="40">'比较法-商业（有租约）'!$B$109:$M$109</definedName>
    <definedName name="商业成新度">'比较法-商业（无租约）'!$B$109:$M$109</definedName>
    <definedName name="商业繁华度">定义!$L$1:$L$6</definedName>
    <definedName name="商业公共部分装修" localSheetId="40">'比较法-商业（有租约）'!$B$107:$M$107</definedName>
    <definedName name="商业公共部分装修">'比较法-商业（无租约）'!$B$107:$M$107</definedName>
    <definedName name="商业基础设施水平" localSheetId="40">'比较法-商业（有租约）'!$B$112:$M$112</definedName>
    <definedName name="商业基础设施水平">'比较法-商业（无租约）'!$B$112:$M$112</definedName>
    <definedName name="商业建筑结构" localSheetId="40">'比较法-商业（有租约）'!$B$105:$M$105</definedName>
    <definedName name="商业建筑结构">'比较法-商业（无租约）'!$B$105:$M$105</definedName>
    <definedName name="商业交易情况" localSheetId="40">'比较法-商业（有租约）'!$A$61:$M$61</definedName>
    <definedName name="商业交易情况">'比较法-商业（无租约）'!$A$61:$M$61</definedName>
    <definedName name="商业街名称">修正!$C$59:$C$119</definedName>
    <definedName name="商业进深比" localSheetId="40">'比较法-商业（有租约）'!$B$120:$M$120</definedName>
    <definedName name="商业进深比">'比较法-商业（无租约）'!$B$120:$M$120</definedName>
    <definedName name="商业类型" localSheetId="40">'比较法-商业（有租约）'!$B$100:$M$100</definedName>
    <definedName name="商业类型">'比较法-商业（无租约）'!$B$100:$M$100</definedName>
    <definedName name="商业临街状况" localSheetId="40">'比较法-商业（有租约）'!$B$86:$M$86</definedName>
    <definedName name="商业临街状况">'比较法-商业（无租约）'!$B$86:$M$86</definedName>
    <definedName name="商业楼层" localSheetId="40">'比较法-商业（有租约）'!$B$92:$M$92</definedName>
    <definedName name="商业楼层">'比较法-商业（无租约）'!$B$92:$M$92</definedName>
    <definedName name="商业内部装修" localSheetId="40">'比较法-商业（有租约）'!$B$122:$M$122</definedName>
    <definedName name="商业内部装修">'比较法-商业（无租约）'!$B$122:$M$122</definedName>
    <definedName name="商业人流量" localSheetId="40">'比较法-商业（有租约）'!$B$90:$M$90</definedName>
    <definedName name="商业人流量">'比较法-商业（无租约）'!$B$90:$M$90</definedName>
    <definedName name="商业业态" localSheetId="40">'比较法-商业（有租约）'!$B$114:$M$114</definedName>
    <definedName name="商业业态">'比较法-商业（无租约）'!$B$114:$M$114</definedName>
    <definedName name="商业用途" localSheetId="40">'比较法-商业（有租约）'!$B$63:$M$63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0">'典型户型修正 (商业'!$5:$5</definedName>
    <definedName name="一修多修正项2">'典型户型修正（办公）'!$5:$5</definedName>
    <definedName name="一修多修正项3" localSheetId="50">'典型户型修正 (商业'!$7:$7</definedName>
    <definedName name="一修多修正项3">'典型户型修正（办公）'!$7:$7</definedName>
    <definedName name="一修多修正项4" localSheetId="50">'典型户型修正 (商业'!$9:$9</definedName>
    <definedName name="一修多修正项4">'典型户型修正（办公）'!$9:$9</definedName>
    <definedName name="一修多修正项5" localSheetId="50">'典型户型修正 (商业'!$11:$11</definedName>
    <definedName name="一修多修正项5">'典型户型修正（办公）'!$11:$11</definedName>
    <definedName name="一修多修正项6" localSheetId="50">'典型户型修正 (商业'!$13:$13</definedName>
    <definedName name="一修多修正项6">'典型户型修正（办公）'!$13:$13</definedName>
    <definedName name="一修多修正项7" localSheetId="50">'典型户型修正 (商业'!$15:$15</definedName>
    <definedName name="一修多修正项7">'典型户型修正（办公）'!$15:$15</definedName>
    <definedName name="一修多修正项8" localSheetId="50">'典型户型修正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B2" i="1"/>
  <c r="C7" i="34"/>
  <c r="A7" i="1"/>
  <c r="A8" i="1"/>
  <c r="R48" i="34"/>
  <c r="F19" i="6"/>
  <c r="F43" i="34"/>
  <c r="AA43" i="34"/>
  <c r="T48" i="34"/>
  <c r="H43" i="34"/>
  <c r="AB43" i="34"/>
  <c r="V48" i="34"/>
  <c r="J43" i="34"/>
  <c r="AC43" i="34"/>
  <c r="T48" i="77"/>
  <c r="D112" i="77"/>
  <c r="E112" i="77"/>
  <c r="H37" i="77"/>
  <c r="AB37" i="77"/>
  <c r="H43" i="77"/>
  <c r="AB43" i="77"/>
  <c r="V48" i="77"/>
  <c r="F112" i="77"/>
  <c r="J37" i="77"/>
  <c r="AC37" i="77"/>
  <c r="J43" i="77"/>
  <c r="AC43" i="77"/>
  <c r="F43" i="77"/>
  <c r="AA43" i="77"/>
  <c r="C1" i="73"/>
  <c r="L1" i="73"/>
  <c r="B43" i="1"/>
  <c r="B41" i="1"/>
  <c r="F32" i="67"/>
  <c r="C42" i="1"/>
  <c r="L19" i="6"/>
  <c r="BQ14" i="3"/>
  <c r="BQ15" i="3"/>
  <c r="BS14" i="3"/>
  <c r="BS15" i="3"/>
  <c r="BR14" i="3"/>
  <c r="BR15" i="3"/>
  <c r="BT14" i="3"/>
  <c r="BT15" i="3"/>
  <c r="BB14" i="3"/>
  <c r="BC14" i="3"/>
  <c r="BA14" i="3"/>
  <c r="BD14" i="3"/>
  <c r="BE14" i="3"/>
  <c r="BF14" i="3"/>
  <c r="BG14" i="3"/>
  <c r="BH14" i="3"/>
  <c r="BI14" i="3"/>
  <c r="BJ14" i="3"/>
  <c r="BK14" i="3"/>
  <c r="BB15" i="3"/>
  <c r="BC15" i="3"/>
  <c r="BD15" i="3"/>
  <c r="BE15" i="3"/>
  <c r="BF15" i="3"/>
  <c r="BG15" i="3"/>
  <c r="BH15" i="3"/>
  <c r="BI15" i="3"/>
  <c r="BJ15" i="3"/>
  <c r="BK15" i="3"/>
  <c r="BA15" i="3"/>
  <c r="BB13" i="3"/>
  <c r="BC10" i="3"/>
  <c r="E20" i="6"/>
  <c r="E21" i="6"/>
  <c r="BM14" i="3"/>
  <c r="BN14" i="3"/>
  <c r="BL14" i="3"/>
  <c r="BO14" i="3"/>
  <c r="BP14" i="3"/>
  <c r="BM15" i="3"/>
  <c r="BN15" i="3"/>
  <c r="BL15" i="3"/>
  <c r="AZ15" i="3"/>
  <c r="BO15" i="3"/>
  <c r="BP15" i="3"/>
  <c r="H13" i="3"/>
  <c r="H14" i="3"/>
  <c r="H15" i="3"/>
  <c r="B52" i="1"/>
  <c r="F34" i="67"/>
  <c r="F15" i="4"/>
  <c r="F6" i="1"/>
  <c r="F9" i="84"/>
  <c r="F10" i="84"/>
  <c r="C16" i="84"/>
  <c r="C13" i="84"/>
  <c r="C5" i="84"/>
  <c r="D5" i="84"/>
  <c r="C4" i="84"/>
  <c r="D4" i="84"/>
  <c r="C3" i="84"/>
  <c r="D3" i="84"/>
  <c r="AN4" i="83"/>
  <c r="AN6" i="83"/>
  <c r="BB4" i="83"/>
  <c r="BC4" i="83"/>
  <c r="AN5" i="83"/>
  <c r="BC5" i="83"/>
  <c r="AN7" i="83"/>
  <c r="BC7" i="83"/>
  <c r="AN8" i="83"/>
  <c r="BC8" i="83"/>
  <c r="BC9" i="83"/>
  <c r="BC12" i="83"/>
  <c r="BC15" i="83"/>
  <c r="BC21" i="83"/>
  <c r="BC23" i="83"/>
  <c r="BB6" i="83"/>
  <c r="BB9" i="83"/>
  <c r="BB12" i="83"/>
  <c r="BB15" i="83"/>
  <c r="BB21" i="83"/>
  <c r="BB23" i="83"/>
  <c r="BB24" i="83"/>
  <c r="BA6" i="83"/>
  <c r="BA9" i="83"/>
  <c r="BA12" i="83"/>
  <c r="BA15" i="83"/>
  <c r="BA21" i="83"/>
  <c r="BA23" i="83"/>
  <c r="AZ6" i="83"/>
  <c r="AZ9" i="83"/>
  <c r="AZ12" i="83"/>
  <c r="AZ15" i="83"/>
  <c r="AZ21" i="83"/>
  <c r="AZ23" i="83"/>
  <c r="AZ24" i="83"/>
  <c r="AY6" i="83"/>
  <c r="AY9" i="83"/>
  <c r="AY12" i="83"/>
  <c r="AY15" i="83"/>
  <c r="AY21" i="83"/>
  <c r="AY23" i="83"/>
  <c r="AX6" i="83"/>
  <c r="AX9" i="83"/>
  <c r="AX12" i="83"/>
  <c r="AX15" i="83"/>
  <c r="AX21" i="83"/>
  <c r="AX23" i="83"/>
  <c r="AX24" i="83"/>
  <c r="AW6" i="83"/>
  <c r="AW9" i="83"/>
  <c r="AW12" i="83"/>
  <c r="AW15" i="83"/>
  <c r="AW21" i="83"/>
  <c r="AW23" i="83"/>
  <c r="AV6" i="83"/>
  <c r="AV9" i="83"/>
  <c r="AV12" i="83"/>
  <c r="AV14" i="83"/>
  <c r="AV15" i="83"/>
  <c r="AV21" i="83"/>
  <c r="AV23" i="83"/>
  <c r="AU6" i="83"/>
  <c r="AU9" i="83"/>
  <c r="AU12" i="83"/>
  <c r="AU15" i="83"/>
  <c r="AU21" i="83"/>
  <c r="AU23" i="83"/>
  <c r="AU24" i="83"/>
  <c r="AT6" i="83"/>
  <c r="AT9" i="83"/>
  <c r="AT12" i="83"/>
  <c r="AT15" i="83"/>
  <c r="AT21" i="83"/>
  <c r="AT23" i="83"/>
  <c r="AS6" i="83"/>
  <c r="AS9" i="83"/>
  <c r="AS12" i="83"/>
  <c r="AS15" i="83"/>
  <c r="AS21" i="83"/>
  <c r="AS23" i="83"/>
  <c r="AS24" i="83"/>
  <c r="AR6" i="83"/>
  <c r="AR9" i="83"/>
  <c r="AR12" i="83"/>
  <c r="AR15" i="83"/>
  <c r="AR21" i="83"/>
  <c r="AR23" i="83"/>
  <c r="AQ6" i="83"/>
  <c r="AQ9" i="83"/>
  <c r="AQ12" i="83"/>
  <c r="AQ15" i="83"/>
  <c r="AQ21" i="83"/>
  <c r="AQ23" i="83"/>
  <c r="AQ24" i="83"/>
  <c r="AP6" i="83"/>
  <c r="AP9" i="83"/>
  <c r="AP12" i="83"/>
  <c r="AP15" i="83"/>
  <c r="AP21" i="83"/>
  <c r="AP23" i="83"/>
  <c r="AO6" i="83"/>
  <c r="AO9" i="83"/>
  <c r="AO12" i="83"/>
  <c r="AO15" i="83"/>
  <c r="AO21" i="83"/>
  <c r="AO23" i="83"/>
  <c r="AO24" i="83"/>
  <c r="AN9" i="83"/>
  <c r="AN11" i="83"/>
  <c r="AN12" i="83"/>
  <c r="AN15" i="83"/>
  <c r="AN21" i="83"/>
  <c r="AN23" i="83"/>
  <c r="AN24" i="83"/>
  <c r="AM6" i="83"/>
  <c r="AM9" i="83"/>
  <c r="AM12" i="83"/>
  <c r="AM15" i="83"/>
  <c r="AM21" i="83"/>
  <c r="AM23" i="83"/>
  <c r="AL6" i="83"/>
  <c r="AL9" i="83"/>
  <c r="AL12" i="83"/>
  <c r="AL15" i="83"/>
  <c r="AL21" i="83"/>
  <c r="AL23" i="83"/>
  <c r="AL24" i="83"/>
  <c r="AK6" i="83"/>
  <c r="AK9" i="83"/>
  <c r="AK12" i="83"/>
  <c r="AK15" i="83"/>
  <c r="AK21" i="83"/>
  <c r="AK23" i="83"/>
  <c r="AJ6" i="83"/>
  <c r="AJ9" i="83"/>
  <c r="AJ12" i="83"/>
  <c r="AJ15" i="83"/>
  <c r="AJ21" i="83"/>
  <c r="AJ23" i="83"/>
  <c r="AJ24" i="83"/>
  <c r="AI6" i="83"/>
  <c r="AI9" i="83"/>
  <c r="AI12" i="83"/>
  <c r="AI15" i="83"/>
  <c r="AI21" i="83"/>
  <c r="AI23" i="83"/>
  <c r="AH21" i="83"/>
  <c r="AH23" i="83"/>
  <c r="AH24" i="83"/>
  <c r="AG21" i="83"/>
  <c r="AG23" i="83"/>
  <c r="AG24" i="83"/>
  <c r="AF6" i="83"/>
  <c r="AF9" i="83"/>
  <c r="AF12" i="83"/>
  <c r="AF15" i="83"/>
  <c r="AF21" i="83"/>
  <c r="AF23" i="83"/>
  <c r="AF24" i="83"/>
  <c r="AE6" i="83"/>
  <c r="AE9" i="83"/>
  <c r="AE12" i="83"/>
  <c r="AE15" i="83"/>
  <c r="AE21" i="83"/>
  <c r="AE23" i="83"/>
  <c r="AD6" i="83"/>
  <c r="AD9" i="83"/>
  <c r="AD12" i="83"/>
  <c r="AD15" i="83"/>
  <c r="AD21" i="83"/>
  <c r="AD23" i="83"/>
  <c r="AD24" i="83"/>
  <c r="AC6" i="83"/>
  <c r="AC9" i="83"/>
  <c r="AC12" i="83"/>
  <c r="AC15" i="83"/>
  <c r="AC21" i="83"/>
  <c r="AC23" i="83"/>
  <c r="AB6" i="83"/>
  <c r="AB9" i="83"/>
  <c r="AB12" i="83"/>
  <c r="AB15" i="83"/>
  <c r="AB21" i="83"/>
  <c r="AB23" i="83"/>
  <c r="AB24" i="83"/>
  <c r="AA6" i="83"/>
  <c r="AA9" i="83"/>
  <c r="AA12" i="83"/>
  <c r="AA15" i="83"/>
  <c r="AA21" i="83"/>
  <c r="AA23" i="83"/>
  <c r="Z6" i="83"/>
  <c r="Z9" i="83"/>
  <c r="Z12" i="83"/>
  <c r="Z15" i="83"/>
  <c r="Z21" i="83"/>
  <c r="Z23" i="83"/>
  <c r="Z24" i="83"/>
  <c r="Y6" i="83"/>
  <c r="Y9" i="83"/>
  <c r="Y12" i="83"/>
  <c r="Y15" i="83"/>
  <c r="Y21" i="83"/>
  <c r="Y23" i="83"/>
  <c r="X6" i="83"/>
  <c r="X9" i="83"/>
  <c r="X12" i="83"/>
  <c r="X15" i="83"/>
  <c r="X21" i="83"/>
  <c r="X23" i="83"/>
  <c r="X24" i="83"/>
  <c r="W6" i="83"/>
  <c r="W9" i="83"/>
  <c r="W12" i="83"/>
  <c r="W15" i="83"/>
  <c r="W21" i="83"/>
  <c r="W23" i="83"/>
  <c r="V6" i="83"/>
  <c r="V9" i="83"/>
  <c r="V12" i="83"/>
  <c r="V15" i="83"/>
  <c r="V21" i="83"/>
  <c r="V23" i="83"/>
  <c r="V24" i="83"/>
  <c r="U6" i="83"/>
  <c r="U9" i="83"/>
  <c r="U12" i="83"/>
  <c r="U15" i="83"/>
  <c r="U21" i="83"/>
  <c r="U23" i="83"/>
  <c r="T6" i="83"/>
  <c r="T9" i="83"/>
  <c r="T12" i="83"/>
  <c r="T15" i="83"/>
  <c r="T21" i="83"/>
  <c r="T23" i="83"/>
  <c r="T24" i="83"/>
  <c r="S6" i="83"/>
  <c r="S9" i="83"/>
  <c r="S12" i="83"/>
  <c r="S15" i="83"/>
  <c r="S21" i="83"/>
  <c r="S23" i="83"/>
  <c r="R6" i="83"/>
  <c r="R9" i="83"/>
  <c r="R12" i="83"/>
  <c r="R15" i="83"/>
  <c r="R21" i="83"/>
  <c r="R23" i="83"/>
  <c r="R24" i="83"/>
  <c r="Q21" i="83"/>
  <c r="Q23" i="83"/>
  <c r="Q24" i="83"/>
  <c r="P4" i="83"/>
  <c r="P6" i="83"/>
  <c r="P24" i="83"/>
  <c r="P9" i="83"/>
  <c r="P12" i="83"/>
  <c r="P15" i="83"/>
  <c r="P21" i="83"/>
  <c r="P23" i="83"/>
  <c r="O6" i="83"/>
  <c r="O9" i="83"/>
  <c r="O12" i="83"/>
  <c r="O15" i="83"/>
  <c r="O21" i="83"/>
  <c r="O23" i="83"/>
  <c r="O24" i="83"/>
  <c r="N6" i="83"/>
  <c r="N9" i="83"/>
  <c r="N12" i="83"/>
  <c r="N15" i="83"/>
  <c r="N21" i="83"/>
  <c r="N23" i="83"/>
  <c r="M6" i="83"/>
  <c r="M9" i="83"/>
  <c r="M12" i="83"/>
  <c r="M15" i="83"/>
  <c r="M21" i="83"/>
  <c r="M23" i="83"/>
  <c r="M24" i="83"/>
  <c r="E6" i="83"/>
  <c r="E12" i="83"/>
  <c r="E9" i="83"/>
  <c r="E15" i="83"/>
  <c r="E21" i="83"/>
  <c r="E23" i="83"/>
  <c r="L23" i="83"/>
  <c r="K23" i="83"/>
  <c r="J23" i="83"/>
  <c r="L21" i="83"/>
  <c r="K21" i="83"/>
  <c r="J21" i="83"/>
  <c r="F21" i="83"/>
  <c r="L15" i="83"/>
  <c r="K15" i="83"/>
  <c r="J15" i="83"/>
  <c r="L9" i="83"/>
  <c r="K9" i="83"/>
  <c r="J9" i="83"/>
  <c r="R524" i="80"/>
  <c r="S524" i="80"/>
  <c r="Q524" i="80"/>
  <c r="O524" i="80"/>
  <c r="M524" i="80"/>
  <c r="K524" i="80"/>
  <c r="I524" i="80"/>
  <c r="D8" i="80"/>
  <c r="G524" i="80"/>
  <c r="D6" i="80"/>
  <c r="C524" i="80"/>
  <c r="R523" i="80"/>
  <c r="S523" i="80"/>
  <c r="Q523" i="80"/>
  <c r="O523" i="80"/>
  <c r="M523" i="80"/>
  <c r="K523" i="80"/>
  <c r="I523" i="80"/>
  <c r="G523" i="80"/>
  <c r="C523" i="80"/>
  <c r="R522" i="80"/>
  <c r="S522" i="80"/>
  <c r="Q522" i="80"/>
  <c r="O522" i="80"/>
  <c r="M522" i="80"/>
  <c r="K522" i="80"/>
  <c r="I522" i="80"/>
  <c r="G522" i="80"/>
  <c r="C522" i="80"/>
  <c r="R521" i="80"/>
  <c r="S521" i="80"/>
  <c r="Q521" i="80"/>
  <c r="O521" i="80"/>
  <c r="M521" i="80"/>
  <c r="K521" i="80"/>
  <c r="I521" i="80"/>
  <c r="G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E7" i="86"/>
  <c r="C58" i="86"/>
  <c r="D58" i="86"/>
  <c r="E58" i="86"/>
  <c r="F58" i="86"/>
  <c r="G58" i="86"/>
  <c r="H58" i="86"/>
  <c r="I58" i="86"/>
  <c r="J58" i="86"/>
  <c r="F8" i="86"/>
  <c r="AA8" i="86"/>
  <c r="C63" i="86"/>
  <c r="F9" i="86"/>
  <c r="AA9" i="86"/>
  <c r="F10" i="86"/>
  <c r="AA10" i="86"/>
  <c r="F11" i="86"/>
  <c r="AA11" i="86"/>
  <c r="B70" i="86"/>
  <c r="F12" i="86"/>
  <c r="AA12" i="86"/>
  <c r="B72" i="86"/>
  <c r="F13" i="86"/>
  <c r="AA13" i="86"/>
  <c r="B74" i="86"/>
  <c r="F14" i="86"/>
  <c r="AA14" i="86"/>
  <c r="D77" i="86"/>
  <c r="F15" i="86"/>
  <c r="AA15" i="86"/>
  <c r="D79" i="86"/>
  <c r="F17" i="86"/>
  <c r="AA17" i="86"/>
  <c r="F19" i="86"/>
  <c r="AA19" i="86"/>
  <c r="F21" i="86"/>
  <c r="AA21" i="86"/>
  <c r="D85" i="86"/>
  <c r="F23" i="86"/>
  <c r="AA23" i="86"/>
  <c r="D87" i="86"/>
  <c r="E87" i="86"/>
  <c r="F25" i="86"/>
  <c r="AA25" i="86"/>
  <c r="B88" i="86"/>
  <c r="F26" i="86"/>
  <c r="AA26" i="86"/>
  <c r="B90" i="86"/>
  <c r="F27" i="86"/>
  <c r="AA27" i="86"/>
  <c r="B92" i="86"/>
  <c r="F28" i="86"/>
  <c r="AA28" i="86"/>
  <c r="B94" i="86"/>
  <c r="F29" i="86"/>
  <c r="AA29" i="86"/>
  <c r="B96" i="86"/>
  <c r="F30" i="86"/>
  <c r="AA30" i="86"/>
  <c r="B98" i="86"/>
  <c r="F31" i="86"/>
  <c r="AA31" i="86"/>
  <c r="D101" i="86"/>
  <c r="E101" i="86"/>
  <c r="F33" i="86"/>
  <c r="AA33" i="86"/>
  <c r="F34" i="86"/>
  <c r="AA34" i="86"/>
  <c r="D108" i="86"/>
  <c r="E108" i="86"/>
  <c r="F108" i="86"/>
  <c r="D111" i="86"/>
  <c r="E111" i="86"/>
  <c r="F111" i="86"/>
  <c r="F37" i="86"/>
  <c r="AA37" i="86"/>
  <c r="F38" i="86"/>
  <c r="AA38" i="86"/>
  <c r="F39" i="86"/>
  <c r="AA39" i="86"/>
  <c r="F40" i="86"/>
  <c r="AA40" i="86"/>
  <c r="F41" i="86"/>
  <c r="AA41" i="86"/>
  <c r="F42" i="86"/>
  <c r="AA42" i="86"/>
  <c r="F43" i="86"/>
  <c r="AA43" i="86"/>
  <c r="B126" i="86"/>
  <c r="F44" i="86"/>
  <c r="AA44" i="86"/>
  <c r="B128" i="86"/>
  <c r="F45" i="86"/>
  <c r="AA45" i="86"/>
  <c r="B130" i="86"/>
  <c r="F46" i="86"/>
  <c r="AA46" i="86"/>
  <c r="T47" i="86"/>
  <c r="G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6" i="86"/>
  <c r="AB26" i="86"/>
  <c r="D91" i="86"/>
  <c r="H27" i="86"/>
  <c r="AB27" i="86"/>
  <c r="H28" i="86"/>
  <c r="AB28" i="86"/>
  <c r="H29" i="86"/>
  <c r="AB29" i="86"/>
  <c r="H30" i="86"/>
  <c r="AB30" i="86"/>
  <c r="H31" i="86"/>
  <c r="AB31" i="86"/>
  <c r="H33" i="86"/>
  <c r="AB33" i="86"/>
  <c r="H34" i="86"/>
  <c r="AB34" i="86"/>
  <c r="H37" i="86"/>
  <c r="AB37" i="86"/>
  <c r="H38" i="86"/>
  <c r="AB38" i="86"/>
  <c r="H39" i="86"/>
  <c r="AB39" i="86"/>
  <c r="H40" i="86"/>
  <c r="AB40" i="86"/>
  <c r="H41" i="86"/>
  <c r="AB41" i="86"/>
  <c r="H42" i="86"/>
  <c r="AB42" i="86"/>
  <c r="H43" i="86"/>
  <c r="AB43" i="86"/>
  <c r="H44" i="86"/>
  <c r="AB44" i="86"/>
  <c r="H45" i="86"/>
  <c r="AB45" i="86"/>
  <c r="H46" i="86"/>
  <c r="AB46" i="86"/>
  <c r="V47" i="86"/>
  <c r="I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6" i="86"/>
  <c r="AC26" i="86"/>
  <c r="J27" i="86"/>
  <c r="AC27" i="86"/>
  <c r="J28" i="86"/>
  <c r="AC28" i="86"/>
  <c r="J29" i="86"/>
  <c r="AC29" i="86"/>
  <c r="J30" i="86"/>
  <c r="AC30" i="86"/>
  <c r="J31" i="86"/>
  <c r="AC31" i="86"/>
  <c r="J33" i="86"/>
  <c r="AC33" i="86"/>
  <c r="J34" i="86"/>
  <c r="AC34" i="86"/>
  <c r="J35" i="86"/>
  <c r="AC35" i="86"/>
  <c r="J37" i="86"/>
  <c r="AC37" i="86"/>
  <c r="J38" i="86"/>
  <c r="AC38" i="86"/>
  <c r="J39" i="86"/>
  <c r="AC39" i="86"/>
  <c r="J40" i="86"/>
  <c r="AC40" i="86"/>
  <c r="J41" i="86"/>
  <c r="AC41" i="86"/>
  <c r="J42" i="86"/>
  <c r="AC42" i="86"/>
  <c r="J43" i="86"/>
  <c r="AC43" i="86"/>
  <c r="J44" i="86"/>
  <c r="AC44" i="86"/>
  <c r="J45" i="86"/>
  <c r="AC45" i="86"/>
  <c r="J46" i="86"/>
  <c r="AC46" i="86"/>
  <c r="F32" i="85"/>
  <c r="F60" i="85"/>
  <c r="L20" i="6"/>
  <c r="L21" i="6"/>
  <c r="R8" i="1"/>
  <c r="F34" i="85"/>
  <c r="F62" i="85"/>
  <c r="F28" i="85"/>
  <c r="C28" i="85"/>
  <c r="D3" i="86"/>
  <c r="C17" i="81"/>
  <c r="D17" i="81"/>
  <c r="C18" i="81"/>
  <c r="A6" i="1"/>
  <c r="K8" i="1"/>
  <c r="F33" i="85"/>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A163" i="3"/>
  <c r="BM163" i="3"/>
  <c r="BN163" i="3"/>
  <c r="BL163" i="3"/>
  <c r="AZ163" i="3"/>
  <c r="BO163" i="3"/>
  <c r="BP163" i="3"/>
  <c r="BQ163" i="3"/>
  <c r="BR163" i="3"/>
  <c r="BS163" i="3"/>
  <c r="BT163" i="3"/>
  <c r="BB164" i="3"/>
  <c r="BC164" i="3"/>
  <c r="BA164" i="3"/>
  <c r="AZ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A168" i="3"/>
  <c r="AZ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c r="AZ169" i="3"/>
  <c r="BO169" i="3"/>
  <c r="BP169" i="3"/>
  <c r="BQ169" i="3"/>
  <c r="BR169" i="3"/>
  <c r="BS169" i="3"/>
  <c r="BT169" i="3"/>
  <c r="BB170" i="3"/>
  <c r="BC170" i="3"/>
  <c r="BA170" i="3"/>
  <c r="AZ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c r="AZ171" i="3"/>
  <c r="BO171" i="3"/>
  <c r="BP171" i="3"/>
  <c r="BQ171" i="3"/>
  <c r="BR171" i="3"/>
  <c r="BS171" i="3"/>
  <c r="BT171" i="3"/>
  <c r="BB172" i="3"/>
  <c r="BC172" i="3"/>
  <c r="BA172" i="3"/>
  <c r="AZ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A258" i="3"/>
  <c r="AZ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c r="AZ259" i="3"/>
  <c r="BO259" i="3"/>
  <c r="BP259" i="3"/>
  <c r="BQ259" i="3"/>
  <c r="BR259" i="3"/>
  <c r="BS259" i="3"/>
  <c r="BT259" i="3"/>
  <c r="BB260" i="3"/>
  <c r="BC260" i="3"/>
  <c r="BA260" i="3"/>
  <c r="AZ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c r="AZ261" i="3"/>
  <c r="BO261" i="3"/>
  <c r="BP261" i="3"/>
  <c r="BQ261" i="3"/>
  <c r="BR261" i="3"/>
  <c r="BS261" i="3"/>
  <c r="BT261" i="3"/>
  <c r="BB262" i="3"/>
  <c r="BC262" i="3"/>
  <c r="BA262" i="3"/>
  <c r="AZ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c r="AZ263" i="3"/>
  <c r="BO263" i="3"/>
  <c r="BP263" i="3"/>
  <c r="BQ263" i="3"/>
  <c r="BR263" i="3"/>
  <c r="BS263" i="3"/>
  <c r="BT263" i="3"/>
  <c r="BB264" i="3"/>
  <c r="BC264" i="3"/>
  <c r="BA264" i="3"/>
  <c r="AZ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c r="AZ265" i="3"/>
  <c r="BO265" i="3"/>
  <c r="BP265" i="3"/>
  <c r="BQ265" i="3"/>
  <c r="BR265" i="3"/>
  <c r="BS265" i="3"/>
  <c r="BT265" i="3"/>
  <c r="BB266" i="3"/>
  <c r="BC266" i="3"/>
  <c r="BA266" i="3"/>
  <c r="AZ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c r="AZ267" i="3"/>
  <c r="BO267" i="3"/>
  <c r="BP267" i="3"/>
  <c r="BQ267" i="3"/>
  <c r="BR267" i="3"/>
  <c r="BS267" i="3"/>
  <c r="BT267" i="3"/>
  <c r="BB268" i="3"/>
  <c r="BC268" i="3"/>
  <c r="BA268" i="3"/>
  <c r="AZ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c r="AZ269" i="3"/>
  <c r="BO269" i="3"/>
  <c r="BP269" i="3"/>
  <c r="BQ269" i="3"/>
  <c r="BR269" i="3"/>
  <c r="BS269" i="3"/>
  <c r="BT269" i="3"/>
  <c r="BB270" i="3"/>
  <c r="BC270" i="3"/>
  <c r="BA270" i="3"/>
  <c r="AZ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c r="AZ271" i="3"/>
  <c r="BO271" i="3"/>
  <c r="BP271" i="3"/>
  <c r="BQ271" i="3"/>
  <c r="BR271" i="3"/>
  <c r="BS271" i="3"/>
  <c r="BT271" i="3"/>
  <c r="BB272" i="3"/>
  <c r="BC272" i="3"/>
  <c r="BA272" i="3"/>
  <c r="AZ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c r="AZ273" i="3"/>
  <c r="BO273" i="3"/>
  <c r="BP273" i="3"/>
  <c r="BQ273" i="3"/>
  <c r="BR273" i="3"/>
  <c r="BS273" i="3"/>
  <c r="BT273" i="3"/>
  <c r="BB274" i="3"/>
  <c r="BC274" i="3"/>
  <c r="BA274" i="3"/>
  <c r="AZ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c r="AZ275" i="3"/>
  <c r="BO275" i="3"/>
  <c r="BP275" i="3"/>
  <c r="BQ275" i="3"/>
  <c r="BR275" i="3"/>
  <c r="BS275" i="3"/>
  <c r="BT275" i="3"/>
  <c r="BB276" i="3"/>
  <c r="BC276" i="3"/>
  <c r="BA276" i="3"/>
  <c r="AZ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c r="AZ277" i="3"/>
  <c r="BO277" i="3"/>
  <c r="BP277" i="3"/>
  <c r="BQ277" i="3"/>
  <c r="BR277" i="3"/>
  <c r="BS277" i="3"/>
  <c r="BT277" i="3"/>
  <c r="BB278" i="3"/>
  <c r="BC278" i="3"/>
  <c r="BA278" i="3"/>
  <c r="AZ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c r="AZ279" i="3"/>
  <c r="BO279" i="3"/>
  <c r="BP279" i="3"/>
  <c r="BQ279" i="3"/>
  <c r="BR279" i="3"/>
  <c r="BS279" i="3"/>
  <c r="BT279" i="3"/>
  <c r="BB280" i="3"/>
  <c r="BC280" i="3"/>
  <c r="BA280" i="3"/>
  <c r="AZ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c r="AZ281" i="3"/>
  <c r="BO281" i="3"/>
  <c r="BP281" i="3"/>
  <c r="BQ281" i="3"/>
  <c r="BR281" i="3"/>
  <c r="BS281" i="3"/>
  <c r="BT281" i="3"/>
  <c r="BB282" i="3"/>
  <c r="BC282" i="3"/>
  <c r="BA282" i="3"/>
  <c r="AZ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c r="AZ283" i="3"/>
  <c r="BO283" i="3"/>
  <c r="BP283" i="3"/>
  <c r="BQ283" i="3"/>
  <c r="BR283" i="3"/>
  <c r="BS283" i="3"/>
  <c r="BT283" i="3"/>
  <c r="BB284" i="3"/>
  <c r="BC284" i="3"/>
  <c r="BA284" i="3"/>
  <c r="AZ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c r="AZ285" i="3"/>
  <c r="BO285" i="3"/>
  <c r="BP285" i="3"/>
  <c r="BQ285" i="3"/>
  <c r="BR285" i="3"/>
  <c r="BS285" i="3"/>
  <c r="BT285" i="3"/>
  <c r="BB286" i="3"/>
  <c r="BC286" i="3"/>
  <c r="BA286" i="3"/>
  <c r="AZ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c r="AZ287" i="3"/>
  <c r="BO287" i="3"/>
  <c r="BP287" i="3"/>
  <c r="BQ287" i="3"/>
  <c r="BR287" i="3"/>
  <c r="BS287" i="3"/>
  <c r="BT287" i="3"/>
  <c r="BB288" i="3"/>
  <c r="BC288" i="3"/>
  <c r="BA288" i="3"/>
  <c r="AZ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c r="AZ289" i="3"/>
  <c r="BO289" i="3"/>
  <c r="BP289" i="3"/>
  <c r="BQ289" i="3"/>
  <c r="BR289" i="3"/>
  <c r="BS289" i="3"/>
  <c r="BT289" i="3"/>
  <c r="BB290" i="3"/>
  <c r="BC290" i="3"/>
  <c r="BA290" i="3"/>
  <c r="AZ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c r="AZ291" i="3"/>
  <c r="BO291" i="3"/>
  <c r="BP291" i="3"/>
  <c r="BQ291" i="3"/>
  <c r="BR291" i="3"/>
  <c r="BS291" i="3"/>
  <c r="BT291" i="3"/>
  <c r="BB292" i="3"/>
  <c r="BC292" i="3"/>
  <c r="BA292" i="3"/>
  <c r="AZ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c r="AZ293" i="3"/>
  <c r="BO293" i="3"/>
  <c r="BP293" i="3"/>
  <c r="BQ293" i="3"/>
  <c r="BR293" i="3"/>
  <c r="BS293" i="3"/>
  <c r="BT293" i="3"/>
  <c r="BB294" i="3"/>
  <c r="BC294" i="3"/>
  <c r="BA294" i="3"/>
  <c r="AZ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c r="AZ295" i="3"/>
  <c r="BO295" i="3"/>
  <c r="BP295" i="3"/>
  <c r="BQ295" i="3"/>
  <c r="BR295" i="3"/>
  <c r="BS295" i="3"/>
  <c r="BT295" i="3"/>
  <c r="BB296" i="3"/>
  <c r="BC296" i="3"/>
  <c r="BA296" i="3"/>
  <c r="AZ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c r="AZ297" i="3"/>
  <c r="BO297" i="3"/>
  <c r="BP297" i="3"/>
  <c r="BQ297" i="3"/>
  <c r="BR297" i="3"/>
  <c r="BS297" i="3"/>
  <c r="BT297" i="3"/>
  <c r="BB298" i="3"/>
  <c r="BC298" i="3"/>
  <c r="BA298" i="3"/>
  <c r="AZ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c r="AZ299" i="3"/>
  <c r="BO299" i="3"/>
  <c r="BP299" i="3"/>
  <c r="BQ299" i="3"/>
  <c r="BR299" i="3"/>
  <c r="BS299" i="3"/>
  <c r="BT299" i="3"/>
  <c r="BB300" i="3"/>
  <c r="BC300" i="3"/>
  <c r="BA300" i="3"/>
  <c r="AZ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c r="AZ301" i="3"/>
  <c r="BO301" i="3"/>
  <c r="BP301" i="3"/>
  <c r="BQ301" i="3"/>
  <c r="BR301" i="3"/>
  <c r="BS301" i="3"/>
  <c r="BT301" i="3"/>
  <c r="BB302" i="3"/>
  <c r="BC302" i="3"/>
  <c r="BA302" i="3"/>
  <c r="AZ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c r="AZ303" i="3"/>
  <c r="BO303" i="3"/>
  <c r="BP303" i="3"/>
  <c r="BQ303" i="3"/>
  <c r="BR303" i="3"/>
  <c r="BS303" i="3"/>
  <c r="BT303" i="3"/>
  <c r="BB304" i="3"/>
  <c r="BC304" i="3"/>
  <c r="BA304" i="3"/>
  <c r="AZ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c r="AZ305" i="3"/>
  <c r="BO305" i="3"/>
  <c r="BP305" i="3"/>
  <c r="BQ305" i="3"/>
  <c r="BR305" i="3"/>
  <c r="BS305" i="3"/>
  <c r="BT305" i="3"/>
  <c r="BB306" i="3"/>
  <c r="BC306" i="3"/>
  <c r="BA306" i="3"/>
  <c r="AZ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c r="AZ307" i="3"/>
  <c r="BO307" i="3"/>
  <c r="BP307" i="3"/>
  <c r="BQ307" i="3"/>
  <c r="BR307" i="3"/>
  <c r="BS307" i="3"/>
  <c r="BT307" i="3"/>
  <c r="BB308" i="3"/>
  <c r="BC308" i="3"/>
  <c r="BA308" i="3"/>
  <c r="AZ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c r="AZ309" i="3"/>
  <c r="BO309" i="3"/>
  <c r="BP309" i="3"/>
  <c r="BQ309" i="3"/>
  <c r="BR309" i="3"/>
  <c r="BS309" i="3"/>
  <c r="BT309" i="3"/>
  <c r="BB310" i="3"/>
  <c r="BC310" i="3"/>
  <c r="BA310" i="3"/>
  <c r="AZ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c r="AZ311" i="3"/>
  <c r="BO311" i="3"/>
  <c r="BP311" i="3"/>
  <c r="BQ311" i="3"/>
  <c r="BR311" i="3"/>
  <c r="BS311" i="3"/>
  <c r="BT311" i="3"/>
  <c r="BB312" i="3"/>
  <c r="BC312" i="3"/>
  <c r="BA312" i="3"/>
  <c r="AZ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c r="AZ313" i="3"/>
  <c r="BO313" i="3"/>
  <c r="BP313" i="3"/>
  <c r="BQ313" i="3"/>
  <c r="BR313" i="3"/>
  <c r="BS313" i="3"/>
  <c r="BT313" i="3"/>
  <c r="BB314" i="3"/>
  <c r="BC314" i="3"/>
  <c r="BA314" i="3"/>
  <c r="AZ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c r="AZ315" i="3"/>
  <c r="BO315" i="3"/>
  <c r="BP315" i="3"/>
  <c r="BQ315" i="3"/>
  <c r="BR315" i="3"/>
  <c r="BS315" i="3"/>
  <c r="BT315" i="3"/>
  <c r="BB316" i="3"/>
  <c r="BC316" i="3"/>
  <c r="BA316" i="3"/>
  <c r="AZ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c r="AZ317" i="3"/>
  <c r="BO317" i="3"/>
  <c r="BP317" i="3"/>
  <c r="BQ317" i="3"/>
  <c r="BR317" i="3"/>
  <c r="BS317" i="3"/>
  <c r="BT317" i="3"/>
  <c r="BB318" i="3"/>
  <c r="BC318" i="3"/>
  <c r="BA318" i="3"/>
  <c r="AZ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c r="AZ319" i="3"/>
  <c r="BO319" i="3"/>
  <c r="BP319" i="3"/>
  <c r="BQ319" i="3"/>
  <c r="BR319" i="3"/>
  <c r="BS319" i="3"/>
  <c r="BT319" i="3"/>
  <c r="BB320" i="3"/>
  <c r="BC320" i="3"/>
  <c r="BA320" i="3"/>
  <c r="AZ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c r="AZ321" i="3"/>
  <c r="BO321" i="3"/>
  <c r="BP321" i="3"/>
  <c r="BQ321" i="3"/>
  <c r="BR321" i="3"/>
  <c r="BS321" i="3"/>
  <c r="BT321" i="3"/>
  <c r="BB322" i="3"/>
  <c r="BC322" i="3"/>
  <c r="BA322" i="3"/>
  <c r="AZ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c r="AZ323" i="3"/>
  <c r="BO323" i="3"/>
  <c r="BP323" i="3"/>
  <c r="BQ323" i="3"/>
  <c r="BR323" i="3"/>
  <c r="BS323" i="3"/>
  <c r="BT323" i="3"/>
  <c r="BB324" i="3"/>
  <c r="BC324" i="3"/>
  <c r="BA324" i="3"/>
  <c r="AZ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c r="AZ325" i="3"/>
  <c r="BO325" i="3"/>
  <c r="BP325" i="3"/>
  <c r="BQ325" i="3"/>
  <c r="BR325" i="3"/>
  <c r="BS325" i="3"/>
  <c r="BT325" i="3"/>
  <c r="BB326" i="3"/>
  <c r="BC326" i="3"/>
  <c r="BA326" i="3"/>
  <c r="AZ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c r="AZ327" i="3"/>
  <c r="BO327" i="3"/>
  <c r="BP327" i="3"/>
  <c r="BQ327" i="3"/>
  <c r="BR327" i="3"/>
  <c r="BS327" i="3"/>
  <c r="BT327" i="3"/>
  <c r="BB328" i="3"/>
  <c r="BC328" i="3"/>
  <c r="BA328" i="3"/>
  <c r="AZ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c r="AZ329" i="3"/>
  <c r="BO329" i="3"/>
  <c r="BP329" i="3"/>
  <c r="BQ329" i="3"/>
  <c r="BR329" i="3"/>
  <c r="BS329" i="3"/>
  <c r="BT329" i="3"/>
  <c r="BB330" i="3"/>
  <c r="BC330" i="3"/>
  <c r="BA330" i="3"/>
  <c r="AZ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c r="AZ331" i="3"/>
  <c r="BO331" i="3"/>
  <c r="BP331" i="3"/>
  <c r="BQ331" i="3"/>
  <c r="BR331" i="3"/>
  <c r="BS331" i="3"/>
  <c r="BT331" i="3"/>
  <c r="BB332" i="3"/>
  <c r="BC332" i="3"/>
  <c r="BD332" i="3"/>
  <c r="BE332" i="3"/>
  <c r="BF332" i="3"/>
  <c r="BG332" i="3"/>
  <c r="BA332" i="3"/>
  <c r="AZ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c r="AZ333" i="3"/>
  <c r="BO333" i="3"/>
  <c r="BP333" i="3"/>
  <c r="BQ333" i="3"/>
  <c r="BR333" i="3"/>
  <c r="BS333" i="3"/>
  <c r="BT333" i="3"/>
  <c r="BB334" i="3"/>
  <c r="BC334" i="3"/>
  <c r="BA334" i="3"/>
  <c r="AZ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c r="AZ335" i="3"/>
  <c r="BO335" i="3"/>
  <c r="BP335" i="3"/>
  <c r="BQ335" i="3"/>
  <c r="BR335" i="3"/>
  <c r="BS335" i="3"/>
  <c r="BT335" i="3"/>
  <c r="BB336" i="3"/>
  <c r="BC336" i="3"/>
  <c r="BA336" i="3"/>
  <c r="AZ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c r="AZ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L342" i="3"/>
  <c r="AZ342" i="3"/>
  <c r="BS342" i="3"/>
  <c r="BT342" i="3"/>
  <c r="BB343" i="3"/>
  <c r="BC343" i="3"/>
  <c r="BD343" i="3"/>
  <c r="BE343" i="3"/>
  <c r="BF343" i="3"/>
  <c r="BG343" i="3"/>
  <c r="BH343" i="3"/>
  <c r="BI343" i="3"/>
  <c r="BJ343" i="3"/>
  <c r="BK343" i="3"/>
  <c r="BA343" i="3"/>
  <c r="AZ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L344" i="3"/>
  <c r="AZ344" i="3"/>
  <c r="BQ344" i="3"/>
  <c r="BR344" i="3"/>
  <c r="BS344" i="3"/>
  <c r="BT344" i="3"/>
  <c r="BB345" i="3"/>
  <c r="BC345" i="3"/>
  <c r="BD345" i="3"/>
  <c r="BE345" i="3"/>
  <c r="BF345" i="3"/>
  <c r="BG345" i="3"/>
  <c r="BH345" i="3"/>
  <c r="BI345" i="3"/>
  <c r="BA345" i="3"/>
  <c r="AZ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L346" i="3"/>
  <c r="AZ346" i="3"/>
  <c r="BQ346" i="3"/>
  <c r="BR346" i="3"/>
  <c r="BS346" i="3"/>
  <c r="BT346" i="3"/>
  <c r="BB347" i="3"/>
  <c r="BC347" i="3"/>
  <c r="BD347" i="3"/>
  <c r="BE347" i="3"/>
  <c r="BF347" i="3"/>
  <c r="BG347" i="3"/>
  <c r="BH347" i="3"/>
  <c r="BI347" i="3"/>
  <c r="BA347" i="3"/>
  <c r="AZ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L348" i="3"/>
  <c r="AZ348" i="3"/>
  <c r="BQ348" i="3"/>
  <c r="BR348" i="3"/>
  <c r="BS348" i="3"/>
  <c r="BT348" i="3"/>
  <c r="BB349" i="3"/>
  <c r="BC349" i="3"/>
  <c r="BD349" i="3"/>
  <c r="BE349" i="3"/>
  <c r="BF349" i="3"/>
  <c r="BG349" i="3"/>
  <c r="BH349" i="3"/>
  <c r="BI349" i="3"/>
  <c r="BA349" i="3"/>
  <c r="AZ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L352" i="3"/>
  <c r="AZ352" i="3"/>
  <c r="BS352" i="3"/>
  <c r="BT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AZ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c r="AZ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L364" i="3"/>
  <c r="AZ364" i="3"/>
  <c r="BS364" i="3"/>
  <c r="BT364" i="3"/>
  <c r="BB365" i="3"/>
  <c r="BC365" i="3"/>
  <c r="BD365" i="3"/>
  <c r="BE365" i="3"/>
  <c r="BF365" i="3"/>
  <c r="BG365" i="3"/>
  <c r="BH365" i="3"/>
  <c r="BI365" i="3"/>
  <c r="BJ365" i="3"/>
  <c r="BK365" i="3"/>
  <c r="BA365" i="3"/>
  <c r="AZ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D367" i="3"/>
  <c r="BE367" i="3"/>
  <c r="BF367" i="3"/>
  <c r="BG367" i="3"/>
  <c r="BH367" i="3"/>
  <c r="BI367" i="3"/>
  <c r="BA367" i="3"/>
  <c r="AZ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L368" i="3"/>
  <c r="AZ368" i="3"/>
  <c r="BQ368" i="3"/>
  <c r="BR368" i="3"/>
  <c r="BS368" i="3"/>
  <c r="BT368" i="3"/>
  <c r="BB369" i="3"/>
  <c r="BC369" i="3"/>
  <c r="BD369" i="3"/>
  <c r="BE369" i="3"/>
  <c r="BF369" i="3"/>
  <c r="BG369" i="3"/>
  <c r="BH369" i="3"/>
  <c r="BI369" i="3"/>
  <c r="BA369" i="3"/>
  <c r="AZ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L370" i="3"/>
  <c r="AZ370" i="3"/>
  <c r="BS370" i="3"/>
  <c r="BT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L373" i="3"/>
  <c r="AZ373" i="3"/>
  <c r="BS373" i="3"/>
  <c r="BT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L379" i="3"/>
  <c r="AZ379" i="3"/>
  <c r="BS379" i="3"/>
  <c r="BT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L388" i="3"/>
  <c r="AZ388" i="3"/>
  <c r="BS388" i="3"/>
  <c r="BT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AZ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c r="AZ392" i="3"/>
  <c r="BS392" i="3"/>
  <c r="BT392" i="3"/>
  <c r="BB393" i="3"/>
  <c r="BC393" i="3"/>
  <c r="BD393" i="3"/>
  <c r="BE393" i="3"/>
  <c r="BF393" i="3"/>
  <c r="BG393" i="3"/>
  <c r="BH393" i="3"/>
  <c r="BI393" i="3"/>
  <c r="BJ393" i="3"/>
  <c r="BK393" i="3"/>
  <c r="BA393" i="3"/>
  <c r="AZ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L394" i="3"/>
  <c r="AZ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L406" i="3"/>
  <c r="AZ406" i="3"/>
  <c r="BS406" i="3"/>
  <c r="BT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L408" i="3"/>
  <c r="AZ408" i="3"/>
  <c r="BS408" i="3"/>
  <c r="BT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AZ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AZ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L415" i="3"/>
  <c r="AZ415" i="3"/>
  <c r="BQ415" i="3"/>
  <c r="BR415" i="3"/>
  <c r="BS415" i="3"/>
  <c r="BT415" i="3"/>
  <c r="BB416" i="3"/>
  <c r="BC416" i="3"/>
  <c r="BD416" i="3"/>
  <c r="BE416" i="3"/>
  <c r="BF416" i="3"/>
  <c r="BG416" i="3"/>
  <c r="BA416" i="3"/>
  <c r="AZ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L417" i="3"/>
  <c r="AZ417" i="3"/>
  <c r="BS417" i="3"/>
  <c r="BT417" i="3"/>
  <c r="BB418" i="3"/>
  <c r="BC418" i="3"/>
  <c r="BD418" i="3"/>
  <c r="BE418" i="3"/>
  <c r="BF418" i="3"/>
  <c r="BG418" i="3"/>
  <c r="BH418" i="3"/>
  <c r="BI418" i="3"/>
  <c r="BA418" i="3"/>
  <c r="AZ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L421" i="3"/>
  <c r="AZ421" i="3"/>
  <c r="BS421" i="3"/>
  <c r="BT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AZ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L433" i="3"/>
  <c r="AZ433" i="3"/>
  <c r="BS433" i="3"/>
  <c r="BT433" i="3"/>
  <c r="BB434" i="3"/>
  <c r="BC434" i="3"/>
  <c r="BD434" i="3"/>
  <c r="BE434" i="3"/>
  <c r="BF434" i="3"/>
  <c r="BG434" i="3"/>
  <c r="BH434" i="3"/>
  <c r="BI434" i="3"/>
  <c r="BJ434" i="3"/>
  <c r="BK434" i="3"/>
  <c r="BA434" i="3"/>
  <c r="AZ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L437" i="3"/>
  <c r="AZ437" i="3"/>
  <c r="BS437" i="3"/>
  <c r="BT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L442" i="3"/>
  <c r="AZ442" i="3"/>
  <c r="BS442" i="3"/>
  <c r="BT442" i="3"/>
  <c r="BB443" i="3"/>
  <c r="BC443" i="3"/>
  <c r="BD443" i="3"/>
  <c r="BE443" i="3"/>
  <c r="BF443" i="3"/>
  <c r="BG443" i="3"/>
  <c r="BH443" i="3"/>
  <c r="BI443" i="3"/>
  <c r="BJ443" i="3"/>
  <c r="BK443" i="3"/>
  <c r="BA443" i="3"/>
  <c r="AZ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L447" i="3"/>
  <c r="AZ447" i="3"/>
  <c r="BS447" i="3"/>
  <c r="BT447" i="3"/>
  <c r="BB448" i="3"/>
  <c r="BC448" i="3"/>
  <c r="BD448" i="3"/>
  <c r="BE448" i="3"/>
  <c r="BF448" i="3"/>
  <c r="BG448" i="3"/>
  <c r="BH448" i="3"/>
  <c r="BI448" i="3"/>
  <c r="BJ448" i="3"/>
  <c r="BK448" i="3"/>
  <c r="BA448" i="3"/>
  <c r="AZ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L449" i="3"/>
  <c r="AZ449" i="3"/>
  <c r="BS449" i="3"/>
  <c r="BT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AZ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L455" i="3"/>
  <c r="AZ455" i="3"/>
  <c r="BS455" i="3"/>
  <c r="BT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L458" i="3"/>
  <c r="AZ458" i="3"/>
  <c r="BS458" i="3"/>
  <c r="BT458" i="3"/>
  <c r="BB459" i="3"/>
  <c r="BC459" i="3"/>
  <c r="BD459" i="3"/>
  <c r="BE459" i="3"/>
  <c r="BF459" i="3"/>
  <c r="BG459" i="3"/>
  <c r="BH459" i="3"/>
  <c r="BI459" i="3"/>
  <c r="BJ459" i="3"/>
  <c r="BK459" i="3"/>
  <c r="BA459" i="3"/>
  <c r="AZ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L461" i="3"/>
  <c r="AZ461" i="3"/>
  <c r="BS461" i="3"/>
  <c r="BT461" i="3"/>
  <c r="BB462" i="3"/>
  <c r="BC462" i="3"/>
  <c r="BD462" i="3"/>
  <c r="BE462" i="3"/>
  <c r="BF462" i="3"/>
  <c r="BG462" i="3"/>
  <c r="BH462" i="3"/>
  <c r="BI462" i="3"/>
  <c r="BJ462" i="3"/>
  <c r="BK462" i="3"/>
  <c r="BA462" i="3"/>
  <c r="AZ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L465" i="3"/>
  <c r="AZ465" i="3"/>
  <c r="BS465" i="3"/>
  <c r="BT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L471" i="3"/>
  <c r="AZ471" i="3"/>
  <c r="BS471" i="3"/>
  <c r="BT471" i="3"/>
  <c r="BB472" i="3"/>
  <c r="BC472" i="3"/>
  <c r="BD472" i="3"/>
  <c r="BE472" i="3"/>
  <c r="BF472" i="3"/>
  <c r="BG472" i="3"/>
  <c r="BH472" i="3"/>
  <c r="BI472" i="3"/>
  <c r="BJ472" i="3"/>
  <c r="BK472" i="3"/>
  <c r="BA472" i="3"/>
  <c r="AZ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L473" i="3"/>
  <c r="AZ473" i="3"/>
  <c r="BS473" i="3"/>
  <c r="BT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AC13" i="3"/>
  <c r="G13" i="3"/>
  <c r="AC14" i="3"/>
  <c r="G14"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E22" i="6"/>
  <c r="E23" i="6"/>
  <c r="E24" i="6"/>
  <c r="E25" i="6"/>
  <c r="E26" i="6"/>
  <c r="S8" i="1"/>
  <c r="F15" i="85"/>
  <c r="F17" i="85"/>
  <c r="F18" i="85"/>
  <c r="F20" i="85"/>
  <c r="B22" i="1"/>
  <c r="F23" i="85"/>
  <c r="F21" i="85"/>
  <c r="M18" i="85"/>
  <c r="M19" i="85"/>
  <c r="M20" i="85"/>
  <c r="M47" i="85"/>
  <c r="J50" i="85"/>
  <c r="J51" i="85"/>
  <c r="E15" i="4"/>
  <c r="F8" i="1"/>
  <c r="AG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4" i="1"/>
  <c r="F34" i="11"/>
  <c r="K7" i="1"/>
  <c r="M7" i="1"/>
  <c r="M8" i="1"/>
  <c r="A9" i="1"/>
  <c r="K9" i="1"/>
  <c r="M9" i="1"/>
  <c r="A10" i="1"/>
  <c r="K10" i="1"/>
  <c r="M10" i="1"/>
  <c r="A11" i="1"/>
  <c r="K11" i="1"/>
  <c r="M11" i="1"/>
  <c r="A12" i="1"/>
  <c r="K12" i="1"/>
  <c r="M12" i="1"/>
  <c r="A13" i="1"/>
  <c r="K13" i="1"/>
  <c r="M13" i="1"/>
  <c r="F35" i="11"/>
  <c r="E37" i="11"/>
  <c r="F38" i="11"/>
  <c r="F20" i="11"/>
  <c r="F21" i="11"/>
  <c r="C40" i="11"/>
  <c r="F30" i="11"/>
  <c r="C48" i="11"/>
  <c r="F7" i="11"/>
  <c r="C7" i="11"/>
  <c r="C5" i="11"/>
  <c r="C8" i="11"/>
  <c r="B31" i="1"/>
  <c r="E19" i="11"/>
  <c r="B23" i="1"/>
  <c r="C21"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M5" i="3"/>
  <c r="BN5" i="3"/>
  <c r="BO5" i="3"/>
  <c r="BP5" i="3"/>
  <c r="E5" i="6"/>
  <c r="D9" i="11"/>
  <c r="C9" i="11"/>
  <c r="E9" i="11"/>
  <c r="R524" i="31"/>
  <c r="S524" i="31"/>
  <c r="Q524" i="31"/>
  <c r="O524" i="31"/>
  <c r="M524" i="31"/>
  <c r="K524"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F8" i="34"/>
  <c r="AA8" i="34"/>
  <c r="C64" i="34"/>
  <c r="F10" i="34"/>
  <c r="AA10" i="34"/>
  <c r="F11" i="34"/>
  <c r="AA11" i="34"/>
  <c r="B71" i="34"/>
  <c r="F12" i="34"/>
  <c r="AA12" i="34"/>
  <c r="B73" i="34"/>
  <c r="B75" i="34"/>
  <c r="F14" i="34"/>
  <c r="AA14" i="34"/>
  <c r="F15" i="34"/>
  <c r="AA15" i="34"/>
  <c r="F17" i="34"/>
  <c r="AA17" i="34"/>
  <c r="F19" i="34"/>
  <c r="AA19" i="34"/>
  <c r="F21" i="34"/>
  <c r="AA21" i="34"/>
  <c r="F23" i="34"/>
  <c r="AA23" i="34"/>
  <c r="D88" i="34"/>
  <c r="E88" i="34"/>
  <c r="F88" i="34"/>
  <c r="B89" i="34"/>
  <c r="D90" i="34"/>
  <c r="F27" i="34"/>
  <c r="AA27" i="34"/>
  <c r="B91" i="34"/>
  <c r="B93" i="34"/>
  <c r="F29" i="34"/>
  <c r="AA29" i="34"/>
  <c r="B95" i="34"/>
  <c r="B97" i="34"/>
  <c r="F31" i="34"/>
  <c r="AA31" i="34"/>
  <c r="B99" i="34"/>
  <c r="F33" i="34"/>
  <c r="AA33" i="34"/>
  <c r="D107" i="34"/>
  <c r="F35" i="34"/>
  <c r="AA35" i="34"/>
  <c r="F36" i="34"/>
  <c r="AA36" i="34"/>
  <c r="D112" i="34"/>
  <c r="E112" i="34"/>
  <c r="F38" i="34"/>
  <c r="AA38" i="34"/>
  <c r="F39" i="34"/>
  <c r="AA39" i="34"/>
  <c r="D118" i="34"/>
  <c r="D120" i="34"/>
  <c r="F41" i="34"/>
  <c r="AA41" i="34"/>
  <c r="F42" i="34"/>
  <c r="AA42" i="34"/>
  <c r="D124" i="34"/>
  <c r="E124" i="34"/>
  <c r="F124" i="34"/>
  <c r="F44" i="34"/>
  <c r="AA44" i="34"/>
  <c r="B127" i="34"/>
  <c r="B129" i="34"/>
  <c r="B131" i="34"/>
  <c r="F47" i="34"/>
  <c r="AA47" i="34"/>
  <c r="H8" i="34"/>
  <c r="AB8" i="34"/>
  <c r="H10" i="34"/>
  <c r="AB10" i="34"/>
  <c r="H11" i="34"/>
  <c r="AB11" i="34"/>
  <c r="H12" i="34"/>
  <c r="AB12" i="34"/>
  <c r="H14" i="34"/>
  <c r="AB14" i="34"/>
  <c r="H15" i="34"/>
  <c r="AB15" i="34"/>
  <c r="H17" i="34"/>
  <c r="AB17" i="34"/>
  <c r="H19" i="34"/>
  <c r="AB19" i="34"/>
  <c r="H21" i="34"/>
  <c r="AB21" i="34"/>
  <c r="H23" i="34"/>
  <c r="AB23" i="34"/>
  <c r="H27" i="34"/>
  <c r="AB27" i="34"/>
  <c r="H29" i="34"/>
  <c r="AB29" i="34"/>
  <c r="H31" i="34"/>
  <c r="AB31" i="34"/>
  <c r="H33" i="34"/>
  <c r="AB33" i="34"/>
  <c r="H35" i="34"/>
  <c r="AB35" i="34"/>
  <c r="H36" i="34"/>
  <c r="AB36" i="34"/>
  <c r="H38" i="34"/>
  <c r="AB38" i="34"/>
  <c r="H39" i="34"/>
  <c r="AB39" i="34"/>
  <c r="H41" i="34"/>
  <c r="AB41" i="34"/>
  <c r="H42" i="34"/>
  <c r="AB42" i="34"/>
  <c r="H44" i="34"/>
  <c r="AB44" i="34"/>
  <c r="H47" i="34"/>
  <c r="AB4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7" i="34"/>
  <c r="AC27" i="34"/>
  <c r="J28" i="34"/>
  <c r="AC28" i="34"/>
  <c r="J29" i="34"/>
  <c r="AC29" i="34"/>
  <c r="J30" i="34"/>
  <c r="AC30" i="34"/>
  <c r="J31" i="34"/>
  <c r="AC31" i="34"/>
  <c r="J32" i="34"/>
  <c r="AC32" i="34"/>
  <c r="J33" i="34"/>
  <c r="AC33" i="34"/>
  <c r="J35" i="34"/>
  <c r="AC35" i="34"/>
  <c r="J36" i="34"/>
  <c r="AC36" i="34"/>
  <c r="J38" i="34"/>
  <c r="AC38" i="34"/>
  <c r="J39" i="34"/>
  <c r="AC39" i="34"/>
  <c r="J41" i="34"/>
  <c r="AC41" i="34"/>
  <c r="J42" i="34"/>
  <c r="AC42" i="34"/>
  <c r="J44" i="34"/>
  <c r="AC44" i="34"/>
  <c r="J47" i="34"/>
  <c r="AC47" i="34"/>
  <c r="C17" i="9"/>
  <c r="D17" i="9"/>
  <c r="C18" i="9"/>
  <c r="D18" i="9"/>
  <c r="R48"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F25" i="77"/>
  <c r="AA25" i="77"/>
  <c r="E88" i="77"/>
  <c r="F88" i="77"/>
  <c r="B89" i="77"/>
  <c r="D90" i="77"/>
  <c r="E90" i="77"/>
  <c r="B91" i="77"/>
  <c r="F28" i="77"/>
  <c r="AA28" i="77"/>
  <c r="B93" i="77"/>
  <c r="F29" i="77"/>
  <c r="AA29" i="77"/>
  <c r="B95" i="77"/>
  <c r="F30" i="77"/>
  <c r="AA30" i="77"/>
  <c r="B97" i="77"/>
  <c r="F31" i="77"/>
  <c r="AA31" i="77"/>
  <c r="B99" i="77"/>
  <c r="F32" i="77"/>
  <c r="AA32" i="77"/>
  <c r="F33" i="77"/>
  <c r="AA33" i="77"/>
  <c r="D107" i="77"/>
  <c r="F35" i="77"/>
  <c r="AA35" i="77"/>
  <c r="F36" i="77"/>
  <c r="AA36" i="77"/>
  <c r="G112" i="77"/>
  <c r="F38" i="77"/>
  <c r="AA38" i="77"/>
  <c r="F39" i="77"/>
  <c r="AA39" i="77"/>
  <c r="D118" i="77"/>
  <c r="D120" i="77"/>
  <c r="F41" i="77"/>
  <c r="AA41" i="77"/>
  <c r="F42" i="77"/>
  <c r="AA42" i="77"/>
  <c r="D124" i="77"/>
  <c r="E124" i="77"/>
  <c r="F44" i="77"/>
  <c r="AA44" i="77"/>
  <c r="B127" i="77"/>
  <c r="B129" i="77"/>
  <c r="B131" i="77"/>
  <c r="F47" i="77"/>
  <c r="AA4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7" i="77"/>
  <c r="AB27" i="77"/>
  <c r="H28" i="77"/>
  <c r="AB28" i="77"/>
  <c r="H29" i="77"/>
  <c r="AB29" i="77"/>
  <c r="H30" i="77"/>
  <c r="AB30" i="77"/>
  <c r="H31" i="77"/>
  <c r="AB31" i="77"/>
  <c r="H32" i="77"/>
  <c r="AB32" i="77"/>
  <c r="H33" i="77"/>
  <c r="AB33" i="77"/>
  <c r="H35" i="77"/>
  <c r="AB35" i="77"/>
  <c r="H36" i="77"/>
  <c r="AB36" i="77"/>
  <c r="H38" i="77"/>
  <c r="AB38" i="77"/>
  <c r="H39" i="77"/>
  <c r="AB39" i="77"/>
  <c r="H41" i="77"/>
  <c r="AB41" i="77"/>
  <c r="H42" i="77"/>
  <c r="AB42" i="77"/>
  <c r="H44" i="77"/>
  <c r="AB44" i="77"/>
  <c r="H47" i="77"/>
  <c r="AB4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J33" i="77"/>
  <c r="AC33" i="77"/>
  <c r="J35" i="77"/>
  <c r="AC35" i="77"/>
  <c r="J36" i="77"/>
  <c r="AC36" i="77"/>
  <c r="J38" i="77"/>
  <c r="AC38" i="77"/>
  <c r="J39" i="77"/>
  <c r="AC39" i="77"/>
  <c r="J41" i="77"/>
  <c r="AC41" i="77"/>
  <c r="J42" i="77"/>
  <c r="AC42" i="77"/>
  <c r="J44" i="77"/>
  <c r="AC44" i="77"/>
  <c r="J47" i="77"/>
  <c r="AC47" i="77"/>
  <c r="F33" i="67"/>
  <c r="F15" i="67"/>
  <c r="F17" i="67"/>
  <c r="F18" i="67"/>
  <c r="F20" i="67"/>
  <c r="F23" i="67"/>
  <c r="F21" i="67"/>
  <c r="M47" i="67"/>
  <c r="J50" i="67"/>
  <c r="J51" i="67"/>
  <c r="C43" i="31"/>
  <c r="E43" i="31"/>
  <c r="G43" i="31"/>
  <c r="I43" i="31"/>
  <c r="K43" i="31"/>
  <c r="M43" i="31"/>
  <c r="O43" i="31"/>
  <c r="Q43" i="31"/>
  <c r="R43" i="31"/>
  <c r="S43" i="31"/>
  <c r="C42" i="31"/>
  <c r="E42" i="31"/>
  <c r="G42" i="31"/>
  <c r="I42" i="31"/>
  <c r="K42" i="31"/>
  <c r="M42" i="31"/>
  <c r="O42" i="31"/>
  <c r="Q42" i="31"/>
  <c r="R42" i="31"/>
  <c r="S42" i="31"/>
  <c r="C41" i="31"/>
  <c r="E41" i="31"/>
  <c r="G41" i="31"/>
  <c r="I41" i="31"/>
  <c r="K41" i="31"/>
  <c r="M41" i="31"/>
  <c r="O41" i="31"/>
  <c r="Q41" i="31"/>
  <c r="R41" i="31"/>
  <c r="S41" i="31"/>
  <c r="C40" i="31"/>
  <c r="E40" i="31"/>
  <c r="G40" i="31"/>
  <c r="I40" i="31"/>
  <c r="K40" i="31"/>
  <c r="M40" i="31"/>
  <c r="O40" i="31"/>
  <c r="Q40" i="31"/>
  <c r="R40" i="31"/>
  <c r="S40" i="31"/>
  <c r="C39" i="31"/>
  <c r="E39" i="31"/>
  <c r="G39" i="31"/>
  <c r="I39" i="31"/>
  <c r="K39" i="31"/>
  <c r="M39" i="31"/>
  <c r="O39" i="31"/>
  <c r="Q39" i="31"/>
  <c r="R39" i="31"/>
  <c r="S39" i="31"/>
  <c r="C38" i="31"/>
  <c r="E38" i="31"/>
  <c r="G38" i="31"/>
  <c r="I38" i="31"/>
  <c r="K38" i="31"/>
  <c r="M38" i="31"/>
  <c r="O38" i="31"/>
  <c r="Q38" i="31"/>
  <c r="R38" i="31"/>
  <c r="S38" i="31"/>
  <c r="C37" i="31"/>
  <c r="E37" i="31"/>
  <c r="G37" i="31"/>
  <c r="I37" i="31"/>
  <c r="K37" i="31"/>
  <c r="M37" i="31"/>
  <c r="O37" i="31"/>
  <c r="Q37" i="31"/>
  <c r="R37" i="31"/>
  <c r="S37" i="31"/>
  <c r="C36" i="31"/>
  <c r="E36" i="31"/>
  <c r="G36" i="31"/>
  <c r="I36" i="31"/>
  <c r="K36" i="31"/>
  <c r="M36" i="31"/>
  <c r="O36" i="31"/>
  <c r="Q36" i="31"/>
  <c r="R36" i="31"/>
  <c r="S36" i="31"/>
  <c r="C35" i="31"/>
  <c r="E35" i="31"/>
  <c r="G35" i="31"/>
  <c r="I35" i="31"/>
  <c r="K35" i="31"/>
  <c r="M35" i="31"/>
  <c r="O35" i="31"/>
  <c r="Q35" i="31"/>
  <c r="R35" i="31"/>
  <c r="S35" i="31"/>
  <c r="C34" i="31"/>
  <c r="E34" i="31"/>
  <c r="G34" i="31"/>
  <c r="I34" i="31"/>
  <c r="K34" i="31"/>
  <c r="M34" i="31"/>
  <c r="O34" i="31"/>
  <c r="Q34" i="31"/>
  <c r="R34" i="31"/>
  <c r="S34" i="31"/>
  <c r="C33" i="31"/>
  <c r="E33" i="31"/>
  <c r="G33" i="31"/>
  <c r="I33" i="31"/>
  <c r="K33" i="31"/>
  <c r="M33" i="31"/>
  <c r="O33" i="31"/>
  <c r="Q33" i="31"/>
  <c r="R33" i="31"/>
  <c r="S33" i="31"/>
  <c r="C32" i="31"/>
  <c r="E32" i="31"/>
  <c r="G32" i="31"/>
  <c r="I32" i="31"/>
  <c r="K32" i="31"/>
  <c r="M32" i="31"/>
  <c r="O32" i="31"/>
  <c r="Q32" i="31"/>
  <c r="R32" i="31"/>
  <c r="S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 i="1"/>
  <c r="K59" i="85"/>
  <c r="P74" i="85"/>
  <c r="Q72" i="85"/>
  <c r="F61" i="85"/>
  <c r="P61" i="85"/>
  <c r="Q59" i="85"/>
  <c r="F59" i="85"/>
  <c r="Q58" i="85"/>
  <c r="Q51" i="85"/>
  <c r="D46" i="85"/>
  <c r="F31" i="85"/>
  <c r="D24" i="85"/>
  <c r="D23" i="85"/>
  <c r="D22" i="85"/>
  <c r="M17" i="85"/>
  <c r="S7" i="1"/>
  <c r="F15" i="79"/>
  <c r="F17" i="79"/>
  <c r="F18" i="79"/>
  <c r="F20" i="79"/>
  <c r="F23" i="79"/>
  <c r="F21" i="79"/>
  <c r="F28" i="79"/>
  <c r="C28" i="79"/>
  <c r="F32" i="79"/>
  <c r="F33" i="79"/>
  <c r="F34" i="79"/>
  <c r="R7" i="1"/>
  <c r="M47" i="79"/>
  <c r="J50" i="79"/>
  <c r="J51" i="79"/>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c r="Q72" i="67"/>
  <c r="F60" i="67"/>
  <c r="F61" i="67"/>
  <c r="F62" i="67"/>
  <c r="P61" i="67"/>
  <c r="Q59" i="67"/>
  <c r="F59" i="67"/>
  <c r="Q58" i="67"/>
  <c r="Q51" i="67"/>
  <c r="D46" i="67"/>
  <c r="F31" i="67"/>
  <c r="AG6" i="1"/>
  <c r="M18" i="67"/>
  <c r="M19" i="67"/>
  <c r="M20" i="67"/>
  <c r="D24" i="67"/>
  <c r="D23" i="67"/>
  <c r="D22" i="67"/>
  <c r="M17" i="67"/>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E91" i="86"/>
  <c r="F91" i="86"/>
  <c r="G91" i="86"/>
  <c r="H91" i="86"/>
  <c r="I91" i="86"/>
  <c r="J91" i="86"/>
  <c r="K91" i="86"/>
  <c r="L91" i="86"/>
  <c r="M91" i="86"/>
  <c r="F87" i="86"/>
  <c r="G87" i="86"/>
  <c r="H87" i="86"/>
  <c r="I87" i="86"/>
  <c r="J87" i="86"/>
  <c r="K87" i="86"/>
  <c r="L87" i="86"/>
  <c r="M87" i="86"/>
  <c r="E85" i="86"/>
  <c r="F85" i="86"/>
  <c r="G85" i="86"/>
  <c r="D83" i="86"/>
  <c r="E83" i="86"/>
  <c r="F83" i="86"/>
  <c r="G83" i="86"/>
  <c r="D81"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P49" i="86"/>
  <c r="P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Q35" i="86"/>
  <c r="Z35" i="86"/>
  <c r="W35" i="86"/>
  <c r="Q34" i="86"/>
  <c r="Z34" i="86"/>
  <c r="W34" i="86"/>
  <c r="U34" i="86"/>
  <c r="S34" i="86"/>
  <c r="Q33" i="86"/>
  <c r="Z33" i="86"/>
  <c r="W33" i="86"/>
  <c r="U33" i="86"/>
  <c r="S33" i="86"/>
  <c r="Q32" i="86"/>
  <c r="Z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D72" i="71"/>
  <c r="F71" i="71"/>
  <c r="F70" i="71"/>
  <c r="F69" i="71"/>
  <c r="E71" i="71"/>
  <c r="C71" i="71"/>
  <c r="D71" i="71"/>
  <c r="B71" i="71"/>
  <c r="B70" i="71"/>
  <c r="B69" i="71"/>
  <c r="E70" i="71"/>
  <c r="E69" i="71"/>
  <c r="D68" i="71"/>
  <c r="F67" i="71"/>
  <c r="F66" i="71"/>
  <c r="F65" i="71"/>
  <c r="E67" i="71"/>
  <c r="C67" i="71"/>
  <c r="D67" i="71"/>
  <c r="B67" i="71"/>
  <c r="B66" i="71"/>
  <c r="B65" i="71"/>
  <c r="E66" i="71"/>
  <c r="E65" i="71"/>
  <c r="D64" i="71"/>
  <c r="F63" i="71"/>
  <c r="V63" i="71"/>
  <c r="E63" i="71"/>
  <c r="U63" i="71"/>
  <c r="C63" i="71"/>
  <c r="T63" i="71"/>
  <c r="B63" i="71"/>
  <c r="S63" i="71"/>
  <c r="Q63" i="71"/>
  <c r="P63" i="71"/>
  <c r="O63" i="71"/>
  <c r="N63" i="71"/>
  <c r="D63" i="71"/>
  <c r="Q62" i="71"/>
  <c r="P62" i="71"/>
  <c r="O62" i="71"/>
  <c r="N62" i="71"/>
  <c r="E62" i="71"/>
  <c r="E61" i="71"/>
  <c r="Q61" i="71"/>
  <c r="P61" i="71"/>
  <c r="O61" i="71"/>
  <c r="N61" i="71"/>
  <c r="Q60" i="71"/>
  <c r="P60" i="71"/>
  <c r="O60" i="71"/>
  <c r="N60" i="71"/>
  <c r="D60" i="71"/>
  <c r="F59" i="71"/>
  <c r="V59" i="71"/>
  <c r="E59" i="71"/>
  <c r="U59" i="71"/>
  <c r="C59" i="71"/>
  <c r="T59" i="71"/>
  <c r="B59" i="71"/>
  <c r="S59" i="71"/>
  <c r="Q59" i="71"/>
  <c r="P59" i="71"/>
  <c r="O59" i="71"/>
  <c r="N59" i="71"/>
  <c r="D59" i="71"/>
  <c r="Q58" i="71"/>
  <c r="P58" i="71"/>
  <c r="O58" i="71"/>
  <c r="N58" i="71"/>
  <c r="E58" i="71"/>
  <c r="E57" i="71"/>
  <c r="Q57" i="71"/>
  <c r="P57" i="71"/>
  <c r="O57" i="71"/>
  <c r="N57" i="71"/>
  <c r="Q56" i="71"/>
  <c r="P56" i="71"/>
  <c r="O56" i="71"/>
  <c r="N56" i="71"/>
  <c r="D56" i="71"/>
  <c r="F55" i="71"/>
  <c r="V55" i="71"/>
  <c r="E55" i="71"/>
  <c r="U55" i="71"/>
  <c r="C55" i="71"/>
  <c r="T55" i="71"/>
  <c r="B55" i="71"/>
  <c r="S55" i="71"/>
  <c r="Q55" i="71"/>
  <c r="P55" i="71"/>
  <c r="O55" i="71"/>
  <c r="N55" i="71"/>
  <c r="D55" i="71"/>
  <c r="Q54" i="71"/>
  <c r="P54" i="71"/>
  <c r="O54" i="71"/>
  <c r="N54" i="71"/>
  <c r="E54" i="71"/>
  <c r="E53" i="71"/>
  <c r="Q53" i="71"/>
  <c r="P53" i="71"/>
  <c r="O53" i="71"/>
  <c r="N53" i="71"/>
  <c r="Q52" i="71"/>
  <c r="P52" i="71"/>
  <c r="O52" i="71"/>
  <c r="N52" i="71"/>
  <c r="D52" i="71"/>
  <c r="F51" i="71"/>
  <c r="V51" i="71"/>
  <c r="E51" i="71"/>
  <c r="U51" i="71"/>
  <c r="C51" i="71"/>
  <c r="T51" i="71"/>
  <c r="B51" i="71"/>
  <c r="S51" i="71"/>
  <c r="Q51" i="71"/>
  <c r="O51" i="71"/>
  <c r="D51" i="71"/>
  <c r="D48" i="71"/>
  <c r="Q44" i="71"/>
  <c r="F45" i="71"/>
  <c r="F46" i="71"/>
  <c r="F47" i="71"/>
  <c r="V47" i="71"/>
  <c r="Q45" i="71"/>
  <c r="Q46" i="71"/>
  <c r="P44" i="71"/>
  <c r="E45" i="71"/>
  <c r="P45" i="71"/>
  <c r="E46" i="71"/>
  <c r="P46" i="71"/>
  <c r="E47" i="71"/>
  <c r="U47" i="71"/>
  <c r="O44" i="71"/>
  <c r="C45" i="71"/>
  <c r="O45" i="71"/>
  <c r="O46" i="71"/>
  <c r="N44" i="71"/>
  <c r="B45" i="71"/>
  <c r="N45" i="71"/>
  <c r="B46" i="71"/>
  <c r="N46" i="71"/>
  <c r="B47" i="71"/>
  <c r="S47" i="71"/>
  <c r="Q47" i="71"/>
  <c r="P47" i="71"/>
  <c r="O47" i="71"/>
  <c r="N47" i="71"/>
  <c r="D44" i="71"/>
  <c r="Q40" i="71"/>
  <c r="F41" i="71"/>
  <c r="F42" i="71"/>
  <c r="F43" i="71"/>
  <c r="V43" i="71"/>
  <c r="Q41" i="71"/>
  <c r="Q42" i="71"/>
  <c r="P40" i="71"/>
  <c r="E41" i="71"/>
  <c r="P41" i="71"/>
  <c r="E42" i="71"/>
  <c r="P42" i="71"/>
  <c r="E43" i="71"/>
  <c r="U43" i="71"/>
  <c r="O40" i="71"/>
  <c r="C41" i="71"/>
  <c r="O41" i="71"/>
  <c r="O42" i="71"/>
  <c r="N40" i="71"/>
  <c r="B41" i="71"/>
  <c r="N41" i="71"/>
  <c r="B42" i="71"/>
  <c r="N42" i="71"/>
  <c r="B43" i="71"/>
  <c r="S43" i="71"/>
  <c r="Q43" i="71"/>
  <c r="P43" i="71"/>
  <c r="O43" i="71"/>
  <c r="N43" i="71"/>
  <c r="D40" i="71"/>
  <c r="Q36" i="71"/>
  <c r="F37" i="71"/>
  <c r="F38" i="71"/>
  <c r="F39" i="71"/>
  <c r="V39" i="71"/>
  <c r="Q37" i="71"/>
  <c r="Q38" i="71"/>
  <c r="P36" i="71"/>
  <c r="E37" i="71"/>
  <c r="P37" i="71"/>
  <c r="E38" i="71"/>
  <c r="P38" i="71"/>
  <c r="E39" i="71"/>
  <c r="U39" i="71"/>
  <c r="O36" i="71"/>
  <c r="C37" i="71"/>
  <c r="O37" i="71"/>
  <c r="O38" i="71"/>
  <c r="N36" i="71"/>
  <c r="B37" i="71"/>
  <c r="N37" i="71"/>
  <c r="B38" i="71"/>
  <c r="N38" i="71"/>
  <c r="B39" i="71"/>
  <c r="S39" i="71"/>
  <c r="Q39" i="71"/>
  <c r="P39" i="71"/>
  <c r="O39" i="71"/>
  <c r="N39" i="71"/>
  <c r="D36" i="71"/>
  <c r="Q32" i="71"/>
  <c r="F33" i="71"/>
  <c r="F34" i="71"/>
  <c r="F35" i="71"/>
  <c r="V35" i="71"/>
  <c r="Q33" i="71"/>
  <c r="Q34" i="71"/>
  <c r="P32" i="71"/>
  <c r="E33" i="71"/>
  <c r="P33" i="71"/>
  <c r="E34" i="71"/>
  <c r="P34" i="71"/>
  <c r="E35" i="71"/>
  <c r="U35" i="71"/>
  <c r="O32" i="71"/>
  <c r="C33" i="71"/>
  <c r="O33" i="71"/>
  <c r="O34" i="71"/>
  <c r="N32" i="71"/>
  <c r="B33" i="71"/>
  <c r="N33" i="71"/>
  <c r="B34" i="71"/>
  <c r="N34" i="71"/>
  <c r="B35" i="71"/>
  <c r="S35" i="71"/>
  <c r="Q35" i="71"/>
  <c r="P35" i="71"/>
  <c r="O35" i="71"/>
  <c r="N35" i="71"/>
  <c r="D32" i="71"/>
  <c r="Q28" i="71"/>
  <c r="F29" i="71"/>
  <c r="F30" i="71"/>
  <c r="F31" i="71"/>
  <c r="V31" i="71"/>
  <c r="Q29" i="71"/>
  <c r="Q30" i="71"/>
  <c r="P28" i="71"/>
  <c r="E29" i="71"/>
  <c r="P29" i="71"/>
  <c r="E30" i="71"/>
  <c r="P30" i="71"/>
  <c r="E31" i="71"/>
  <c r="U31" i="71"/>
  <c r="T31" i="71"/>
  <c r="N28" i="71"/>
  <c r="B29" i="71"/>
  <c r="N29" i="71"/>
  <c r="B30" i="71"/>
  <c r="N30" i="71"/>
  <c r="B31" i="71"/>
  <c r="S31" i="71"/>
  <c r="Q31" i="71"/>
  <c r="P31" i="71"/>
  <c r="O31" i="71"/>
  <c r="N31" i="71"/>
  <c r="D31" i="71"/>
  <c r="O30" i="71"/>
  <c r="O28" i="71"/>
  <c r="C29" i="71"/>
  <c r="O29" i="71"/>
  <c r="D28" i="71"/>
  <c r="Q24" i="71"/>
  <c r="F25" i="71"/>
  <c r="Q25" i="71"/>
  <c r="F26" i="71"/>
  <c r="Q26" i="71"/>
  <c r="F27" i="71"/>
  <c r="V27" i="71"/>
  <c r="P24" i="71"/>
  <c r="E25" i="71"/>
  <c r="E26" i="71"/>
  <c r="E27" i="71"/>
  <c r="U27" i="71"/>
  <c r="P25" i="71"/>
  <c r="P26" i="71"/>
  <c r="O24" i="71"/>
  <c r="C25" i="71"/>
  <c r="D25" i="71"/>
  <c r="O25" i="71"/>
  <c r="C26" i="71"/>
  <c r="O26" i="71"/>
  <c r="C27" i="71"/>
  <c r="T27" i="71"/>
  <c r="N24" i="71"/>
  <c r="B25" i="71"/>
  <c r="B26" i="71"/>
  <c r="B27" i="71"/>
  <c r="S27" i="71"/>
  <c r="N25" i="71"/>
  <c r="N26" i="71"/>
  <c r="Q27" i="71"/>
  <c r="P27" i="71"/>
  <c r="O27" i="71"/>
  <c r="N27" i="71"/>
  <c r="D26" i="71"/>
  <c r="D24" i="71"/>
  <c r="AH23" i="71"/>
  <c r="AG23" i="71"/>
  <c r="AE23" i="71"/>
  <c r="AF23" i="71"/>
  <c r="AD23" i="71"/>
  <c r="Q20" i="71"/>
  <c r="F21" i="71"/>
  <c r="F22" i="71"/>
  <c r="F23" i="71"/>
  <c r="V23" i="71"/>
  <c r="Q21" i="71"/>
  <c r="AB21" i="71"/>
  <c r="Q22" i="71"/>
  <c r="P20" i="71"/>
  <c r="E21" i="71"/>
  <c r="P21" i="71"/>
  <c r="E22" i="71"/>
  <c r="P22" i="71"/>
  <c r="E23" i="71"/>
  <c r="U23" i="71"/>
  <c r="O20" i="71"/>
  <c r="C21" i="71"/>
  <c r="O21" i="71"/>
  <c r="Y21" i="71"/>
  <c r="Z21" i="71"/>
  <c r="O22" i="71"/>
  <c r="N20" i="71"/>
  <c r="B21" i="71"/>
  <c r="N21" i="71"/>
  <c r="B22" i="71"/>
  <c r="N22" i="71"/>
  <c r="B23" i="71"/>
  <c r="S23" i="71"/>
  <c r="Q23" i="71"/>
  <c r="P23" i="71"/>
  <c r="O23" i="71"/>
  <c r="N23" i="71"/>
  <c r="AH22" i="71"/>
  <c r="AG22" i="71"/>
  <c r="AE22" i="71"/>
  <c r="AF22" i="71"/>
  <c r="AD22" i="71"/>
  <c r="AB22" i="71"/>
  <c r="AA22" i="71"/>
  <c r="Y22" i="71"/>
  <c r="Z22" i="71"/>
  <c r="X22" i="71"/>
  <c r="AH21" i="71"/>
  <c r="AG21" i="71"/>
  <c r="AE21" i="71"/>
  <c r="AF21" i="71"/>
  <c r="AD21" i="71"/>
  <c r="AA21" i="71"/>
  <c r="X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F18" i="71"/>
  <c r="F19" i="71"/>
  <c r="V19" i="71"/>
  <c r="Q17" i="71"/>
  <c r="AB17" i="71"/>
  <c r="Q18" i="71"/>
  <c r="P16" i="71"/>
  <c r="E17" i="71"/>
  <c r="P17" i="71"/>
  <c r="E18" i="71"/>
  <c r="P18" i="71"/>
  <c r="E19" i="71"/>
  <c r="U19" i="71"/>
  <c r="O16" i="71"/>
  <c r="C17" i="71"/>
  <c r="O17" i="71"/>
  <c r="Y17" i="71"/>
  <c r="Z17" i="71"/>
  <c r="O18" i="71"/>
  <c r="N16" i="71"/>
  <c r="B17" i="71"/>
  <c r="N17" i="71"/>
  <c r="B18" i="71"/>
  <c r="N18" i="71"/>
  <c r="B19" i="71"/>
  <c r="S19" i="71"/>
  <c r="AH18" i="71"/>
  <c r="AG18" i="71"/>
  <c r="AE18" i="71"/>
  <c r="AF18" i="71"/>
  <c r="AD18" i="71"/>
  <c r="AB18" i="71"/>
  <c r="AA18" i="71"/>
  <c r="Y18" i="71"/>
  <c r="Z18" i="71"/>
  <c r="X18" i="71"/>
  <c r="AH17" i="71"/>
  <c r="AG17" i="71"/>
  <c r="AE17" i="71"/>
  <c r="AF17" i="71"/>
  <c r="AD17" i="71"/>
  <c r="AA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F14" i="71"/>
  <c r="F15" i="71"/>
  <c r="V15" i="71"/>
  <c r="Q13" i="71"/>
  <c r="AB13" i="71"/>
  <c r="Q14" i="71"/>
  <c r="P12" i="71"/>
  <c r="E13" i="71"/>
  <c r="P13" i="71"/>
  <c r="E14" i="71"/>
  <c r="P14" i="71"/>
  <c r="E15" i="71"/>
  <c r="U15" i="71"/>
  <c r="O12" i="71"/>
  <c r="C13" i="71"/>
  <c r="O13" i="71"/>
  <c r="Y13" i="71"/>
  <c r="Z13" i="71"/>
  <c r="O14" i="71"/>
  <c r="N12" i="71"/>
  <c r="B13" i="71"/>
  <c r="N13" i="71"/>
  <c r="B14" i="71"/>
  <c r="N14" i="71"/>
  <c r="B15" i="71"/>
  <c r="S15" i="71"/>
  <c r="AH14" i="71"/>
  <c r="AG14" i="71"/>
  <c r="AE14" i="71"/>
  <c r="AF14" i="71"/>
  <c r="AD14" i="71"/>
  <c r="AB14" i="71"/>
  <c r="AA14" i="71"/>
  <c r="Y14" i="71"/>
  <c r="Z14" i="71"/>
  <c r="X14" i="71"/>
  <c r="AH13" i="71"/>
  <c r="AG13" i="71"/>
  <c r="AE13" i="71"/>
  <c r="AF13" i="71"/>
  <c r="AD13" i="71"/>
  <c r="AA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B11" i="71"/>
  <c r="S11" i="71"/>
  <c r="F11" i="71"/>
  <c r="F10" i="71"/>
  <c r="F9" i="71"/>
  <c r="AH10" i="71"/>
  <c r="AG10" i="71"/>
  <c r="AE10" i="71"/>
  <c r="AF10" i="71"/>
  <c r="AD10" i="71"/>
  <c r="Q10" i="71"/>
  <c r="AB10" i="71"/>
  <c r="P10" i="71"/>
  <c r="AA10" i="71"/>
  <c r="O10" i="71"/>
  <c r="Y10" i="71"/>
  <c r="Z10" i="71"/>
  <c r="N10" i="71"/>
  <c r="X10" i="71"/>
  <c r="E10" i="71"/>
  <c r="E9" i="71"/>
  <c r="AH9" i="71"/>
  <c r="AG9" i="71"/>
  <c r="AE9" i="71"/>
  <c r="AF9" i="71"/>
  <c r="AD9" i="71"/>
  <c r="Q9" i="71"/>
  <c r="AB9" i="71"/>
  <c r="P9" i="71"/>
  <c r="AA9" i="71"/>
  <c r="O9" i="71"/>
  <c r="Y9" i="71"/>
  <c r="Z9" i="71"/>
  <c r="N9" i="71"/>
  <c r="X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B7" i="71"/>
  <c r="S7" i="71"/>
  <c r="F7" i="71"/>
  <c r="F6" i="71"/>
  <c r="F5" i="71"/>
  <c r="AH6" i="71"/>
  <c r="AG6" i="71"/>
  <c r="AE6" i="71"/>
  <c r="AF6" i="71"/>
  <c r="AD6" i="71"/>
  <c r="Q6" i="71"/>
  <c r="AB6" i="71"/>
  <c r="P6" i="71"/>
  <c r="AA6" i="71"/>
  <c r="O6" i="71"/>
  <c r="Y6" i="71"/>
  <c r="Z6" i="71"/>
  <c r="N6" i="71"/>
  <c r="X6" i="71"/>
  <c r="E6" i="71"/>
  <c r="E5" i="71"/>
  <c r="AH5" i="71"/>
  <c r="AG5" i="71"/>
  <c r="AE5" i="71"/>
  <c r="AF5" i="71"/>
  <c r="AD5" i="71"/>
  <c r="Q5" i="71"/>
  <c r="AB5" i="71"/>
  <c r="P5" i="71"/>
  <c r="AA5" i="71"/>
  <c r="O5" i="71"/>
  <c r="Y5" i="71"/>
  <c r="Z5" i="71"/>
  <c r="N5" i="71"/>
  <c r="X5" i="71"/>
  <c r="L3" i="71"/>
  <c r="AH3" i="71"/>
  <c r="K3" i="71"/>
  <c r="AG3" i="71"/>
  <c r="J3" i="71"/>
  <c r="AE3" i="71"/>
  <c r="AF3" i="71"/>
  <c r="I3" i="71"/>
  <c r="AD3" i="71"/>
  <c r="AB3" i="71"/>
  <c r="Y3" i="71"/>
  <c r="Z3" i="71"/>
  <c r="X3" i="71"/>
  <c r="D1" i="43"/>
  <c r="G2" i="43"/>
  <c r="C6" i="43"/>
  <c r="G17" i="43"/>
  <c r="I17" i="43"/>
  <c r="C17" i="43"/>
  <c r="C10" i="43"/>
  <c r="C11" i="43"/>
  <c r="C9" i="43"/>
  <c r="C15" i="43"/>
  <c r="D15" i="43"/>
  <c r="E15" i="43"/>
  <c r="F15" i="43"/>
  <c r="C12" i="43"/>
  <c r="C18" i="43"/>
  <c r="G19" i="43"/>
  <c r="M19" i="43"/>
  <c r="G20" i="43"/>
  <c r="I20" i="43"/>
  <c r="C20" i="43"/>
  <c r="J20" i="43"/>
  <c r="I4" i="6"/>
  <c r="G3" i="43"/>
  <c r="C24" i="43"/>
  <c r="D5" i="43"/>
  <c r="F33" i="43"/>
  <c r="H33" i="43"/>
  <c r="F34" i="43"/>
  <c r="F35" i="43"/>
  <c r="F36" i="43"/>
  <c r="F37" i="43"/>
  <c r="F38" i="43"/>
  <c r="F39" i="43"/>
  <c r="C99" i="43"/>
  <c r="C101" i="43"/>
  <c r="C103" i="43"/>
  <c r="C105" i="43"/>
  <c r="C107" i="43"/>
  <c r="E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N104" i="46"/>
  <c r="N99" i="43"/>
  <c r="N108" i="43"/>
  <c r="M99" i="43"/>
  <c r="M108" i="43"/>
  <c r="L99" i="43"/>
  <c r="L108" i="43"/>
  <c r="K99" i="43"/>
  <c r="K108" i="43"/>
  <c r="J99" i="43"/>
  <c r="J108" i="43"/>
  <c r="I99" i="43"/>
  <c r="I108" i="43"/>
  <c r="H99" i="43"/>
  <c r="H108" i="43"/>
  <c r="G99" i="43"/>
  <c r="G108" i="43"/>
  <c r="F99" i="43"/>
  <c r="F108" i="43"/>
  <c r="E99" i="43"/>
  <c r="E108"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B79" i="43"/>
  <c r="G15" i="20"/>
  <c r="B81" i="43"/>
  <c r="M78" i="43"/>
  <c r="N78" i="43"/>
  <c r="K78" i="43"/>
  <c r="J78" i="43"/>
  <c r="F70" i="43"/>
  <c r="M77" i="43"/>
  <c r="N77" i="43"/>
  <c r="K77" i="43"/>
  <c r="J77" i="43"/>
  <c r="H77" i="43"/>
  <c r="C20" i="20"/>
  <c r="B77" i="43"/>
  <c r="M76" i="43"/>
  <c r="N76" i="43"/>
  <c r="K76" i="43"/>
  <c r="J76" i="43"/>
  <c r="M75" i="43"/>
  <c r="N75" i="43"/>
  <c r="K75" i="43"/>
  <c r="J75" i="43"/>
  <c r="H75" i="43"/>
  <c r="C22" i="20"/>
  <c r="B75" i="43"/>
  <c r="M74" i="43"/>
  <c r="N74" i="43"/>
  <c r="K74" i="43"/>
  <c r="J74" i="43"/>
  <c r="C21" i="20"/>
  <c r="M73" i="43"/>
  <c r="N73" i="43"/>
  <c r="K73" i="43"/>
  <c r="J73" i="43"/>
  <c r="H73" i="43"/>
  <c r="C24" i="20"/>
  <c r="B73" i="43"/>
  <c r="M72" i="43"/>
  <c r="N72" i="43"/>
  <c r="K72" i="43"/>
  <c r="J72" i="43"/>
  <c r="B72" i="43"/>
  <c r="M71" i="43"/>
  <c r="N71" i="43"/>
  <c r="K71" i="43"/>
  <c r="J71" i="43"/>
  <c r="C18" i="20"/>
  <c r="M70" i="43"/>
  <c r="N70" i="43"/>
  <c r="K70" i="43"/>
  <c r="J70" i="43"/>
  <c r="H70" i="43"/>
  <c r="C15" i="20"/>
  <c r="B70" i="43"/>
  <c r="M67" i="43"/>
  <c r="N67" i="43"/>
  <c r="K67" i="43"/>
  <c r="J67" i="43"/>
  <c r="F59" i="43"/>
  <c r="H67" i="43"/>
  <c r="B67" i="43"/>
  <c r="M66" i="43"/>
  <c r="N66" i="43"/>
  <c r="K66" i="43"/>
  <c r="J66" i="43"/>
  <c r="H66" i="43"/>
  <c r="B66" i="43"/>
  <c r="M65" i="43"/>
  <c r="N65" i="43"/>
  <c r="K65" i="43"/>
  <c r="J65" i="43"/>
  <c r="H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M59" i="43"/>
  <c r="N59" i="43"/>
  <c r="K59" i="43"/>
  <c r="J59" i="43"/>
  <c r="H59" i="43"/>
  <c r="C17" i="20"/>
  <c r="B59" i="43"/>
  <c r="M56" i="43"/>
  <c r="N56" i="43"/>
  <c r="K56" i="43"/>
  <c r="J56" i="43"/>
  <c r="F48" i="43"/>
  <c r="H56" i="43"/>
  <c r="B56" i="43"/>
  <c r="M55" i="43"/>
  <c r="N55" i="43"/>
  <c r="K55" i="43"/>
  <c r="J55" i="43"/>
  <c r="H55" i="43"/>
  <c r="B55" i="43"/>
  <c r="M54" i="43"/>
  <c r="N54" i="43"/>
  <c r="K54" i="43"/>
  <c r="J54" i="43"/>
  <c r="H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M48" i="43"/>
  <c r="N48" i="43"/>
  <c r="K48" i="43"/>
  <c r="J48" i="43"/>
  <c r="H48" i="43"/>
  <c r="B48" i="43"/>
  <c r="H39" i="43"/>
  <c r="H38" i="43"/>
  <c r="H37" i="43"/>
  <c r="H36" i="43"/>
  <c r="H35" i="43"/>
  <c r="H34" i="43"/>
  <c r="P25" i="43"/>
  <c r="P23" i="43"/>
  <c r="J22" i="43"/>
  <c r="F22" i="43"/>
  <c r="O19" i="43"/>
  <c r="I19" i="43"/>
  <c r="E17" i="43"/>
  <c r="AJ9" i="43"/>
  <c r="AJ12" i="43"/>
  <c r="AJ11" i="43"/>
  <c r="AI9" i="43"/>
  <c r="AI11" i="43"/>
  <c r="AH9" i="43"/>
  <c r="AH12" i="43"/>
  <c r="AH11" i="43"/>
  <c r="AG9" i="43"/>
  <c r="AG11" i="43"/>
  <c r="AF9" i="43"/>
  <c r="AF12" i="43"/>
  <c r="AF11" i="43"/>
  <c r="AE9" i="43"/>
  <c r="AE11" i="43"/>
  <c r="AD9" i="43"/>
  <c r="AD12" i="43"/>
  <c r="AD11" i="43"/>
  <c r="AC9" i="43"/>
  <c r="AC11" i="43"/>
  <c r="AB9" i="43"/>
  <c r="AB12" i="43"/>
  <c r="AB11" i="43"/>
  <c r="AA9" i="43"/>
  <c r="AA11" i="43"/>
  <c r="Z9" i="43"/>
  <c r="Z12" i="43"/>
  <c r="Z11" i="43"/>
  <c r="Y12" i="43"/>
  <c r="I2" i="43"/>
  <c r="N12" i="43"/>
  <c r="M12" i="43"/>
  <c r="N11" i="43"/>
  <c r="M11" i="43"/>
  <c r="AJ10" i="43"/>
  <c r="AH10" i="43"/>
  <c r="AF10" i="43"/>
  <c r="AD10" i="43"/>
  <c r="AB10" i="43"/>
  <c r="Z10" i="43"/>
  <c r="Y10" i="43"/>
  <c r="N10" i="43"/>
  <c r="M10" i="43"/>
  <c r="N9" i="43"/>
  <c r="M9" i="43"/>
  <c r="N8" i="43"/>
  <c r="M8" i="43"/>
  <c r="Z7" i="43"/>
  <c r="X7" i="43"/>
  <c r="S7" i="43"/>
  <c r="N7" i="43"/>
  <c r="M7" i="43"/>
  <c r="A7" i="43"/>
  <c r="S6" i="43"/>
  <c r="N6" i="43"/>
  <c r="M6" i="43"/>
  <c r="N5" i="43"/>
  <c r="M5" i="43"/>
  <c r="S4" i="43"/>
  <c r="N4" i="43"/>
  <c r="M4" i="43"/>
  <c r="N3" i="43"/>
  <c r="M3"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C7" i="40"/>
  <c r="C63" i="40"/>
  <c r="R41"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BB10" i="3"/>
  <c r="BD10" i="3"/>
  <c r="BE10" i="3"/>
  <c r="BF10" i="3"/>
  <c r="BG10" i="3"/>
  <c r="BH10" i="3"/>
  <c r="BI10" i="3"/>
  <c r="BJ10" i="3"/>
  <c r="BK10" i="3"/>
  <c r="F35" i="4"/>
  <c r="J50" i="40"/>
  <c r="I48" i="40"/>
  <c r="J48" i="40"/>
  <c r="G48" i="40"/>
  <c r="H48" i="40"/>
  <c r="E48" i="40"/>
  <c r="F48" i="40"/>
  <c r="V41" i="40"/>
  <c r="T41" i="40"/>
  <c r="P43" i="40"/>
  <c r="P42" i="40"/>
  <c r="P41" i="40"/>
  <c r="Q40" i="40"/>
  <c r="Z40" i="40"/>
  <c r="J39" i="40"/>
  <c r="AC39" i="40"/>
  <c r="H39" i="40"/>
  <c r="F39" i="40"/>
  <c r="AA39" i="40"/>
  <c r="Q39" i="40"/>
  <c r="Z39" i="40"/>
  <c r="W39" i="40"/>
  <c r="S39" i="40"/>
  <c r="Q38" i="40"/>
  <c r="Z38" i="40"/>
  <c r="J37" i="40"/>
  <c r="AC37" i="40"/>
  <c r="H37" i="40"/>
  <c r="F37" i="40"/>
  <c r="AA37" i="40"/>
  <c r="Q37" i="40"/>
  <c r="Z37" i="40"/>
  <c r="W37" i="40"/>
  <c r="S37" i="40"/>
  <c r="J36" i="40"/>
  <c r="AC36" i="40"/>
  <c r="H36" i="40"/>
  <c r="AB36" i="40"/>
  <c r="F36" i="40"/>
  <c r="AA36" i="40"/>
  <c r="Q36" i="40"/>
  <c r="Z36" i="40"/>
  <c r="W36" i="40"/>
  <c r="U36" i="40"/>
  <c r="S36" i="40"/>
  <c r="J35" i="40"/>
  <c r="AC35" i="40"/>
  <c r="H35" i="40"/>
  <c r="AB35" i="40"/>
  <c r="F35" i="40"/>
  <c r="AA35" i="40"/>
  <c r="Q35" i="40"/>
  <c r="Z35" i="40"/>
  <c r="U35" i="40"/>
  <c r="S35" i="40"/>
  <c r="J34" i="40"/>
  <c r="AC34" i="40"/>
  <c r="H34" i="40"/>
  <c r="AB34" i="40"/>
  <c r="F34" i="40"/>
  <c r="AA34" i="40"/>
  <c r="Q34" i="40"/>
  <c r="Z34" i="40"/>
  <c r="W34" i="40"/>
  <c r="S34" i="40"/>
  <c r="J33" i="40"/>
  <c r="AC33" i="40"/>
  <c r="H33" i="40"/>
  <c r="AB33" i="40"/>
  <c r="F33" i="40"/>
  <c r="AA33" i="40"/>
  <c r="Q33" i="40"/>
  <c r="Z33" i="40"/>
  <c r="W33" i="40"/>
  <c r="U33" i="40"/>
  <c r="S33" i="40"/>
  <c r="J32" i="40"/>
  <c r="AC32" i="40"/>
  <c r="H32" i="40"/>
  <c r="AB32" i="40"/>
  <c r="F32" i="40"/>
  <c r="AA32" i="40"/>
  <c r="Q32" i="40"/>
  <c r="Z32" i="40"/>
  <c r="W32" i="40"/>
  <c r="S32" i="40"/>
  <c r="J31" i="40"/>
  <c r="AC31" i="40"/>
  <c r="H31" i="40"/>
  <c r="AB31" i="40"/>
  <c r="F31" i="40"/>
  <c r="AA31" i="40"/>
  <c r="Q31" i="40"/>
  <c r="Z31" i="40"/>
  <c r="W31" i="40"/>
  <c r="U31" i="40"/>
  <c r="S31" i="40"/>
  <c r="C30" i="40"/>
  <c r="J30" i="40"/>
  <c r="Q30" i="40"/>
  <c r="Z30" i="40"/>
  <c r="J28" i="40"/>
  <c r="AC28" i="40"/>
  <c r="H28" i="40"/>
  <c r="AB28" i="40"/>
  <c r="F28" i="40"/>
  <c r="AA28" i="40"/>
  <c r="Q28" i="40"/>
  <c r="Z28" i="40"/>
  <c r="W28" i="40"/>
  <c r="S28" i="40"/>
  <c r="C28" i="40"/>
  <c r="J27" i="40"/>
  <c r="AC27" i="40"/>
  <c r="H27" i="40"/>
  <c r="AB27" i="40"/>
  <c r="F27" i="40"/>
  <c r="AA27" i="40"/>
  <c r="Q27" i="40"/>
  <c r="Z27" i="40"/>
  <c r="W27" i="40"/>
  <c r="S27" i="40"/>
  <c r="J25" i="40"/>
  <c r="AC25" i="40"/>
  <c r="H25" i="40"/>
  <c r="AB25" i="40"/>
  <c r="F25" i="40"/>
  <c r="AA25" i="40"/>
  <c r="Q25" i="40"/>
  <c r="Z25" i="40"/>
  <c r="W25" i="40"/>
  <c r="U25" i="40"/>
  <c r="S25" i="40"/>
  <c r="C25" i="40"/>
  <c r="J23" i="40"/>
  <c r="AC23" i="40"/>
  <c r="H23" i="40"/>
  <c r="AB23" i="40"/>
  <c r="F23" i="40"/>
  <c r="AA23" i="40"/>
  <c r="Q23" i="40"/>
  <c r="Z23" i="40"/>
  <c r="W23" i="40"/>
  <c r="S23" i="40"/>
  <c r="C23" i="40"/>
  <c r="J21" i="40"/>
  <c r="AC21" i="40"/>
  <c r="H21" i="40"/>
  <c r="AB21" i="40"/>
  <c r="F21" i="40"/>
  <c r="AA21" i="40"/>
  <c r="Q21" i="40"/>
  <c r="Z21" i="40"/>
  <c r="W21" i="40"/>
  <c r="S21" i="40"/>
  <c r="C21" i="40"/>
  <c r="J19" i="40"/>
  <c r="AC19" i="40"/>
  <c r="H19" i="40"/>
  <c r="AB19" i="40"/>
  <c r="F19" i="40"/>
  <c r="AA19" i="40"/>
  <c r="Q19" i="40"/>
  <c r="Z19" i="40"/>
  <c r="W19" i="40"/>
  <c r="S19" i="40"/>
  <c r="C19" i="40"/>
  <c r="J17" i="40"/>
  <c r="AC17" i="40"/>
  <c r="H17" i="40"/>
  <c r="AB17" i="40"/>
  <c r="F17" i="40"/>
  <c r="AA17" i="40"/>
  <c r="Q17" i="40"/>
  <c r="Z17" i="40"/>
  <c r="W17" i="40"/>
  <c r="S17" i="40"/>
  <c r="C17" i="40"/>
  <c r="J15" i="40"/>
  <c r="AC15" i="40"/>
  <c r="H15" i="40"/>
  <c r="AB15" i="40"/>
  <c r="F15" i="40"/>
  <c r="AA15" i="40"/>
  <c r="Q15" i="40"/>
  <c r="Z15" i="40"/>
  <c r="W15" i="40"/>
  <c r="S15" i="40"/>
  <c r="C15" i="40"/>
  <c r="J14" i="40"/>
  <c r="AC14" i="40"/>
  <c r="H14" i="40"/>
  <c r="AB14" i="40"/>
  <c r="F14" i="40"/>
  <c r="AA14" i="40"/>
  <c r="Q14" i="40"/>
  <c r="Z14" i="40"/>
  <c r="W14" i="40"/>
  <c r="S14" i="40"/>
  <c r="J13" i="40"/>
  <c r="AC13" i="40"/>
  <c r="H13" i="40"/>
  <c r="AB13" i="40"/>
  <c r="F13" i="40"/>
  <c r="AA13" i="40"/>
  <c r="Q13" i="40"/>
  <c r="Z13" i="40"/>
  <c r="W13" i="40"/>
  <c r="U13" i="40"/>
  <c r="S13" i="40"/>
  <c r="J12" i="40"/>
  <c r="AC12" i="40"/>
  <c r="H12" i="40"/>
  <c r="AB12" i="40"/>
  <c r="F12" i="40"/>
  <c r="AA12" i="40"/>
  <c r="Q12" i="40"/>
  <c r="Z12" i="40"/>
  <c r="W12" i="40"/>
  <c r="S12" i="40"/>
  <c r="J11" i="40"/>
  <c r="AC11" i="40"/>
  <c r="H11" i="40"/>
  <c r="AB11" i="40"/>
  <c r="F11" i="40"/>
  <c r="AA11" i="40"/>
  <c r="Q11" i="40"/>
  <c r="Z11" i="40"/>
  <c r="W11" i="40"/>
  <c r="U11" i="40"/>
  <c r="S11" i="40"/>
  <c r="Q10" i="40"/>
  <c r="Z10" i="40"/>
  <c r="J9" i="40"/>
  <c r="AC9" i="40"/>
  <c r="H9" i="40"/>
  <c r="AB9" i="40"/>
  <c r="F9" i="40"/>
  <c r="AA9" i="40"/>
  <c r="Q9" i="40"/>
  <c r="Z9" i="40"/>
  <c r="W9" i="40"/>
  <c r="S9" i="40"/>
  <c r="J8" i="40"/>
  <c r="AC8" i="40"/>
  <c r="H8" i="40"/>
  <c r="AB8" i="40"/>
  <c r="F8" i="40"/>
  <c r="AA8" i="40"/>
  <c r="W8" i="40"/>
  <c r="U8" i="40"/>
  <c r="S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R4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T46" i="39"/>
  <c r="P48" i="39"/>
  <c r="P47" i="39"/>
  <c r="P46" i="39"/>
  <c r="J45" i="39"/>
  <c r="AC45" i="39"/>
  <c r="H45" i="39"/>
  <c r="AB45" i="39"/>
  <c r="F45" i="39"/>
  <c r="AA45" i="39"/>
  <c r="Q45" i="39"/>
  <c r="Z45" i="39"/>
  <c r="W45" i="39"/>
  <c r="U45" i="39"/>
  <c r="S45" i="39"/>
  <c r="J44" i="39"/>
  <c r="AC44" i="39"/>
  <c r="H44" i="39"/>
  <c r="AB44" i="39"/>
  <c r="F44" i="39"/>
  <c r="AA44" i="39"/>
  <c r="Q44" i="39"/>
  <c r="Z44" i="39"/>
  <c r="W44" i="39"/>
  <c r="S44" i="39"/>
  <c r="J43" i="39"/>
  <c r="AC43" i="39"/>
  <c r="H43" i="39"/>
  <c r="AB43" i="39"/>
  <c r="F43" i="39"/>
  <c r="AA43" i="39"/>
  <c r="Q43" i="39"/>
  <c r="Z43" i="39"/>
  <c r="W43" i="39"/>
  <c r="U43" i="39"/>
  <c r="S43" i="39"/>
  <c r="J42" i="39"/>
  <c r="AC42" i="39"/>
  <c r="H42" i="39"/>
  <c r="AB42" i="39"/>
  <c r="F42" i="39"/>
  <c r="AA42" i="39"/>
  <c r="Q42" i="39"/>
  <c r="Z42" i="39"/>
  <c r="W42" i="39"/>
  <c r="S42" i="39"/>
  <c r="J41" i="39"/>
  <c r="AC41" i="39"/>
  <c r="H41" i="39"/>
  <c r="AB41" i="39"/>
  <c r="F41" i="39"/>
  <c r="AA41" i="39"/>
  <c r="Q41" i="39"/>
  <c r="Z41" i="39"/>
  <c r="W41" i="39"/>
  <c r="U41" i="39"/>
  <c r="S41" i="39"/>
  <c r="J40" i="39"/>
  <c r="AC40" i="39"/>
  <c r="H40" i="39"/>
  <c r="AB40" i="39"/>
  <c r="F40" i="39"/>
  <c r="AA40" i="39"/>
  <c r="Q40" i="39"/>
  <c r="Z40" i="39"/>
  <c r="W40" i="39"/>
  <c r="S40" i="39"/>
  <c r="J39" i="39"/>
  <c r="AC39" i="39"/>
  <c r="H39" i="39"/>
  <c r="AB39" i="39"/>
  <c r="F39" i="39"/>
  <c r="AA39" i="39"/>
  <c r="Q39" i="39"/>
  <c r="Z39" i="39"/>
  <c r="W39" i="39"/>
  <c r="U39" i="39"/>
  <c r="S39" i="39"/>
  <c r="J38" i="39"/>
  <c r="AC38" i="39"/>
  <c r="H38" i="39"/>
  <c r="AB38" i="39"/>
  <c r="F38" i="39"/>
  <c r="AA38" i="39"/>
  <c r="Q38" i="39"/>
  <c r="Z38" i="39"/>
  <c r="W38" i="39"/>
  <c r="S38" i="39"/>
  <c r="J37" i="39"/>
  <c r="AC37" i="39"/>
  <c r="H37" i="39"/>
  <c r="AB37" i="39"/>
  <c r="F37" i="39"/>
  <c r="AA37" i="39"/>
  <c r="Q37" i="39"/>
  <c r="Z37" i="39"/>
  <c r="W37" i="39"/>
  <c r="U37" i="39"/>
  <c r="S37" i="39"/>
  <c r="J36" i="39"/>
  <c r="AC36" i="39"/>
  <c r="H36" i="39"/>
  <c r="AB36" i="39"/>
  <c r="F36" i="39"/>
  <c r="AA36" i="39"/>
  <c r="Q36" i="39"/>
  <c r="Z36" i="39"/>
  <c r="W36" i="39"/>
  <c r="S36" i="39"/>
  <c r="J35" i="39"/>
  <c r="AC35" i="39"/>
  <c r="H35" i="39"/>
  <c r="AB35" i="39"/>
  <c r="F35" i="39"/>
  <c r="AA35" i="39"/>
  <c r="Q35" i="39"/>
  <c r="Z35" i="39"/>
  <c r="W35" i="39"/>
  <c r="U35" i="39"/>
  <c r="S35" i="39"/>
  <c r="J34" i="39"/>
  <c r="AC34" i="39"/>
  <c r="H34" i="39"/>
  <c r="AB34" i="39"/>
  <c r="F34" i="39"/>
  <c r="AA34" i="39"/>
  <c r="Q34" i="39"/>
  <c r="Z34" i="39"/>
  <c r="W34" i="39"/>
  <c r="S34" i="39"/>
  <c r="J32" i="39"/>
  <c r="AC32" i="39"/>
  <c r="H32" i="39"/>
  <c r="AB32" i="39"/>
  <c r="F32" i="39"/>
  <c r="AA32" i="39"/>
  <c r="Q32" i="39"/>
  <c r="Z32" i="39"/>
  <c r="W32" i="39"/>
  <c r="U32" i="39"/>
  <c r="S32" i="39"/>
  <c r="J31" i="39"/>
  <c r="AC31" i="39"/>
  <c r="H31" i="39"/>
  <c r="AB31" i="39"/>
  <c r="F31" i="39"/>
  <c r="AA31" i="39"/>
  <c r="Q31" i="39"/>
  <c r="Z31" i="39"/>
  <c r="W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S17" i="39"/>
  <c r="C16" i="20"/>
  <c r="C17" i="39"/>
  <c r="J15" i="39"/>
  <c r="AC15" i="39"/>
  <c r="H15" i="39"/>
  <c r="AB15" i="39"/>
  <c r="F15" i="39"/>
  <c r="AA15" i="39"/>
  <c r="Q15" i="39"/>
  <c r="Z15" i="39"/>
  <c r="W15" i="39"/>
  <c r="S15" i="39"/>
  <c r="C15" i="39"/>
  <c r="J14" i="39"/>
  <c r="AC14" i="39"/>
  <c r="H14" i="39"/>
  <c r="AB14" i="39"/>
  <c r="F14" i="39"/>
  <c r="AA14" i="39"/>
  <c r="Q14" i="39"/>
  <c r="Z14" i="39"/>
  <c r="W14" i="39"/>
  <c r="S14" i="39"/>
  <c r="J13" i="39"/>
  <c r="AC13" i="39"/>
  <c r="H13" i="39"/>
  <c r="AB13" i="39"/>
  <c r="F13" i="39"/>
  <c r="AA13" i="39"/>
  <c r="Q13" i="39"/>
  <c r="Z13" i="39"/>
  <c r="W13" i="39"/>
  <c r="U13" i="39"/>
  <c r="S13" i="39"/>
  <c r="J12" i="39"/>
  <c r="AC12" i="39"/>
  <c r="H12" i="39"/>
  <c r="AB12" i="39"/>
  <c r="F12" i="39"/>
  <c r="AA12" i="39"/>
  <c r="Q12" i="39"/>
  <c r="Z12" i="39"/>
  <c r="W12" i="39"/>
  <c r="S12" i="39"/>
  <c r="J11" i="39"/>
  <c r="AC11" i="39"/>
  <c r="H11" i="39"/>
  <c r="AB11" i="39"/>
  <c r="F11" i="39"/>
  <c r="AA11" i="39"/>
  <c r="Q11" i="39"/>
  <c r="Z11" i="39"/>
  <c r="W11" i="39"/>
  <c r="U11" i="39"/>
  <c r="S11" i="39"/>
  <c r="Q10" i="39"/>
  <c r="Z10" i="39"/>
  <c r="J9" i="39"/>
  <c r="AC9" i="39"/>
  <c r="H9" i="39"/>
  <c r="AB9" i="39"/>
  <c r="F9" i="39"/>
  <c r="AA9" i="39"/>
  <c r="Q9" i="39"/>
  <c r="Z9" i="39"/>
  <c r="W9" i="39"/>
  <c r="S9" i="39"/>
  <c r="J8" i="39"/>
  <c r="AC8" i="39"/>
  <c r="H8" i="39"/>
  <c r="AB8" i="39"/>
  <c r="F8" i="39"/>
  <c r="AA8" i="39"/>
  <c r="W8" i="39"/>
  <c r="U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S33" i="36"/>
  <c r="J32" i="36"/>
  <c r="AC32" i="36"/>
  <c r="H32" i="36"/>
  <c r="AB32" i="36"/>
  <c r="F32" i="36"/>
  <c r="AA32" i="36"/>
  <c r="Q32" i="36"/>
  <c r="Z32" i="36"/>
  <c r="W32" i="36"/>
  <c r="U32" i="36"/>
  <c r="S32" i="36"/>
  <c r="J31" i="36"/>
  <c r="AC31" i="36"/>
  <c r="H31" i="36"/>
  <c r="AB31" i="36"/>
  <c r="F31" i="36"/>
  <c r="AA31" i="36"/>
  <c r="Q31" i="36"/>
  <c r="Z31" i="36"/>
  <c r="W31" i="36"/>
  <c r="S31" i="36"/>
  <c r="J30" i="36"/>
  <c r="AC30" i="36"/>
  <c r="H30" i="36"/>
  <c r="AB30" i="36"/>
  <c r="F30" i="36"/>
  <c r="AA30" i="36"/>
  <c r="Q30" i="36"/>
  <c r="Z30" i="36"/>
  <c r="W30" i="36"/>
  <c r="U30" i="36"/>
  <c r="S30" i="36"/>
  <c r="J29" i="36"/>
  <c r="AC29" i="36"/>
  <c r="H29" i="36"/>
  <c r="AB29" i="36"/>
  <c r="F29" i="36"/>
  <c r="AA29" i="36"/>
  <c r="Q29" i="36"/>
  <c r="Z29" i="36"/>
  <c r="W29" i="36"/>
  <c r="S29" i="36"/>
  <c r="J28" i="36"/>
  <c r="AC28" i="36"/>
  <c r="H28" i="36"/>
  <c r="AB28" i="36"/>
  <c r="F28" i="36"/>
  <c r="AA28" i="36"/>
  <c r="Q28" i="36"/>
  <c r="Z28" i="36"/>
  <c r="W28" i="36"/>
  <c r="U28" i="36"/>
  <c r="S28" i="36"/>
  <c r="J27" i="36"/>
  <c r="AC27" i="36"/>
  <c r="H27" i="36"/>
  <c r="AB27" i="36"/>
  <c r="F27" i="36"/>
  <c r="AA27" i="36"/>
  <c r="Q27" i="36"/>
  <c r="Z27" i="36"/>
  <c r="W27" i="36"/>
  <c r="S27" i="36"/>
  <c r="J26" i="36"/>
  <c r="AC26" i="36"/>
  <c r="H26" i="36"/>
  <c r="AB26" i="36"/>
  <c r="F26" i="36"/>
  <c r="AA26" i="36"/>
  <c r="Q26" i="36"/>
  <c r="Z26" i="36"/>
  <c r="W26" i="36"/>
  <c r="U26" i="36"/>
  <c r="S26" i="36"/>
  <c r="J25" i="36"/>
  <c r="AC25" i="36"/>
  <c r="H25" i="36"/>
  <c r="AB25" i="36"/>
  <c r="F25" i="36"/>
  <c r="AA25" i="36"/>
  <c r="Q25" i="36"/>
  <c r="Z25" i="36"/>
  <c r="W25" i="36"/>
  <c r="S25" i="36"/>
  <c r="J24" i="36"/>
  <c r="AC24" i="36"/>
  <c r="H24" i="36"/>
  <c r="AB24" i="36"/>
  <c r="F24" i="36"/>
  <c r="AA24" i="36"/>
  <c r="Q24" i="36"/>
  <c r="Z24" i="36"/>
  <c r="W24" i="36"/>
  <c r="U24" i="36"/>
  <c r="S24" i="36"/>
  <c r="J23" i="36"/>
  <c r="AC23" i="36"/>
  <c r="H23" i="36"/>
  <c r="AB23" i="36"/>
  <c r="F23" i="36"/>
  <c r="AA23" i="36"/>
  <c r="Q23" i="36"/>
  <c r="Z23" i="36"/>
  <c r="W23" i="36"/>
  <c r="S23" i="36"/>
  <c r="J22" i="36"/>
  <c r="AC22" i="36"/>
  <c r="H22" i="36"/>
  <c r="AB22" i="36"/>
  <c r="F22" i="36"/>
  <c r="AA22" i="36"/>
  <c r="Q22" i="36"/>
  <c r="Z22" i="36"/>
  <c r="W22" i="36"/>
  <c r="U22" i="36"/>
  <c r="S22" i="36"/>
  <c r="J20" i="36"/>
  <c r="AC20" i="36"/>
  <c r="H20" i="36"/>
  <c r="AB20" i="36"/>
  <c r="F20" i="36"/>
  <c r="AA20" i="36"/>
  <c r="Q20" i="36"/>
  <c r="Z20" i="36"/>
  <c r="W20" i="36"/>
  <c r="S20" i="36"/>
  <c r="C20" i="36"/>
  <c r="J18" i="36"/>
  <c r="AC18" i="36"/>
  <c r="H18" i="36"/>
  <c r="AB18" i="36"/>
  <c r="F18" i="36"/>
  <c r="AA18" i="36"/>
  <c r="Q18" i="36"/>
  <c r="Z18" i="36"/>
  <c r="W18" i="36"/>
  <c r="S18" i="36"/>
  <c r="C18" i="36"/>
  <c r="J16" i="36"/>
  <c r="AC16" i="36"/>
  <c r="H16" i="36"/>
  <c r="AB16" i="36"/>
  <c r="F16" i="36"/>
  <c r="AA16" i="36"/>
  <c r="Q16" i="36"/>
  <c r="Z16" i="36"/>
  <c r="W16" i="36"/>
  <c r="S16" i="36"/>
  <c r="C16" i="36"/>
  <c r="J14" i="36"/>
  <c r="AC14" i="36"/>
  <c r="H14" i="36"/>
  <c r="AB14" i="36"/>
  <c r="F14" i="36"/>
  <c r="AA14" i="36"/>
  <c r="Q14" i="36"/>
  <c r="Z14" i="36"/>
  <c r="W14" i="36"/>
  <c r="S14" i="36"/>
  <c r="C14" i="36"/>
  <c r="J13" i="36"/>
  <c r="AC13" i="36"/>
  <c r="H13" i="36"/>
  <c r="AB13" i="36"/>
  <c r="F13" i="36"/>
  <c r="AA13" i="36"/>
  <c r="Q13" i="36"/>
  <c r="Z13" i="36"/>
  <c r="W13" i="36"/>
  <c r="S13" i="36"/>
  <c r="J12" i="36"/>
  <c r="AC12" i="36"/>
  <c r="H12" i="36"/>
  <c r="AB12" i="36"/>
  <c r="F12" i="36"/>
  <c r="AA12" i="36"/>
  <c r="Q12" i="36"/>
  <c r="Z12" i="36"/>
  <c r="W12" i="36"/>
  <c r="U12" i="36"/>
  <c r="S12" i="36"/>
  <c r="J11" i="36"/>
  <c r="AC11" i="36"/>
  <c r="H11" i="36"/>
  <c r="AB11" i="36"/>
  <c r="F11" i="36"/>
  <c r="AA11" i="36"/>
  <c r="Q11" i="36"/>
  <c r="Z11" i="36"/>
  <c r="W11" i="36"/>
  <c r="S11" i="36"/>
  <c r="J10" i="36"/>
  <c r="AC10" i="36"/>
  <c r="H10" i="36"/>
  <c r="AB10" i="36"/>
  <c r="F10" i="36"/>
  <c r="AA10" i="36"/>
  <c r="Q10" i="36"/>
  <c r="Z10" i="36"/>
  <c r="W10" i="36"/>
  <c r="U10" i="36"/>
  <c r="S10" i="36"/>
  <c r="J9" i="36"/>
  <c r="AC9" i="36"/>
  <c r="H9" i="36"/>
  <c r="AB9" i="36"/>
  <c r="F9" i="36"/>
  <c r="AA9" i="36"/>
  <c r="Q9" i="36"/>
  <c r="Z9" i="36"/>
  <c r="W9" i="36"/>
  <c r="S9" i="36"/>
  <c r="J8" i="36"/>
  <c r="AC8" i="36"/>
  <c r="H8" i="36"/>
  <c r="AB8" i="36"/>
  <c r="F8" i="36"/>
  <c r="AA8" i="36"/>
  <c r="W8" i="36"/>
  <c r="U8" i="36"/>
  <c r="S8"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J12" i="35"/>
  <c r="B57" i="35"/>
  <c r="F56" i="35"/>
  <c r="G56" i="35"/>
  <c r="H56" i="35"/>
  <c r="I56" i="35"/>
  <c r="C53" i="35"/>
  <c r="C7" i="35"/>
  <c r="C48" i="35"/>
  <c r="D48" i="35"/>
  <c r="I44" i="35"/>
  <c r="J44" i="35"/>
  <c r="G44" i="35"/>
  <c r="H44" i="35"/>
  <c r="E44" i="35"/>
  <c r="F44" i="35"/>
  <c r="V37" i="35"/>
  <c r="R37" i="35"/>
  <c r="T37" i="35"/>
  <c r="P39" i="35"/>
  <c r="P38" i="35"/>
  <c r="B38" i="35"/>
  <c r="P37" i="35"/>
  <c r="J36" i="35"/>
  <c r="AC36" i="35"/>
  <c r="H36" i="35"/>
  <c r="AB36" i="35"/>
  <c r="F36" i="35"/>
  <c r="AA36" i="35"/>
  <c r="Q36" i="35"/>
  <c r="Z36" i="35"/>
  <c r="W36" i="35"/>
  <c r="U36" i="35"/>
  <c r="S36" i="35"/>
  <c r="J35" i="35"/>
  <c r="AC35" i="35"/>
  <c r="H35" i="35"/>
  <c r="AB35" i="35"/>
  <c r="F35" i="35"/>
  <c r="AA35" i="35"/>
  <c r="Q35" i="35"/>
  <c r="Z35" i="35"/>
  <c r="W35" i="35"/>
  <c r="S35" i="35"/>
  <c r="J34" i="35"/>
  <c r="AC34" i="35"/>
  <c r="H34" i="35"/>
  <c r="AB34" i="35"/>
  <c r="F34" i="35"/>
  <c r="AA34" i="35"/>
  <c r="Q34" i="35"/>
  <c r="Z34" i="35"/>
  <c r="W34" i="35"/>
  <c r="U34" i="35"/>
  <c r="S34" i="35"/>
  <c r="J33" i="35"/>
  <c r="AC33" i="35"/>
  <c r="H33" i="35"/>
  <c r="AB33" i="35"/>
  <c r="F33" i="35"/>
  <c r="AA33" i="35"/>
  <c r="Q33" i="35"/>
  <c r="Z33" i="35"/>
  <c r="W33" i="35"/>
  <c r="S33" i="35"/>
  <c r="J32" i="35"/>
  <c r="AC32" i="35"/>
  <c r="H32" i="35"/>
  <c r="AB32" i="35"/>
  <c r="F32" i="35"/>
  <c r="AA32" i="35"/>
  <c r="Q32" i="35"/>
  <c r="Z32" i="35"/>
  <c r="W32" i="35"/>
  <c r="U32" i="35"/>
  <c r="S32" i="35"/>
  <c r="J31" i="35"/>
  <c r="AC31" i="35"/>
  <c r="H31" i="35"/>
  <c r="AB31" i="35"/>
  <c r="F31" i="35"/>
  <c r="AA31" i="35"/>
  <c r="Q31" i="35"/>
  <c r="Z31" i="35"/>
  <c r="W31" i="35"/>
  <c r="S31" i="35"/>
  <c r="J30" i="35"/>
  <c r="AC30" i="35"/>
  <c r="H30" i="35"/>
  <c r="AB30" i="35"/>
  <c r="F30" i="35"/>
  <c r="AA30" i="35"/>
  <c r="Q30" i="35"/>
  <c r="Z30" i="35"/>
  <c r="W30" i="35"/>
  <c r="U30" i="35"/>
  <c r="S30" i="35"/>
  <c r="J29" i="35"/>
  <c r="AC29" i="35"/>
  <c r="H29" i="35"/>
  <c r="AB29" i="35"/>
  <c r="F29" i="35"/>
  <c r="AA29" i="35"/>
  <c r="Q29" i="35"/>
  <c r="Z29" i="35"/>
  <c r="W29" i="35"/>
  <c r="S29" i="35"/>
  <c r="J28" i="35"/>
  <c r="AC28" i="35"/>
  <c r="H28" i="35"/>
  <c r="AB28" i="35"/>
  <c r="F28" i="35"/>
  <c r="AA28" i="35"/>
  <c r="Q28" i="35"/>
  <c r="Z28" i="35"/>
  <c r="W28" i="35"/>
  <c r="U28" i="35"/>
  <c r="S28" i="35"/>
  <c r="J27" i="35"/>
  <c r="AC27" i="35"/>
  <c r="H27" i="35"/>
  <c r="AB27" i="35"/>
  <c r="F27" i="35"/>
  <c r="AA27" i="35"/>
  <c r="Q27" i="35"/>
  <c r="Z27" i="35"/>
  <c r="W27" i="35"/>
  <c r="S27" i="35"/>
  <c r="Q26" i="35"/>
  <c r="Z26" i="35"/>
  <c r="J25" i="35"/>
  <c r="AC25" i="35"/>
  <c r="H25" i="35"/>
  <c r="AB25" i="35"/>
  <c r="F25" i="35"/>
  <c r="AA25" i="35"/>
  <c r="Q25" i="35"/>
  <c r="Z25" i="35"/>
  <c r="W25" i="35"/>
  <c r="S25" i="35"/>
  <c r="J24" i="35"/>
  <c r="AC24" i="35"/>
  <c r="H24" i="35"/>
  <c r="AB24" i="35"/>
  <c r="F24" i="35"/>
  <c r="AA24" i="35"/>
  <c r="Q24" i="35"/>
  <c r="Z24" i="35"/>
  <c r="W24" i="35"/>
  <c r="U24" i="35"/>
  <c r="S24" i="35"/>
  <c r="J23" i="35"/>
  <c r="AC23" i="35"/>
  <c r="H23" i="35"/>
  <c r="AB23" i="35"/>
  <c r="F23" i="35"/>
  <c r="AA23" i="35"/>
  <c r="Q23" i="35"/>
  <c r="Z23" i="35"/>
  <c r="W23" i="35"/>
  <c r="S23" i="35"/>
  <c r="J22" i="35"/>
  <c r="AC22" i="35"/>
  <c r="H22" i="35"/>
  <c r="AB22" i="35"/>
  <c r="F22" i="35"/>
  <c r="AA22" i="35"/>
  <c r="Q22" i="35"/>
  <c r="Z22" i="35"/>
  <c r="W22" i="35"/>
  <c r="U22" i="35"/>
  <c r="S22" i="35"/>
  <c r="J20" i="35"/>
  <c r="AC20" i="35"/>
  <c r="H20" i="35"/>
  <c r="AB20" i="35"/>
  <c r="F20" i="35"/>
  <c r="AA20" i="35"/>
  <c r="Q20" i="35"/>
  <c r="Z20" i="35"/>
  <c r="W20" i="35"/>
  <c r="S20" i="35"/>
  <c r="C20" i="35"/>
  <c r="J18" i="35"/>
  <c r="AC18" i="35"/>
  <c r="H18" i="35"/>
  <c r="AB18" i="35"/>
  <c r="F18" i="35"/>
  <c r="AA18" i="35"/>
  <c r="Q18" i="35"/>
  <c r="Z18" i="35"/>
  <c r="W18" i="35"/>
  <c r="S18" i="35"/>
  <c r="C18" i="35"/>
  <c r="J16" i="35"/>
  <c r="AC16" i="35"/>
  <c r="H16" i="35"/>
  <c r="AB16" i="35"/>
  <c r="F16" i="35"/>
  <c r="AA16" i="35"/>
  <c r="Q16" i="35"/>
  <c r="Z16" i="35"/>
  <c r="W16" i="35"/>
  <c r="S16" i="35"/>
  <c r="C16" i="35"/>
  <c r="J14" i="35"/>
  <c r="AC14" i="35"/>
  <c r="H14" i="35"/>
  <c r="AB14" i="35"/>
  <c r="F14" i="35"/>
  <c r="AA14" i="35"/>
  <c r="Q14" i="35"/>
  <c r="Z14" i="35"/>
  <c r="W14" i="35"/>
  <c r="S14" i="35"/>
  <c r="C14" i="35"/>
  <c r="J13" i="35"/>
  <c r="AC13" i="35"/>
  <c r="H13" i="35"/>
  <c r="AB13" i="35"/>
  <c r="F13" i="35"/>
  <c r="AA13" i="35"/>
  <c r="Q13" i="35"/>
  <c r="Z13" i="35"/>
  <c r="W13" i="35"/>
  <c r="S13" i="35"/>
  <c r="Q12" i="35"/>
  <c r="Z12" i="35"/>
  <c r="J11" i="35"/>
  <c r="AC11" i="35"/>
  <c r="H11" i="35"/>
  <c r="AB11" i="35"/>
  <c r="F11" i="35"/>
  <c r="AA11" i="35"/>
  <c r="Q11" i="35"/>
  <c r="Z11" i="35"/>
  <c r="W11" i="35"/>
  <c r="S11" i="35"/>
  <c r="J10" i="35"/>
  <c r="AC10" i="35"/>
  <c r="H10" i="35"/>
  <c r="AB10" i="35"/>
  <c r="F10" i="35"/>
  <c r="AA10" i="35"/>
  <c r="Q10" i="35"/>
  <c r="Z10" i="35"/>
  <c r="W10" i="35"/>
  <c r="U10" i="35"/>
  <c r="S10" i="35"/>
  <c r="J9" i="35"/>
  <c r="AC9" i="35"/>
  <c r="H9" i="35"/>
  <c r="AB9" i="35"/>
  <c r="F9" i="35"/>
  <c r="AA9" i="35"/>
  <c r="Q9" i="35"/>
  <c r="Z9" i="35"/>
  <c r="W9" i="35"/>
  <c r="S9" i="35"/>
  <c r="J8" i="35"/>
  <c r="AC8" i="35"/>
  <c r="H8" i="35"/>
  <c r="AB8" i="35"/>
  <c r="F8" i="35"/>
  <c r="AA8" i="35"/>
  <c r="W8" i="35"/>
  <c r="U8" i="35"/>
  <c r="S8" i="35"/>
  <c r="F3" i="35"/>
  <c r="D3"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I48" i="37"/>
  <c r="J48" i="37"/>
  <c r="G48" i="37"/>
  <c r="H48" i="37"/>
  <c r="E48" i="37"/>
  <c r="F48" i="37"/>
  <c r="V41" i="37"/>
  <c r="R41" i="37"/>
  <c r="T41" i="37"/>
  <c r="P43" i="37"/>
  <c r="P42" i="37"/>
  <c r="P41" i="37"/>
  <c r="Q40" i="37"/>
  <c r="Z40" i="37"/>
  <c r="J39" i="37"/>
  <c r="AC39" i="37"/>
  <c r="H39" i="37"/>
  <c r="AB39" i="37"/>
  <c r="F39" i="37"/>
  <c r="AA39" i="37"/>
  <c r="Q39" i="37"/>
  <c r="Z39" i="37"/>
  <c r="W39" i="37"/>
  <c r="S39" i="37"/>
  <c r="Q38" i="37"/>
  <c r="Z38" i="37"/>
  <c r="J37" i="37"/>
  <c r="AC37" i="37"/>
  <c r="H37" i="37"/>
  <c r="AB37" i="37"/>
  <c r="F37" i="37"/>
  <c r="AA37" i="37"/>
  <c r="Q37" i="37"/>
  <c r="Z37" i="37"/>
  <c r="W37" i="37"/>
  <c r="S37" i="37"/>
  <c r="J36" i="37"/>
  <c r="AC36" i="37"/>
  <c r="H36" i="37"/>
  <c r="AB36" i="37"/>
  <c r="F36" i="37"/>
  <c r="AA36" i="37"/>
  <c r="Q36" i="37"/>
  <c r="Z36" i="37"/>
  <c r="W36" i="37"/>
  <c r="U36" i="37"/>
  <c r="S36" i="37"/>
  <c r="J35" i="37"/>
  <c r="AC35" i="37"/>
  <c r="H35" i="37"/>
  <c r="AB35" i="37"/>
  <c r="F35" i="37"/>
  <c r="AA35" i="37"/>
  <c r="Q35" i="37"/>
  <c r="Z35" i="37"/>
  <c r="W35" i="37"/>
  <c r="S35" i="37"/>
  <c r="J34" i="37"/>
  <c r="AC34" i="37"/>
  <c r="H34" i="37"/>
  <c r="AB34" i="37"/>
  <c r="F34" i="37"/>
  <c r="AA34" i="37"/>
  <c r="Q34" i="37"/>
  <c r="Z34" i="37"/>
  <c r="W34" i="37"/>
  <c r="U34" i="37"/>
  <c r="S34" i="37"/>
  <c r="J33" i="37"/>
  <c r="AC33" i="37"/>
  <c r="H33" i="37"/>
  <c r="AB33" i="37"/>
  <c r="F33" i="37"/>
  <c r="AA33" i="37"/>
  <c r="Q33" i="37"/>
  <c r="Z33" i="37"/>
  <c r="W33" i="37"/>
  <c r="S33" i="37"/>
  <c r="J32" i="37"/>
  <c r="AC32" i="37"/>
  <c r="H32" i="37"/>
  <c r="AB32" i="37"/>
  <c r="F32" i="37"/>
  <c r="AA32" i="37"/>
  <c r="Q32" i="37"/>
  <c r="Z32" i="37"/>
  <c r="W32" i="37"/>
  <c r="U32" i="37"/>
  <c r="S32" i="37"/>
  <c r="J31" i="37"/>
  <c r="AC31" i="37"/>
  <c r="H31" i="37"/>
  <c r="AB31" i="37"/>
  <c r="F31" i="37"/>
  <c r="AA31" i="37"/>
  <c r="Q31" i="37"/>
  <c r="Z31" i="37"/>
  <c r="W31" i="37"/>
  <c r="S31" i="37"/>
  <c r="J30" i="37"/>
  <c r="AC30" i="37"/>
  <c r="H30" i="37"/>
  <c r="AB30" i="37"/>
  <c r="F30" i="37"/>
  <c r="AA30" i="37"/>
  <c r="Q30" i="37"/>
  <c r="Z30" i="37"/>
  <c r="W30" i="37"/>
  <c r="U30" i="37"/>
  <c r="S30" i="37"/>
  <c r="J29" i="37"/>
  <c r="AC29" i="37"/>
  <c r="H29" i="37"/>
  <c r="AB29" i="37"/>
  <c r="F29" i="37"/>
  <c r="AA29" i="37"/>
  <c r="Q29" i="37"/>
  <c r="Z29" i="37"/>
  <c r="W29" i="37"/>
  <c r="S29" i="37"/>
  <c r="J28" i="37"/>
  <c r="AC28" i="37"/>
  <c r="H28" i="37"/>
  <c r="AB28" i="37"/>
  <c r="F28" i="37"/>
  <c r="AA28" i="37"/>
  <c r="Q28" i="37"/>
  <c r="Z28" i="37"/>
  <c r="W28" i="37"/>
  <c r="U28" i="37"/>
  <c r="S28" i="37"/>
  <c r="J27" i="37"/>
  <c r="AC27" i="37"/>
  <c r="H27" i="37"/>
  <c r="AB27" i="37"/>
  <c r="F27" i="37"/>
  <c r="AA27" i="37"/>
  <c r="Q27" i="37"/>
  <c r="Z27" i="37"/>
  <c r="W27" i="37"/>
  <c r="S27" i="37"/>
  <c r="J26" i="37"/>
  <c r="AC26" i="37"/>
  <c r="H26" i="37"/>
  <c r="AB26" i="37"/>
  <c r="F26" i="37"/>
  <c r="AA26" i="37"/>
  <c r="Q26" i="37"/>
  <c r="Z26" i="37"/>
  <c r="W26" i="37"/>
  <c r="U26" i="37"/>
  <c r="S26" i="37"/>
  <c r="J25" i="37"/>
  <c r="AC25" i="37"/>
  <c r="H25" i="37"/>
  <c r="AB25" i="37"/>
  <c r="F25" i="37"/>
  <c r="AA25" i="37"/>
  <c r="Q25" i="37"/>
  <c r="Z25" i="37"/>
  <c r="W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S13" i="37"/>
  <c r="J12" i="37"/>
  <c r="AC12" i="37"/>
  <c r="H12" i="37"/>
  <c r="AB12" i="37"/>
  <c r="F12" i="37"/>
  <c r="AA12" i="37"/>
  <c r="Q12" i="37"/>
  <c r="Z12" i="37"/>
  <c r="W12" i="37"/>
  <c r="U12" i="37"/>
  <c r="S12" i="37"/>
  <c r="J11" i="37"/>
  <c r="AC11" i="37"/>
  <c r="H11" i="37"/>
  <c r="AB11" i="37"/>
  <c r="F11" i="37"/>
  <c r="AA11" i="37"/>
  <c r="Q11" i="37"/>
  <c r="Z11" i="37"/>
  <c r="W11" i="37"/>
  <c r="S11" i="37"/>
  <c r="J10" i="37"/>
  <c r="AC10" i="37"/>
  <c r="H10" i="37"/>
  <c r="AB10" i="37"/>
  <c r="F10" i="37"/>
  <c r="AA10" i="37"/>
  <c r="Q10" i="37"/>
  <c r="Z10" i="37"/>
  <c r="W10" i="37"/>
  <c r="U10" i="37"/>
  <c r="S10" i="37"/>
  <c r="J9" i="37"/>
  <c r="AC9" i="37"/>
  <c r="H9" i="37"/>
  <c r="AB9" i="37"/>
  <c r="F9" i="37"/>
  <c r="AA9" i="37"/>
  <c r="Q9" i="37"/>
  <c r="Z9" i="37"/>
  <c r="W9" i="37"/>
  <c r="S9" i="37"/>
  <c r="J8" i="37"/>
  <c r="AC8" i="37"/>
  <c r="H8" i="37"/>
  <c r="AB8" i="37"/>
  <c r="F8" i="37"/>
  <c r="AA8" i="37"/>
  <c r="W8" i="37"/>
  <c r="U8" i="37"/>
  <c r="S8"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09" i="33"/>
  <c r="F109" i="33"/>
  <c r="E109" i="33"/>
  <c r="D109" i="33"/>
  <c r="C109"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B98" i="33"/>
  <c r="B96" i="33"/>
  <c r="B94" i="33"/>
  <c r="B92" i="33"/>
  <c r="D91" i="33"/>
  <c r="E91" i="33"/>
  <c r="F91" i="33"/>
  <c r="G91" i="33"/>
  <c r="H91" i="33"/>
  <c r="I91" i="33"/>
  <c r="J91" i="33"/>
  <c r="K91" i="33"/>
  <c r="L91" i="33"/>
  <c r="M91" i="33"/>
  <c r="B90" i="33"/>
  <c r="B88" i="33"/>
  <c r="D87" i="33"/>
  <c r="E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7" i="33"/>
  <c r="AC27" i="33"/>
  <c r="J28" i="33"/>
  <c r="AC28" i="33"/>
  <c r="J29" i="33"/>
  <c r="AC29" i="33"/>
  <c r="J30" i="33"/>
  <c r="AC30" i="33"/>
  <c r="J31" i="33"/>
  <c r="AC31" i="33"/>
  <c r="J33" i="33"/>
  <c r="AC33" i="33"/>
  <c r="J34" i="33"/>
  <c r="AC34" i="33"/>
  <c r="J37" i="33"/>
  <c r="AC37" i="33"/>
  <c r="J38" i="33"/>
  <c r="AC38" i="33"/>
  <c r="J39" i="33"/>
  <c r="J40" i="33"/>
  <c r="AC40" i="33"/>
  <c r="J41" i="33"/>
  <c r="J42" i="33"/>
  <c r="AC42" i="33"/>
  <c r="J43" i="33"/>
  <c r="J44" i="33"/>
  <c r="AC44" i="33"/>
  <c r="J45" i="33"/>
  <c r="J46" i="33"/>
  <c r="AC46" i="33"/>
  <c r="R47" i="33"/>
  <c r="F8" i="33"/>
  <c r="AA8" i="33"/>
  <c r="F9" i="33"/>
  <c r="F10" i="33"/>
  <c r="AA10" i="33"/>
  <c r="F11" i="33"/>
  <c r="F12" i="33"/>
  <c r="AA12" i="33"/>
  <c r="F13" i="33"/>
  <c r="F14" i="33"/>
  <c r="AA14" i="33"/>
  <c r="F15" i="33"/>
  <c r="AA15" i="33"/>
  <c r="F17" i="33"/>
  <c r="AA17" i="33"/>
  <c r="F19" i="33"/>
  <c r="AA19" i="33"/>
  <c r="F21" i="33"/>
  <c r="AA21" i="33"/>
  <c r="F23" i="33"/>
  <c r="AA23" i="33"/>
  <c r="F25" i="33"/>
  <c r="F26" i="33"/>
  <c r="AA26" i="33"/>
  <c r="F27" i="33"/>
  <c r="F28" i="33"/>
  <c r="AA28" i="33"/>
  <c r="F29" i="33"/>
  <c r="F30" i="33"/>
  <c r="AA30" i="33"/>
  <c r="F31" i="33"/>
  <c r="F32" i="33"/>
  <c r="AA32" i="33"/>
  <c r="F33" i="33"/>
  <c r="F34" i="33"/>
  <c r="AA34" i="33"/>
  <c r="F35" i="33"/>
  <c r="F37" i="33"/>
  <c r="F38" i="33"/>
  <c r="AA38" i="33"/>
  <c r="F39" i="33"/>
  <c r="F40" i="33"/>
  <c r="AA40" i="33"/>
  <c r="F41" i="33"/>
  <c r="F42" i="33"/>
  <c r="AA42" i="33"/>
  <c r="F43" i="33"/>
  <c r="F44" i="33"/>
  <c r="AA44" i="33"/>
  <c r="F45" i="33"/>
  <c r="F46" i="33"/>
  <c r="AA46" i="33"/>
  <c r="T47" i="33"/>
  <c r="H8" i="33"/>
  <c r="H9" i="33"/>
  <c r="AB9" i="33"/>
  <c r="H10" i="33"/>
  <c r="H11" i="33"/>
  <c r="AB11" i="33"/>
  <c r="H12" i="33"/>
  <c r="H13" i="33"/>
  <c r="AB13" i="33"/>
  <c r="H14" i="33"/>
  <c r="H15" i="33"/>
  <c r="H17" i="33"/>
  <c r="H19" i="33"/>
  <c r="H21" i="33"/>
  <c r="H23" i="33"/>
  <c r="H25" i="33"/>
  <c r="AB25" i="33"/>
  <c r="H26" i="33"/>
  <c r="H27" i="33"/>
  <c r="AB27" i="33"/>
  <c r="H28" i="33"/>
  <c r="H29" i="33"/>
  <c r="AB29" i="33"/>
  <c r="H30" i="33"/>
  <c r="H31" i="33"/>
  <c r="AB31" i="33"/>
  <c r="H32" i="33"/>
  <c r="H33" i="33"/>
  <c r="AB33" i="33"/>
  <c r="H34" i="33"/>
  <c r="H35" i="33"/>
  <c r="AB35" i="33"/>
  <c r="H37" i="33"/>
  <c r="AB37" i="33"/>
  <c r="H38" i="33"/>
  <c r="H39" i="33"/>
  <c r="AB39" i="33"/>
  <c r="H40" i="33"/>
  <c r="H41" i="33"/>
  <c r="AB41" i="33"/>
  <c r="H42" i="33"/>
  <c r="H43" i="33"/>
  <c r="AB43" i="33"/>
  <c r="H44" i="33"/>
  <c r="H45" i="33"/>
  <c r="AB45" i="33"/>
  <c r="H46" i="33"/>
  <c r="P49" i="33"/>
  <c r="P48" i="33"/>
  <c r="P47" i="33"/>
  <c r="Q46" i="33"/>
  <c r="Z46" i="33"/>
  <c r="W46" i="33"/>
  <c r="S46" i="33"/>
  <c r="Q45" i="33"/>
  <c r="Z45" i="33"/>
  <c r="Q44" i="33"/>
  <c r="Z44" i="33"/>
  <c r="W44" i="33"/>
  <c r="S44" i="33"/>
  <c r="Q43" i="33"/>
  <c r="Z43" i="33"/>
  <c r="Q42" i="33"/>
  <c r="Z42" i="33"/>
  <c r="W42" i="33"/>
  <c r="S42" i="33"/>
  <c r="Q41" i="33"/>
  <c r="Z41" i="33"/>
  <c r="Q40" i="33"/>
  <c r="Z40" i="33"/>
  <c r="W40" i="33"/>
  <c r="S40" i="33"/>
  <c r="Q39" i="33"/>
  <c r="Z39" i="33"/>
  <c r="U39" i="33"/>
  <c r="Q38" i="33"/>
  <c r="Z38" i="33"/>
  <c r="W38" i="33"/>
  <c r="S38" i="33"/>
  <c r="Q37" i="33"/>
  <c r="Z37" i="33"/>
  <c r="U37" i="33"/>
  <c r="Q36" i="33"/>
  <c r="Z36" i="33"/>
  <c r="Q35" i="33"/>
  <c r="Z35" i="33"/>
  <c r="U35" i="33"/>
  <c r="Q34" i="33"/>
  <c r="Z34" i="33"/>
  <c r="W34" i="33"/>
  <c r="S34" i="33"/>
  <c r="Q33" i="33"/>
  <c r="Z33" i="33"/>
  <c r="U33" i="33"/>
  <c r="Q32" i="33"/>
  <c r="Z32" i="33"/>
  <c r="S32" i="33"/>
  <c r="Q31" i="33"/>
  <c r="Z31" i="33"/>
  <c r="U31" i="33"/>
  <c r="Q30" i="33"/>
  <c r="Z30" i="33"/>
  <c r="W30" i="33"/>
  <c r="S30" i="33"/>
  <c r="Q29" i="33"/>
  <c r="Z29" i="33"/>
  <c r="U29" i="33"/>
  <c r="Q28" i="33"/>
  <c r="Z28" i="33"/>
  <c r="W28" i="33"/>
  <c r="S28" i="33"/>
  <c r="Q27" i="33"/>
  <c r="Z27" i="33"/>
  <c r="U27" i="33"/>
  <c r="Q26" i="33"/>
  <c r="Z26" i="33"/>
  <c r="W26" i="33"/>
  <c r="S26" i="33"/>
  <c r="Q25" i="33"/>
  <c r="Z25" i="33"/>
  <c r="U25" i="33"/>
  <c r="Q23" i="33"/>
  <c r="Z23" i="33"/>
  <c r="W23" i="33"/>
  <c r="S23" i="33"/>
  <c r="C23" i="33"/>
  <c r="Q21" i="33"/>
  <c r="Z21" i="33"/>
  <c r="W21" i="33"/>
  <c r="S21" i="33"/>
  <c r="C21" i="33"/>
  <c r="Q19" i="33"/>
  <c r="Z19" i="33"/>
  <c r="W19" i="33"/>
  <c r="S19" i="33"/>
  <c r="C19" i="33"/>
  <c r="Q17" i="33"/>
  <c r="Z17" i="33"/>
  <c r="W17" i="33"/>
  <c r="S17" i="33"/>
  <c r="C17" i="33"/>
  <c r="Q15" i="33"/>
  <c r="Z15" i="33"/>
  <c r="W15" i="33"/>
  <c r="S15" i="33"/>
  <c r="C15" i="33"/>
  <c r="Q14" i="33"/>
  <c r="Z14" i="33"/>
  <c r="W14" i="33"/>
  <c r="S14" i="33"/>
  <c r="Q13" i="33"/>
  <c r="Z13" i="33"/>
  <c r="U13" i="33"/>
  <c r="Q12" i="33"/>
  <c r="Z12" i="33"/>
  <c r="W12" i="33"/>
  <c r="S12" i="33"/>
  <c r="Q11" i="33"/>
  <c r="Z11" i="33"/>
  <c r="U11" i="33"/>
  <c r="Q10" i="33"/>
  <c r="Z10" i="33"/>
  <c r="W10" i="33"/>
  <c r="S10" i="33"/>
  <c r="Q9" i="33"/>
  <c r="Z9" i="33"/>
  <c r="U9" i="33"/>
  <c r="W8" i="33"/>
  <c r="S8" i="33"/>
  <c r="D3" i="33"/>
  <c r="J140" i="21"/>
  <c r="C145" i="21"/>
  <c r="K139" i="21"/>
  <c r="K144" i="21"/>
  <c r="J142" i="21"/>
  <c r="B130" i="21"/>
  <c r="J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I54" i="21"/>
  <c r="J54" i="21"/>
  <c r="G54" i="21"/>
  <c r="H54" i="21"/>
  <c r="E54" i="21"/>
  <c r="F54" i="21"/>
  <c r="V47" i="21"/>
  <c r="R47" i="21"/>
  <c r="T47" i="21"/>
  <c r="P49" i="21"/>
  <c r="P48" i="21"/>
  <c r="P47" i="21"/>
  <c r="H46" i="21"/>
  <c r="Q46" i="21"/>
  <c r="Z46" i="21"/>
  <c r="J45" i="21"/>
  <c r="AC45" i="21"/>
  <c r="H45" i="21"/>
  <c r="AB45" i="21"/>
  <c r="F45" i="21"/>
  <c r="AA45" i="21"/>
  <c r="Q45" i="21"/>
  <c r="Z45" i="21"/>
  <c r="W45" i="21"/>
  <c r="U45" i="21"/>
  <c r="S45" i="21"/>
  <c r="J44" i="21"/>
  <c r="AC44" i="21"/>
  <c r="F44" i="21"/>
  <c r="AA44" i="21"/>
  <c r="Q44" i="21"/>
  <c r="Z44" i="21"/>
  <c r="W44" i="21"/>
  <c r="J43" i="21"/>
  <c r="AC43" i="21"/>
  <c r="H43" i="21"/>
  <c r="AB43" i="21"/>
  <c r="F43" i="21"/>
  <c r="AA43" i="21"/>
  <c r="Q43" i="21"/>
  <c r="Z43" i="21"/>
  <c r="W43" i="21"/>
  <c r="U43" i="21"/>
  <c r="S43" i="21"/>
  <c r="J42" i="21"/>
  <c r="AC42" i="21"/>
  <c r="H42" i="21"/>
  <c r="F42" i="21"/>
  <c r="AA42" i="21"/>
  <c r="Q42" i="21"/>
  <c r="Z42" i="21"/>
  <c r="W42" i="21"/>
  <c r="S42" i="21"/>
  <c r="J41" i="21"/>
  <c r="AC41" i="21"/>
  <c r="H41" i="21"/>
  <c r="AB41" i="21"/>
  <c r="F41" i="21"/>
  <c r="AA41" i="21"/>
  <c r="Q41" i="21"/>
  <c r="Z41" i="21"/>
  <c r="W41" i="21"/>
  <c r="U41" i="21"/>
  <c r="S41" i="21"/>
  <c r="J40" i="21"/>
  <c r="AC40" i="21"/>
  <c r="H40" i="21"/>
  <c r="F40" i="21"/>
  <c r="AA40" i="21"/>
  <c r="Q40" i="21"/>
  <c r="Z40" i="21"/>
  <c r="W40" i="21"/>
  <c r="J39" i="21"/>
  <c r="AC39" i="21"/>
  <c r="H39" i="21"/>
  <c r="AB39" i="21"/>
  <c r="F39" i="21"/>
  <c r="AA39" i="21"/>
  <c r="Q39" i="21"/>
  <c r="Z39" i="21"/>
  <c r="W39" i="21"/>
  <c r="U39" i="21"/>
  <c r="S39" i="21"/>
  <c r="J38" i="21"/>
  <c r="AC38" i="21"/>
  <c r="H38" i="21"/>
  <c r="F38" i="21"/>
  <c r="AA38" i="21"/>
  <c r="Q38" i="21"/>
  <c r="Z38" i="21"/>
  <c r="W38" i="21"/>
  <c r="S38" i="21"/>
  <c r="J37" i="21"/>
  <c r="AC37" i="21"/>
  <c r="H37" i="21"/>
  <c r="AB37" i="21"/>
  <c r="F37" i="21"/>
  <c r="AA37" i="21"/>
  <c r="Q37" i="21"/>
  <c r="Z37" i="21"/>
  <c r="W37" i="21"/>
  <c r="U37" i="21"/>
  <c r="S37" i="21"/>
  <c r="J36" i="21"/>
  <c r="AC36" i="21"/>
  <c r="H36" i="21"/>
  <c r="F36" i="21"/>
  <c r="AA36" i="21"/>
  <c r="Q36" i="21"/>
  <c r="Z36" i="21"/>
  <c r="W36" i="21"/>
  <c r="J35" i="21"/>
  <c r="AC35" i="21"/>
  <c r="H35" i="21"/>
  <c r="AB35" i="21"/>
  <c r="F35" i="21"/>
  <c r="AA35" i="21"/>
  <c r="Q35" i="21"/>
  <c r="Z35" i="21"/>
  <c r="W35" i="21"/>
  <c r="U35" i="21"/>
  <c r="S35" i="21"/>
  <c r="J34" i="21"/>
  <c r="AC34" i="21"/>
  <c r="H34" i="21"/>
  <c r="F34" i="21"/>
  <c r="AA34" i="21"/>
  <c r="Q34" i="21"/>
  <c r="Z34" i="21"/>
  <c r="W34" i="21"/>
  <c r="S34" i="21"/>
  <c r="J33" i="21"/>
  <c r="AC33" i="21"/>
  <c r="H33" i="21"/>
  <c r="AB33" i="21"/>
  <c r="F33" i="21"/>
  <c r="AA33" i="21"/>
  <c r="Q33" i="21"/>
  <c r="Z33" i="21"/>
  <c r="W33" i="21"/>
  <c r="U33" i="21"/>
  <c r="S33" i="21"/>
  <c r="J32" i="21"/>
  <c r="AC32" i="21"/>
  <c r="H32" i="21"/>
  <c r="F32" i="21"/>
  <c r="AA32" i="21"/>
  <c r="Q32" i="21"/>
  <c r="Z32" i="21"/>
  <c r="W32" i="21"/>
  <c r="J31" i="21"/>
  <c r="AC31" i="21"/>
  <c r="H31" i="21"/>
  <c r="AB31" i="21"/>
  <c r="F31" i="21"/>
  <c r="AA31" i="21"/>
  <c r="Q31" i="21"/>
  <c r="Z31" i="21"/>
  <c r="W31" i="21"/>
  <c r="U31" i="21"/>
  <c r="S31" i="21"/>
  <c r="J30" i="21"/>
  <c r="AC30" i="21"/>
  <c r="H30" i="21"/>
  <c r="F30" i="21"/>
  <c r="AA30" i="21"/>
  <c r="Q30" i="21"/>
  <c r="Z30" i="21"/>
  <c r="W30" i="21"/>
  <c r="S30" i="21"/>
  <c r="J29" i="21"/>
  <c r="AC29" i="21"/>
  <c r="H29" i="21"/>
  <c r="AB29" i="21"/>
  <c r="F29" i="21"/>
  <c r="AA29" i="21"/>
  <c r="Q29" i="21"/>
  <c r="Z29" i="21"/>
  <c r="W29" i="21"/>
  <c r="U29" i="21"/>
  <c r="S29" i="21"/>
  <c r="J28" i="21"/>
  <c r="AC28" i="21"/>
  <c r="H28" i="21"/>
  <c r="F28" i="21"/>
  <c r="AA28" i="21"/>
  <c r="Q28" i="21"/>
  <c r="Z28" i="21"/>
  <c r="W28" i="21"/>
  <c r="J27" i="21"/>
  <c r="AC27" i="21"/>
  <c r="H27" i="21"/>
  <c r="AB27" i="21"/>
  <c r="F27" i="21"/>
  <c r="AA27" i="21"/>
  <c r="Q27" i="21"/>
  <c r="Z27" i="21"/>
  <c r="W27" i="21"/>
  <c r="U27" i="21"/>
  <c r="S27" i="21"/>
  <c r="J26" i="21"/>
  <c r="AC26" i="21"/>
  <c r="H26" i="21"/>
  <c r="F26" i="21"/>
  <c r="AA26" i="21"/>
  <c r="Q26" i="21"/>
  <c r="Z26" i="21"/>
  <c r="W26" i="21"/>
  <c r="S26" i="21"/>
  <c r="J25" i="21"/>
  <c r="AC25" i="21"/>
  <c r="H25" i="21"/>
  <c r="AB25" i="21"/>
  <c r="F25" i="21"/>
  <c r="AA25" i="21"/>
  <c r="Q25" i="21"/>
  <c r="Z25" i="21"/>
  <c r="W25" i="21"/>
  <c r="U25" i="21"/>
  <c r="S25" i="21"/>
  <c r="J23" i="21"/>
  <c r="AC23" i="21"/>
  <c r="H23" i="21"/>
  <c r="F23" i="21"/>
  <c r="AA23" i="21"/>
  <c r="Q23" i="21"/>
  <c r="Z23" i="21"/>
  <c r="W23" i="21"/>
  <c r="C23" i="21"/>
  <c r="J21" i="21"/>
  <c r="AC21" i="21"/>
  <c r="H21" i="21"/>
  <c r="F21" i="21"/>
  <c r="AA21" i="21"/>
  <c r="Q21" i="21"/>
  <c r="Z21" i="21"/>
  <c r="W21" i="21"/>
  <c r="S21" i="21"/>
  <c r="C21" i="21"/>
  <c r="J19" i="21"/>
  <c r="AC19" i="21"/>
  <c r="H19" i="21"/>
  <c r="F19" i="21"/>
  <c r="AA19" i="21"/>
  <c r="Q19" i="21"/>
  <c r="Z19" i="21"/>
  <c r="W19" i="21"/>
  <c r="C19" i="21"/>
  <c r="J17" i="21"/>
  <c r="AC17" i="21"/>
  <c r="H17" i="21"/>
  <c r="F17" i="21"/>
  <c r="AA17" i="21"/>
  <c r="Q17" i="21"/>
  <c r="Z17" i="21"/>
  <c r="W17" i="21"/>
  <c r="S17" i="21"/>
  <c r="C17" i="21"/>
  <c r="J15" i="21"/>
  <c r="AC15" i="21"/>
  <c r="H15" i="21"/>
  <c r="F15" i="21"/>
  <c r="AA15" i="21"/>
  <c r="Q15" i="21"/>
  <c r="Z15" i="21"/>
  <c r="W15" i="21"/>
  <c r="C15" i="21"/>
  <c r="J14" i="21"/>
  <c r="AC14" i="21"/>
  <c r="H14" i="21"/>
  <c r="F14" i="21"/>
  <c r="AA14" i="21"/>
  <c r="Q14" i="21"/>
  <c r="Z14" i="21"/>
  <c r="W14" i="21"/>
  <c r="S14" i="21"/>
  <c r="J13" i="21"/>
  <c r="AC13" i="21"/>
  <c r="H13" i="21"/>
  <c r="AB13" i="21"/>
  <c r="F13" i="21"/>
  <c r="AA13" i="21"/>
  <c r="Q13" i="21"/>
  <c r="Z13" i="21"/>
  <c r="W13" i="21"/>
  <c r="U13" i="21"/>
  <c r="S13" i="21"/>
  <c r="J12" i="21"/>
  <c r="AC12" i="21"/>
  <c r="H12" i="21"/>
  <c r="F12" i="21"/>
  <c r="AA12" i="21"/>
  <c r="Q12" i="21"/>
  <c r="Z12" i="21"/>
  <c r="W12" i="21"/>
  <c r="J11" i="21"/>
  <c r="AC11" i="21"/>
  <c r="H11" i="21"/>
  <c r="AB11" i="21"/>
  <c r="F11" i="21"/>
  <c r="AA11" i="21"/>
  <c r="Q11" i="21"/>
  <c r="Z11" i="21"/>
  <c r="W11" i="21"/>
  <c r="U11" i="21"/>
  <c r="S11" i="21"/>
  <c r="J10" i="21"/>
  <c r="AC10" i="21"/>
  <c r="H10" i="21"/>
  <c r="F10" i="21"/>
  <c r="AA10" i="21"/>
  <c r="Q10" i="21"/>
  <c r="Z10" i="21"/>
  <c r="W10" i="21"/>
  <c r="S10" i="21"/>
  <c r="Q9" i="21"/>
  <c r="Z9" i="21"/>
  <c r="J8" i="21"/>
  <c r="AC8" i="21"/>
  <c r="H8" i="21"/>
  <c r="F8" i="21"/>
  <c r="AA8" i="21"/>
  <c r="W8" i="21"/>
  <c r="S8" i="21"/>
  <c r="C27" i="66"/>
  <c r="C31" i="66"/>
  <c r="I23" i="66"/>
  <c r="I3" i="66"/>
  <c r="I4" i="66"/>
  <c r="I5" i="66"/>
  <c r="I6" i="66"/>
  <c r="I7" i="66"/>
  <c r="I8" i="66"/>
  <c r="I9" i="66"/>
  <c r="I17" i="66"/>
  <c r="I18" i="66"/>
  <c r="I19" i="66"/>
  <c r="I20" i="66"/>
  <c r="D20" i="66"/>
  <c r="I12" i="66"/>
  <c r="I13" i="66"/>
  <c r="I14" i="66"/>
  <c r="E15" i="66"/>
  <c r="A13" i="70"/>
  <c r="E13" i="70"/>
  <c r="A12" i="70"/>
  <c r="E12" i="70"/>
  <c r="A11" i="70"/>
  <c r="E11" i="70"/>
  <c r="A10" i="70"/>
  <c r="E10" i="70"/>
  <c r="A9" i="70"/>
  <c r="E9" i="70"/>
  <c r="A8" i="70"/>
  <c r="E8" i="70"/>
  <c r="A7" i="70"/>
  <c r="E7" i="70"/>
  <c r="A6"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P50" i="77"/>
  <c r="P49" i="77"/>
  <c r="P48" i="77"/>
  <c r="Q47" i="77"/>
  <c r="Z47" i="77"/>
  <c r="W47" i="77"/>
  <c r="U47" i="77"/>
  <c r="S47" i="77"/>
  <c r="Q46" i="77"/>
  <c r="Z46" i="77"/>
  <c r="Q45" i="77"/>
  <c r="Z45" i="77"/>
  <c r="Q44" i="77"/>
  <c r="Z44" i="77"/>
  <c r="W44" i="77"/>
  <c r="U44" i="77"/>
  <c r="S44" i="77"/>
  <c r="Q43" i="77"/>
  <c r="Z43" i="77"/>
  <c r="W43" i="77"/>
  <c r="U43" i="77"/>
  <c r="S43" i="77"/>
  <c r="Q42" i="77"/>
  <c r="Z42" i="77"/>
  <c r="W42" i="77"/>
  <c r="U42" i="77"/>
  <c r="S42" i="77"/>
  <c r="Q41" i="77"/>
  <c r="Z41" i="77"/>
  <c r="W41" i="77"/>
  <c r="U41" i="77"/>
  <c r="S41" i="77"/>
  <c r="Q40" i="77"/>
  <c r="Z40" i="77"/>
  <c r="Q39" i="77"/>
  <c r="Z39" i="77"/>
  <c r="W39" i="77"/>
  <c r="U39" i="77"/>
  <c r="S39" i="77"/>
  <c r="Q38" i="77"/>
  <c r="Z38" i="77"/>
  <c r="W38" i="77"/>
  <c r="U38" i="77"/>
  <c r="S38" i="77"/>
  <c r="Q37" i="77"/>
  <c r="Z37" i="77"/>
  <c r="W37" i="77"/>
  <c r="U37" i="77"/>
  <c r="Q36" i="77"/>
  <c r="Z36" i="77"/>
  <c r="W36" i="77"/>
  <c r="U36" i="77"/>
  <c r="S36" i="77"/>
  <c r="Q35" i="77"/>
  <c r="Z35" i="77"/>
  <c r="W35" i="77"/>
  <c r="U35" i="77"/>
  <c r="S35" i="77"/>
  <c r="Q34" i="77"/>
  <c r="Z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U27" i="77"/>
  <c r="Q25" i="77"/>
  <c r="Z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P50" i="34"/>
  <c r="P49" i="34"/>
  <c r="P48" i="34"/>
  <c r="Q47" i="34"/>
  <c r="Z47" i="34"/>
  <c r="W47" i="34"/>
  <c r="U47" i="34"/>
  <c r="S47" i="34"/>
  <c r="Q46" i="34"/>
  <c r="Z46" i="34"/>
  <c r="Q45" i="34"/>
  <c r="Z45" i="34"/>
  <c r="Q44" i="34"/>
  <c r="Z44" i="34"/>
  <c r="W44" i="34"/>
  <c r="U44" i="34"/>
  <c r="S44" i="34"/>
  <c r="Q43" i="34"/>
  <c r="Z43" i="34"/>
  <c r="W43" i="34"/>
  <c r="U43" i="34"/>
  <c r="S43" i="34"/>
  <c r="Q42" i="34"/>
  <c r="Z42" i="34"/>
  <c r="W42" i="34"/>
  <c r="U42" i="34"/>
  <c r="S42" i="34"/>
  <c r="Q41" i="34"/>
  <c r="Z41" i="34"/>
  <c r="W41" i="34"/>
  <c r="U41" i="34"/>
  <c r="S41" i="34"/>
  <c r="Q40" i="34"/>
  <c r="Z40" i="34"/>
  <c r="Q39" i="34"/>
  <c r="Z39" i="34"/>
  <c r="W39" i="34"/>
  <c r="U39" i="34"/>
  <c r="S39" i="34"/>
  <c r="Q38" i="34"/>
  <c r="Z38" i="34"/>
  <c r="W38" i="34"/>
  <c r="U38" i="34"/>
  <c r="S38" i="34"/>
  <c r="Q37" i="34"/>
  <c r="Z37" i="34"/>
  <c r="Q36" i="34"/>
  <c r="Z36" i="34"/>
  <c r="W36" i="34"/>
  <c r="U36" i="34"/>
  <c r="S36" i="34"/>
  <c r="Q35" i="34"/>
  <c r="Z35" i="34"/>
  <c r="W35" i="34"/>
  <c r="U35" i="34"/>
  <c r="S35" i="34"/>
  <c r="Q34" i="34"/>
  <c r="Z34" i="34"/>
  <c r="Q33" i="34"/>
  <c r="Z33" i="34"/>
  <c r="W33" i="34"/>
  <c r="U33" i="34"/>
  <c r="S33" i="34"/>
  <c r="Q32" i="34"/>
  <c r="Z32" i="34"/>
  <c r="W32" i="34"/>
  <c r="Q31" i="34"/>
  <c r="Z31" i="34"/>
  <c r="W31" i="34"/>
  <c r="U31" i="34"/>
  <c r="S31" i="34"/>
  <c r="Q30" i="34"/>
  <c r="Z30" i="34"/>
  <c r="W30" i="34"/>
  <c r="Q29" i="34"/>
  <c r="Z29" i="34"/>
  <c r="W29" i="34"/>
  <c r="U29" i="34"/>
  <c r="S29" i="34"/>
  <c r="Q28" i="34"/>
  <c r="Z28" i="34"/>
  <c r="W28" i="34"/>
  <c r="Q27" i="34"/>
  <c r="Z27" i="34"/>
  <c r="W27" i="34"/>
  <c r="U27" i="34"/>
  <c r="S27" i="34"/>
  <c r="Q25" i="34"/>
  <c r="Z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Q12" i="34"/>
  <c r="Z12" i="34"/>
  <c r="W12" i="34"/>
  <c r="U12" i="34"/>
  <c r="S12" i="34"/>
  <c r="Q11" i="34"/>
  <c r="Z11" i="34"/>
  <c r="W11" i="34"/>
  <c r="U11" i="34"/>
  <c r="S11" i="34"/>
  <c r="Q10" i="34"/>
  <c r="Z10" i="34"/>
  <c r="W10" i="34"/>
  <c r="U10" i="34"/>
  <c r="S10" i="34"/>
  <c r="Q9" i="34"/>
  <c r="Z9" i="34"/>
  <c r="W9" i="34"/>
  <c r="W8" i="34"/>
  <c r="U8" i="34"/>
  <c r="S8" i="34"/>
  <c r="E111" i="81"/>
  <c r="H111" i="81"/>
  <c r="D126" i="81"/>
  <c r="D127" i="81"/>
  <c r="A126" i="81"/>
  <c r="E109" i="81"/>
  <c r="H109" i="81"/>
  <c r="D124" i="81"/>
  <c r="D125" i="81"/>
  <c r="A124" i="81"/>
  <c r="E107" i="81"/>
  <c r="M18" i="81"/>
  <c r="B118" i="81"/>
  <c r="H105" i="81"/>
  <c r="H106" i="81"/>
  <c r="H103" i="81"/>
  <c r="A122" i="81"/>
  <c r="D120" i="81"/>
  <c r="D121" i="81"/>
  <c r="A120" i="81"/>
  <c r="K120" i="81"/>
  <c r="M19" i="81"/>
  <c r="C118" i="81"/>
  <c r="S2" i="4"/>
  <c r="A118" i="81"/>
  <c r="H112" i="81"/>
  <c r="H110" i="81"/>
  <c r="H104" i="81"/>
  <c r="D101" i="81"/>
  <c r="C101" i="81"/>
  <c r="D89" i="81"/>
  <c r="C89" i="81"/>
  <c r="C87" i="81"/>
  <c r="C91" i="81"/>
  <c r="D93" i="81"/>
  <c r="E90" i="81"/>
  <c r="C76" i="81"/>
  <c r="D77" i="81"/>
  <c r="C77" i="81"/>
  <c r="C74" i="81"/>
  <c r="D78" i="81"/>
  <c r="H77" i="81"/>
  <c r="D68" i="81"/>
  <c r="D48" i="81"/>
  <c r="M52" i="81"/>
  <c r="I55" i="81"/>
  <c r="F55" i="81"/>
  <c r="O53" i="81"/>
  <c r="D59" i="81"/>
  <c r="M55" i="81"/>
  <c r="K6" i="4"/>
  <c r="M56" i="81"/>
  <c r="J55" i="81"/>
  <c r="J56" i="81"/>
  <c r="J57" i="81"/>
  <c r="J59" i="81"/>
  <c r="J61" i="81"/>
  <c r="F59" i="81"/>
  <c r="E59" i="81"/>
  <c r="N55" i="81"/>
  <c r="K56" i="81"/>
  <c r="F56" i="81"/>
  <c r="O55" i="81"/>
  <c r="K55" i="81"/>
  <c r="O54" i="81"/>
  <c r="N54" i="81"/>
  <c r="F54" i="81"/>
  <c r="N53" i="81"/>
  <c r="F53" i="81"/>
  <c r="F48" i="81"/>
  <c r="O52" i="81"/>
  <c r="E48" i="81"/>
  <c r="N52" i="81"/>
  <c r="F52" i="81"/>
  <c r="K49" i="81"/>
  <c r="M47" i="81"/>
  <c r="F33" i="81"/>
  <c r="D27" i="81"/>
  <c r="C24" i="81"/>
  <c r="L19" i="81"/>
  <c r="L18" i="81"/>
  <c r="L4" i="81"/>
  <c r="K4" i="81"/>
  <c r="H1" i="81"/>
  <c r="E111" i="87"/>
  <c r="H111" i="87"/>
  <c r="D126" i="87"/>
  <c r="D127" i="87"/>
  <c r="A126" i="87"/>
  <c r="E109" i="87"/>
  <c r="H109" i="87"/>
  <c r="A124" i="87"/>
  <c r="E107" i="87"/>
  <c r="C17" i="87"/>
  <c r="D17" i="87"/>
  <c r="C18" i="87"/>
  <c r="D18" i="87"/>
  <c r="C25" i="87"/>
  <c r="M18" i="87"/>
  <c r="B118" i="87"/>
  <c r="H105" i="87"/>
  <c r="H106" i="87"/>
  <c r="H103" i="87"/>
  <c r="D120" i="87"/>
  <c r="A122" i="87"/>
  <c r="A120" i="87"/>
  <c r="M19" i="87"/>
  <c r="C118" i="87"/>
  <c r="A118" i="87"/>
  <c r="H112" i="87"/>
  <c r="H104" i="87"/>
  <c r="D101" i="87"/>
  <c r="C101" i="87"/>
  <c r="D89" i="87"/>
  <c r="C89" i="87"/>
  <c r="C87" i="87"/>
  <c r="C91" i="87"/>
  <c r="D93" i="87"/>
  <c r="E90" i="87"/>
  <c r="C76" i="87"/>
  <c r="C77" i="87"/>
  <c r="C74" i="87"/>
  <c r="D77" i="87"/>
  <c r="D78" i="87"/>
  <c r="H77" i="87"/>
  <c r="D68" i="87"/>
  <c r="D48" i="87"/>
  <c r="M52" i="87"/>
  <c r="I55" i="87"/>
  <c r="D59" i="87"/>
  <c r="M55" i="87"/>
  <c r="J55" i="87"/>
  <c r="J56" i="87"/>
  <c r="J57" i="87"/>
  <c r="J59" i="87"/>
  <c r="J61" i="87"/>
  <c r="F59" i="87"/>
  <c r="E59" i="87"/>
  <c r="N55" i="87"/>
  <c r="K56" i="87"/>
  <c r="F56" i="87"/>
  <c r="O55" i="87"/>
  <c r="K55" i="87"/>
  <c r="F55" i="87"/>
  <c r="O54" i="87"/>
  <c r="N54" i="87"/>
  <c r="F54" i="87"/>
  <c r="O53" i="87"/>
  <c r="N53" i="87"/>
  <c r="F53" i="87"/>
  <c r="F48" i="87"/>
  <c r="O52" i="87"/>
  <c r="E48" i="87"/>
  <c r="N52" i="87"/>
  <c r="F52" i="87"/>
  <c r="K49" i="87"/>
  <c r="M47" i="87"/>
  <c r="F33" i="87"/>
  <c r="D27" i="87"/>
  <c r="C24" i="87"/>
  <c r="L19" i="87"/>
  <c r="L18" i="87"/>
  <c r="L4" i="87"/>
  <c r="K4" i="87"/>
  <c r="H1" i="87"/>
  <c r="G1" i="15"/>
  <c r="S9" i="1"/>
  <c r="T9" i="1"/>
  <c r="T7" i="1"/>
  <c r="F15" i="15"/>
  <c r="F17" i="15"/>
  <c r="F18" i="15"/>
  <c r="F20" i="15"/>
  <c r="F23" i="15"/>
  <c r="F21" i="15"/>
  <c r="F28" i="15"/>
  <c r="C28" i="15"/>
  <c r="F32" i="15"/>
  <c r="F33" i="15"/>
  <c r="F34" i="15"/>
  <c r="R9" i="1"/>
  <c r="AE9" i="1"/>
  <c r="M47" i="15"/>
  <c r="F9" i="1"/>
  <c r="J50" i="15"/>
  <c r="J51" i="15"/>
  <c r="D9" i="1"/>
  <c r="K59" i="15"/>
  <c r="P74" i="15"/>
  <c r="Q72" i="15"/>
  <c r="F60" i="15"/>
  <c r="F61" i="15"/>
  <c r="F62" i="15"/>
  <c r="P61" i="15"/>
  <c r="J53" i="15"/>
  <c r="F1" i="15"/>
  <c r="Q59" i="15"/>
  <c r="F59" i="15"/>
  <c r="Q58" i="15"/>
  <c r="Q52" i="15"/>
  <c r="Q51" i="15"/>
  <c r="D46" i="15"/>
  <c r="F31" i="15"/>
  <c r="AG9" i="1"/>
  <c r="M18" i="15"/>
  <c r="M19" i="15"/>
  <c r="M20" i="15"/>
  <c r="D24" i="15"/>
  <c r="D23" i="15"/>
  <c r="D22" i="15"/>
  <c r="M17" i="15"/>
  <c r="C4" i="12"/>
  <c r="P6" i="1"/>
  <c r="P7" i="1"/>
  <c r="P8" i="1"/>
  <c r="P9" i="1"/>
  <c r="P10" i="1"/>
  <c r="P11" i="1"/>
  <c r="P12" i="1"/>
  <c r="P13" i="1"/>
  <c r="P14" i="1"/>
  <c r="P16" i="1"/>
  <c r="C11" i="12"/>
  <c r="F12" i="12"/>
  <c r="F13" i="12"/>
  <c r="C13" i="12"/>
  <c r="E14" i="12"/>
  <c r="F11" i="12"/>
  <c r="F15" i="12"/>
  <c r="E17" i="12"/>
  <c r="D19" i="12"/>
  <c r="E19" i="12"/>
  <c r="C19" i="12"/>
  <c r="E20" i="12"/>
  <c r="F22" i="12"/>
  <c r="F23" i="12"/>
  <c r="F31" i="12"/>
  <c r="F24" i="12"/>
  <c r="C24" i="12"/>
  <c r="G27" i="12"/>
  <c r="G26" i="12"/>
  <c r="G25" i="12"/>
  <c r="K7" i="12"/>
  <c r="J7" i="12"/>
  <c r="I7" i="12"/>
  <c r="H7" i="12"/>
  <c r="G7" i="12"/>
  <c r="F7" i="12"/>
  <c r="E7" i="12"/>
  <c r="D7" i="12"/>
  <c r="C7" i="12"/>
  <c r="K1" i="12"/>
  <c r="F35" i="69"/>
  <c r="AP6" i="1"/>
  <c r="AP7" i="1"/>
  <c r="AP8" i="1"/>
  <c r="AP9" i="1"/>
  <c r="AP10" i="1"/>
  <c r="AP11" i="1"/>
  <c r="AP12" i="1"/>
  <c r="AP13" i="1"/>
  <c r="F36" i="69"/>
  <c r="C36" i="69"/>
  <c r="E37" i="69"/>
  <c r="D9" i="69"/>
  <c r="C9" i="69"/>
  <c r="F38" i="69"/>
  <c r="F20" i="69"/>
  <c r="F21" i="69"/>
  <c r="C40" i="69"/>
  <c r="F30" i="69"/>
  <c r="C48" i="69"/>
  <c r="F7" i="69"/>
  <c r="C7" i="69"/>
  <c r="E9" i="69"/>
  <c r="E10" i="69"/>
  <c r="E19" i="69"/>
  <c r="C21" i="69"/>
  <c r="C30" i="69"/>
  <c r="G41" i="69"/>
  <c r="G22" i="69"/>
  <c r="H1" i="69"/>
  <c r="G1" i="69"/>
  <c r="F34" i="68"/>
  <c r="F35" i="68"/>
  <c r="F36" i="68"/>
  <c r="E37" i="68"/>
  <c r="D9" i="68"/>
  <c r="F38" i="68"/>
  <c r="F20" i="68"/>
  <c r="F21" i="68"/>
  <c r="C40" i="68"/>
  <c r="F30" i="68"/>
  <c r="C48" i="68"/>
  <c r="F7" i="68"/>
  <c r="C7" i="68"/>
  <c r="C8" i="68"/>
  <c r="C5" i="68"/>
  <c r="E19" i="68"/>
  <c r="C21" i="68"/>
  <c r="G41" i="68"/>
  <c r="G22" i="68"/>
  <c r="E10" i="68"/>
  <c r="E9" i="68"/>
  <c r="C9" i="68"/>
  <c r="G1" i="68"/>
  <c r="E111" i="9"/>
  <c r="H111" i="9"/>
  <c r="A126" i="9"/>
  <c r="E109" i="9"/>
  <c r="H109" i="9"/>
  <c r="D124" i="9"/>
  <c r="A124" i="9"/>
  <c r="E107" i="9"/>
  <c r="C25" i="9"/>
  <c r="H105" i="9"/>
  <c r="H106" i="9"/>
  <c r="H103" i="9"/>
  <c r="D120" i="9"/>
  <c r="A122" i="9"/>
  <c r="A120" i="9"/>
  <c r="A118" i="9"/>
  <c r="H110" i="9"/>
  <c r="H104" i="9"/>
  <c r="D101" i="9"/>
  <c r="C101" i="9"/>
  <c r="D89" i="9"/>
  <c r="C89" i="9"/>
  <c r="C87" i="9"/>
  <c r="C91" i="9"/>
  <c r="D93" i="9"/>
  <c r="E90" i="9"/>
  <c r="C76" i="9"/>
  <c r="C77" i="9"/>
  <c r="C74" i="9"/>
  <c r="D77" i="9"/>
  <c r="D78" i="9"/>
  <c r="H77" i="9"/>
  <c r="D68" i="9"/>
  <c r="D48" i="9"/>
  <c r="M52" i="9"/>
  <c r="I55" i="9"/>
  <c r="D59" i="9"/>
  <c r="M55" i="9"/>
  <c r="M56" i="9"/>
  <c r="J55" i="9"/>
  <c r="J56" i="9"/>
  <c r="J57" i="9"/>
  <c r="J59" i="9"/>
  <c r="J61" i="9"/>
  <c r="F59" i="9"/>
  <c r="E59" i="9"/>
  <c r="N55" i="9"/>
  <c r="N56" i="9"/>
  <c r="K56" i="9"/>
  <c r="F56" i="9"/>
  <c r="O55" i="9"/>
  <c r="K55" i="9"/>
  <c r="F55" i="9"/>
  <c r="O54" i="9"/>
  <c r="N54" i="9"/>
  <c r="F54" i="9"/>
  <c r="O53" i="9"/>
  <c r="N53" i="9"/>
  <c r="F53" i="9"/>
  <c r="F48" i="9"/>
  <c r="O52" i="9"/>
  <c r="E48" i="9"/>
  <c r="N52" i="9"/>
  <c r="F52" i="9"/>
  <c r="K49" i="9"/>
  <c r="M47" i="9"/>
  <c r="F33" i="9"/>
  <c r="D27" i="9"/>
  <c r="C24" i="9"/>
  <c r="L4" i="9"/>
  <c r="K4" i="9"/>
  <c r="A2" i="9"/>
  <c r="H1" i="9"/>
  <c r="F23" i="74"/>
  <c r="E23" i="74"/>
  <c r="F22" i="74"/>
  <c r="E22" i="74"/>
  <c r="F21" i="74"/>
  <c r="E21" i="74"/>
  <c r="F20" i="74"/>
  <c r="E20" i="74"/>
  <c r="F19" i="74"/>
  <c r="E19" i="74"/>
  <c r="F18" i="74"/>
  <c r="E18" i="74"/>
  <c r="G17" i="74"/>
  <c r="F17" i="74"/>
  <c r="E17" i="74"/>
  <c r="G16" i="74"/>
  <c r="F16" i="74"/>
  <c r="E16" i="74"/>
  <c r="B15" i="74"/>
  <c r="B3" i="74"/>
  <c r="T8" i="1"/>
  <c r="S10" i="1"/>
  <c r="T10" i="1"/>
  <c r="S11" i="1"/>
  <c r="T11" i="1"/>
  <c r="S12" i="1"/>
  <c r="T12" i="1"/>
  <c r="S13" i="1"/>
  <c r="T13" i="1"/>
  <c r="R10" i="1"/>
  <c r="R11" i="1"/>
  <c r="R12" i="1"/>
  <c r="R13" i="1"/>
  <c r="O6" i="1"/>
  <c r="O16" i="1"/>
  <c r="O7" i="1"/>
  <c r="O8" i="1"/>
  <c r="O9" i="1"/>
  <c r="O10" i="1"/>
  <c r="O11" i="1"/>
  <c r="O12" i="1"/>
  <c r="O13" i="1"/>
  <c r="O14" i="1"/>
  <c r="F29" i="6"/>
  <c r="G29" i="6"/>
  <c r="E29" i="6"/>
  <c r="K15"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G6" i="1"/>
  <c r="B6" i="1"/>
  <c r="E6" i="1"/>
  <c r="T4" i="1"/>
  <c r="E32" i="6"/>
  <c r="G27" i="6"/>
  <c r="L22" i="6"/>
  <c r="L23" i="6"/>
  <c r="L24" i="6"/>
  <c r="L25" i="6"/>
  <c r="L26" i="6"/>
  <c r="P19" i="6"/>
  <c r="P20" i="6"/>
  <c r="P21" i="6"/>
  <c r="P22" i="6"/>
  <c r="P23" i="6"/>
  <c r="P24" i="6"/>
  <c r="P25" i="6"/>
  <c r="P26" i="6"/>
  <c r="P27" i="6"/>
  <c r="O27" i="6"/>
  <c r="N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34" i="4"/>
  <c r="T34" i="4"/>
  <c r="R35" i="4"/>
  <c r="Q35" i="4"/>
  <c r="P35" i="4"/>
  <c r="O35" i="4"/>
  <c r="N35" i="4"/>
  <c r="M35" i="4"/>
  <c r="L35" i="4"/>
  <c r="C33" i="4"/>
  <c r="C32" i="4"/>
  <c r="C31" i="4"/>
  <c r="L22" i="4"/>
  <c r="L21" i="4"/>
  <c r="A15" i="62"/>
  <c r="B61" i="72"/>
  <c r="L20" i="4"/>
  <c r="F19" i="4"/>
  <c r="I15" i="4"/>
  <c r="H15" i="4"/>
  <c r="G15" i="4"/>
  <c r="D15" i="4"/>
  <c r="K5" i="4"/>
  <c r="B2" i="49"/>
  <c r="B9" i="49"/>
  <c r="C4" i="4"/>
  <c r="I4" i="4"/>
  <c r="G4" i="4"/>
  <c r="S1" i="4"/>
  <c r="B1" i="4"/>
  <c r="C53" i="10"/>
  <c r="C51" i="10"/>
  <c r="B51" i="10"/>
  <c r="E22" i="49"/>
  <c r="B16" i="49"/>
  <c r="E10" i="49"/>
  <c r="B8" i="49"/>
  <c r="B6" i="49"/>
  <c r="B4" i="49"/>
  <c r="B49" i="48"/>
  <c r="B47" i="48"/>
  <c r="B40" i="48"/>
  <c r="B3" i="72"/>
  <c r="B37" i="48"/>
  <c r="B74" i="72"/>
  <c r="A5" i="62"/>
  <c r="B72" i="72"/>
  <c r="A4" i="62"/>
  <c r="B70" i="72"/>
  <c r="B69" i="72"/>
  <c r="B68" i="72"/>
  <c r="A21" i="62"/>
  <c r="B67" i="72"/>
  <c r="A20" i="62"/>
  <c r="B66" i="72"/>
  <c r="A19" i="62"/>
  <c r="B65" i="72"/>
  <c r="B63" i="72"/>
  <c r="B62" i="72"/>
  <c r="A14" i="62"/>
  <c r="B60" i="72"/>
  <c r="A13" i="62"/>
  <c r="B59" i="72"/>
  <c r="A12" i="62"/>
  <c r="B58" i="72"/>
  <c r="A6" i="52"/>
  <c r="B57" i="72"/>
  <c r="A12" i="52"/>
  <c r="B56" i="72"/>
  <c r="A10" i="52"/>
  <c r="B55" i="72"/>
  <c r="A8" i="52"/>
  <c r="B54" i="72"/>
  <c r="F2" i="52"/>
  <c r="B50" i="72"/>
  <c r="D2" i="52"/>
  <c r="B46" i="72"/>
  <c r="B44" i="72"/>
  <c r="B42" i="72"/>
  <c r="A4" i="52"/>
  <c r="B41" i="72"/>
  <c r="B19" i="53"/>
  <c r="B37" i="72"/>
  <c r="D16" i="53"/>
  <c r="D17" i="53"/>
  <c r="B36" i="72"/>
  <c r="D18" i="53"/>
  <c r="B35" i="72"/>
  <c r="B34" i="72"/>
  <c r="B16" i="53"/>
  <c r="B33" i="72"/>
  <c r="B13" i="53"/>
  <c r="B29" i="72"/>
  <c r="D12" i="53"/>
  <c r="B28" i="72"/>
  <c r="D11" i="53"/>
  <c r="B27" i="72"/>
  <c r="D10" i="53"/>
  <c r="B26" i="72"/>
  <c r="D8" i="53"/>
  <c r="D9" i="53"/>
  <c r="B25" i="72"/>
  <c r="B24" i="72"/>
  <c r="B8" i="53"/>
  <c r="B23" i="72"/>
  <c r="A2" i="53"/>
  <c r="B19" i="72"/>
  <c r="A24" i="51"/>
  <c r="B18" i="72"/>
  <c r="A22" i="51"/>
  <c r="B17" i="72"/>
  <c r="A21" i="51"/>
  <c r="B16" i="72"/>
  <c r="A20" i="51"/>
  <c r="B15" i="72"/>
  <c r="A18" i="51"/>
  <c r="B13" i="72"/>
  <c r="A15" i="51"/>
  <c r="B12" i="72"/>
  <c r="A13" i="51"/>
  <c r="B11" i="72"/>
  <c r="B10" i="72"/>
  <c r="B8" i="72"/>
  <c r="A4" i="51"/>
  <c r="B6" i="72"/>
  <c r="B5" i="72"/>
  <c r="B2" i="72"/>
  <c r="H2" i="52"/>
  <c r="A1" i="52"/>
  <c r="A3" i="53"/>
  <c r="A3" i="51"/>
  <c r="F4" i="73"/>
  <c r="F7" i="73"/>
  <c r="F6" i="73"/>
  <c r="F5" i="73"/>
  <c r="F3" i="73"/>
  <c r="AE8" i="1"/>
  <c r="F20" i="80"/>
  <c r="F20" i="31"/>
  <c r="AE7" i="1"/>
  <c r="B13" i="76"/>
  <c r="B12" i="76"/>
  <c r="B11" i="76"/>
  <c r="B10" i="76"/>
  <c r="B9" i="76"/>
  <c r="B8" i="76"/>
  <c r="B7" i="76"/>
  <c r="E13" i="76"/>
  <c r="E12" i="76"/>
  <c r="E11" i="76"/>
  <c r="E10" i="76"/>
  <c r="E9" i="76"/>
  <c r="E8" i="76"/>
  <c r="E7" i="76"/>
  <c r="D2" i="35"/>
  <c r="D2" i="21"/>
  <c r="AO13" i="1"/>
  <c r="AO12" i="1"/>
  <c r="AO11" i="1"/>
  <c r="AO10" i="1"/>
  <c r="AO9" i="1"/>
  <c r="AO8" i="1"/>
  <c r="AO7" i="1"/>
  <c r="D2" i="34"/>
  <c r="D2" i="36"/>
  <c r="D2" i="37"/>
  <c r="D2" i="77"/>
  <c r="D34" i="81"/>
  <c r="D34" i="87"/>
  <c r="C14" i="15"/>
  <c r="F43" i="15"/>
  <c r="F26" i="15"/>
  <c r="F13" i="15"/>
  <c r="F6" i="15"/>
  <c r="F7" i="15"/>
  <c r="F35" i="15"/>
  <c r="F40" i="15"/>
  <c r="F41" i="15"/>
  <c r="C76" i="15"/>
  <c r="M6" i="15"/>
  <c r="M29" i="15"/>
  <c r="M26" i="15"/>
  <c r="M21" i="15"/>
  <c r="M22" i="15"/>
  <c r="J15" i="15"/>
  <c r="M23" i="15"/>
  <c r="M24" i="15"/>
  <c r="E2" i="69"/>
  <c r="D34" i="9"/>
  <c r="D2" i="33"/>
  <c r="D35" i="81"/>
  <c r="D35" i="87"/>
  <c r="F16" i="15"/>
  <c r="F8" i="15"/>
  <c r="F9" i="15"/>
  <c r="F36" i="15"/>
  <c r="F37" i="15"/>
  <c r="F38" i="15"/>
  <c r="F42" i="15"/>
  <c r="M8" i="15"/>
  <c r="M9" i="15"/>
  <c r="L48" i="15"/>
  <c r="L47" i="15"/>
  <c r="M28" i="15"/>
  <c r="M27" i="15"/>
  <c r="E2" i="68"/>
  <c r="D35" i="9"/>
  <c r="C23" i="12"/>
  <c r="B5" i="49"/>
  <c r="B7" i="49"/>
  <c r="E9" i="49"/>
  <c r="E11" i="49"/>
  <c r="E21" i="49"/>
  <c r="L58" i="15"/>
  <c r="N59" i="15"/>
  <c r="L59" i="15"/>
  <c r="M59" i="15"/>
  <c r="L56" i="15"/>
  <c r="J57" i="15"/>
  <c r="J55" i="15"/>
  <c r="J58" i="15"/>
  <c r="Q50" i="15"/>
  <c r="I54" i="15"/>
  <c r="F66" i="15"/>
  <c r="F65" i="15"/>
  <c r="F64" i="15"/>
  <c r="F51" i="15"/>
  <c r="J20" i="15"/>
  <c r="Q71" i="15"/>
  <c r="F69" i="15"/>
  <c r="F68" i="15"/>
  <c r="C34" i="15"/>
  <c r="F63" i="15"/>
  <c r="C62" i="15"/>
  <c r="M7" i="15"/>
  <c r="J6" i="15"/>
  <c r="F50" i="15"/>
  <c r="C6" i="15"/>
  <c r="C27" i="15"/>
  <c r="F71" i="15"/>
  <c r="C15" i="15"/>
  <c r="C18" i="15"/>
  <c r="B7" i="70"/>
  <c r="B8" i="70"/>
  <c r="B9" i="70"/>
  <c r="B10" i="70"/>
  <c r="B11" i="70"/>
  <c r="B12" i="70"/>
  <c r="B13" i="70"/>
  <c r="I1" i="73"/>
  <c r="B39" i="1"/>
  <c r="T35" i="4"/>
  <c r="A19" i="51"/>
  <c r="B14" i="72"/>
  <c r="C94" i="9"/>
  <c r="C92" i="9"/>
  <c r="D6" i="52"/>
  <c r="D121" i="9"/>
  <c r="D7" i="52"/>
  <c r="K120" i="9"/>
  <c r="A18" i="62"/>
  <c r="B64" i="72"/>
  <c r="H14" i="74"/>
  <c r="B7" i="74"/>
  <c r="D10" i="52"/>
  <c r="D125" i="9"/>
  <c r="D11" i="52"/>
  <c r="C12" i="12"/>
  <c r="C15" i="12"/>
  <c r="C94" i="87"/>
  <c r="C92" i="87"/>
  <c r="D124" i="87"/>
  <c r="D125" i="87"/>
  <c r="H110" i="87"/>
  <c r="C92" i="81"/>
  <c r="C94" i="81"/>
  <c r="AB44" i="21"/>
  <c r="U44" i="21"/>
  <c r="AC46" i="21"/>
  <c r="W46" i="21"/>
  <c r="B4" i="62"/>
  <c r="B71" i="72"/>
  <c r="D19" i="53"/>
  <c r="D126" i="9"/>
  <c r="D121" i="87"/>
  <c r="K120" i="87"/>
  <c r="I15" i="66"/>
  <c r="AB8" i="21"/>
  <c r="U8" i="21"/>
  <c r="AB10" i="21"/>
  <c r="U10" i="21"/>
  <c r="AB14" i="21"/>
  <c r="U14" i="21"/>
  <c r="AB17" i="21"/>
  <c r="U17" i="21"/>
  <c r="AB21" i="21"/>
  <c r="U21" i="21"/>
  <c r="AB26" i="21"/>
  <c r="U26" i="21"/>
  <c r="AB30" i="21"/>
  <c r="U30" i="21"/>
  <c r="AB34" i="21"/>
  <c r="U34" i="21"/>
  <c r="AB38" i="21"/>
  <c r="U38" i="21"/>
  <c r="AB42" i="21"/>
  <c r="U42" i="21"/>
  <c r="AB46" i="21"/>
  <c r="U46" i="21"/>
  <c r="AB21" i="33"/>
  <c r="U21" i="33"/>
  <c r="AB17" i="33"/>
  <c r="U17" i="33"/>
  <c r="AB14" i="33"/>
  <c r="U14" i="33"/>
  <c r="AB12" i="33"/>
  <c r="U12" i="33"/>
  <c r="AB10" i="33"/>
  <c r="U10" i="33"/>
  <c r="AB8" i="33"/>
  <c r="U8" i="33"/>
  <c r="AA45" i="33"/>
  <c r="S45" i="33"/>
  <c r="AA43" i="33"/>
  <c r="S43" i="33"/>
  <c r="AA41" i="33"/>
  <c r="S41" i="33"/>
  <c r="AA39" i="33"/>
  <c r="S39" i="33"/>
  <c r="AA37" i="33"/>
  <c r="S37" i="33"/>
  <c r="AA35" i="33"/>
  <c r="S35" i="33"/>
  <c r="AA33" i="33"/>
  <c r="S33" i="33"/>
  <c r="AA31" i="33"/>
  <c r="S31" i="33"/>
  <c r="AA29" i="33"/>
  <c r="S29" i="33"/>
  <c r="AA27" i="33"/>
  <c r="S27" i="33"/>
  <c r="AA25" i="33"/>
  <c r="S25" i="33"/>
  <c r="F87" i="33"/>
  <c r="G87" i="33"/>
  <c r="H87" i="33"/>
  <c r="I87" i="33"/>
  <c r="J87" i="33"/>
  <c r="K87" i="33"/>
  <c r="L87" i="33"/>
  <c r="M87" i="33"/>
  <c r="J25" i="33"/>
  <c r="H101" i="33"/>
  <c r="I101" i="33"/>
  <c r="J101" i="33"/>
  <c r="K101" i="33"/>
  <c r="L101" i="33"/>
  <c r="M101" i="33"/>
  <c r="J32" i="33"/>
  <c r="G108" i="33"/>
  <c r="H108" i="33"/>
  <c r="I108" i="33"/>
  <c r="J108" i="33"/>
  <c r="K108" i="33"/>
  <c r="L108" i="33"/>
  <c r="M108" i="33"/>
  <c r="J35" i="33"/>
  <c r="D52" i="37"/>
  <c r="E52" i="37"/>
  <c r="F52" i="37"/>
  <c r="G52" i="37"/>
  <c r="H52" i="37"/>
  <c r="I52" i="37"/>
  <c r="J52" i="37"/>
  <c r="K52" i="37"/>
  <c r="L52" i="37"/>
  <c r="M52" i="37"/>
  <c r="N52" i="37"/>
  <c r="O52" i="37"/>
  <c r="H7" i="37"/>
  <c r="F7" i="37"/>
  <c r="E48" i="35"/>
  <c r="F48" i="35"/>
  <c r="G48" i="35"/>
  <c r="H48" i="35"/>
  <c r="I48" i="35"/>
  <c r="J48" i="35"/>
  <c r="K48" i="35"/>
  <c r="L48" i="35"/>
  <c r="M48" i="35"/>
  <c r="N48" i="35"/>
  <c r="O48" i="35"/>
  <c r="H7" i="35"/>
  <c r="D46" i="36"/>
  <c r="E46" i="36"/>
  <c r="F46" i="36"/>
  <c r="G46" i="36"/>
  <c r="H46" i="36"/>
  <c r="I46" i="36"/>
  <c r="J46" i="36"/>
  <c r="K46" i="36"/>
  <c r="L46" i="36"/>
  <c r="M46" i="36"/>
  <c r="N46" i="36"/>
  <c r="O46" i="36"/>
  <c r="H7" i="36"/>
  <c r="F7" i="36"/>
  <c r="AC30" i="40"/>
  <c r="W30" i="40"/>
  <c r="E4" i="49"/>
  <c r="E5" i="49"/>
  <c r="E6" i="49"/>
  <c r="E7" i="49"/>
  <c r="E8" i="49"/>
  <c r="B10" i="49"/>
  <c r="B11" i="49"/>
  <c r="B14" i="49"/>
  <c r="E16" i="49"/>
  <c r="B22" i="49"/>
  <c r="B23" i="49"/>
  <c r="B13" i="49"/>
  <c r="E4" i="4"/>
  <c r="B5" i="62"/>
  <c r="B73" i="72"/>
  <c r="H112" i="9"/>
  <c r="D21" i="53"/>
  <c r="B39" i="72"/>
  <c r="C30" i="68"/>
  <c r="C36" i="68"/>
  <c r="C31" i="12"/>
  <c r="A2" i="87"/>
  <c r="N56" i="87"/>
  <c r="M56" i="87"/>
  <c r="A2" i="81"/>
  <c r="N56" i="81"/>
  <c r="I10" i="66"/>
  <c r="C32" i="66"/>
  <c r="C30" i="66"/>
  <c r="E26" i="66"/>
  <c r="S12" i="21"/>
  <c r="AB12" i="21"/>
  <c r="U12" i="21"/>
  <c r="S15" i="21"/>
  <c r="AB15" i="21"/>
  <c r="U15" i="21"/>
  <c r="S19" i="21"/>
  <c r="AB19" i="21"/>
  <c r="U19" i="21"/>
  <c r="S23" i="21"/>
  <c r="AB23" i="21"/>
  <c r="U23" i="21"/>
  <c r="S28" i="21"/>
  <c r="AB28" i="21"/>
  <c r="U28" i="21"/>
  <c r="S32" i="21"/>
  <c r="AB32" i="21"/>
  <c r="U32" i="21"/>
  <c r="S36" i="21"/>
  <c r="AB36" i="21"/>
  <c r="U36" i="21"/>
  <c r="S40" i="21"/>
  <c r="AB40" i="21"/>
  <c r="U40" i="21"/>
  <c r="S44" i="21"/>
  <c r="F46" i="21"/>
  <c r="D58" i="21"/>
  <c r="J9" i="21"/>
  <c r="H9" i="21"/>
  <c r="F9" i="21"/>
  <c r="K145" i="21"/>
  <c r="K143" i="21"/>
  <c r="K141" i="21"/>
  <c r="U41" i="33"/>
  <c r="U43" i="33"/>
  <c r="U45" i="33"/>
  <c r="AB46" i="33"/>
  <c r="U46" i="33"/>
  <c r="AB44" i="33"/>
  <c r="U44" i="33"/>
  <c r="AB42" i="33"/>
  <c r="U42" i="33"/>
  <c r="AB40" i="33"/>
  <c r="U40" i="33"/>
  <c r="AB38" i="33"/>
  <c r="U38" i="33"/>
  <c r="AB34" i="33"/>
  <c r="U34" i="33"/>
  <c r="AB32" i="33"/>
  <c r="U32" i="33"/>
  <c r="AB30" i="33"/>
  <c r="U30" i="33"/>
  <c r="AB28" i="33"/>
  <c r="U28" i="33"/>
  <c r="AB26" i="33"/>
  <c r="U26" i="33"/>
  <c r="AB23" i="33"/>
  <c r="U23" i="33"/>
  <c r="AB19" i="33"/>
  <c r="U19" i="33"/>
  <c r="AB15" i="33"/>
  <c r="U15" i="33"/>
  <c r="AA13" i="33"/>
  <c r="S13" i="33"/>
  <c r="AA11" i="33"/>
  <c r="S11" i="33"/>
  <c r="AA9" i="33"/>
  <c r="S9" i="33"/>
  <c r="AC45" i="33"/>
  <c r="W45" i="33"/>
  <c r="AC43" i="33"/>
  <c r="W43" i="33"/>
  <c r="AC41" i="33"/>
  <c r="W41" i="33"/>
  <c r="AC39" i="33"/>
  <c r="W39" i="33"/>
  <c r="G111" i="33"/>
  <c r="J36" i="33"/>
  <c r="W38" i="37"/>
  <c r="AC38" i="37"/>
  <c r="W40" i="37"/>
  <c r="AC40" i="37"/>
  <c r="W12" i="35"/>
  <c r="AC12" i="35"/>
  <c r="D68" i="39"/>
  <c r="C70" i="39"/>
  <c r="U17" i="39"/>
  <c r="U27" i="40"/>
  <c r="U28" i="40"/>
  <c r="F30" i="40"/>
  <c r="H30" i="40"/>
  <c r="U32" i="40"/>
  <c r="U34" i="40"/>
  <c r="W35" i="40"/>
  <c r="Z13" i="43"/>
  <c r="AA12" i="43"/>
  <c r="AA13" i="43"/>
  <c r="AA10" i="43"/>
  <c r="AB13" i="43"/>
  <c r="AC12" i="43"/>
  <c r="AC13" i="43"/>
  <c r="AC10" i="43"/>
  <c r="AD13" i="43"/>
  <c r="AE12" i="43"/>
  <c r="AE13" i="43"/>
  <c r="AE10" i="43"/>
  <c r="AF13" i="43"/>
  <c r="AG12" i="43"/>
  <c r="AG13" i="43"/>
  <c r="AG10" i="43"/>
  <c r="AH13" i="43"/>
  <c r="AI12" i="43"/>
  <c r="AI13" i="43"/>
  <c r="AI10" i="43"/>
  <c r="AJ13" i="43"/>
  <c r="B71" i="43"/>
  <c r="B60" i="43"/>
  <c r="B49" i="43"/>
  <c r="H78" i="43"/>
  <c r="H76" i="43"/>
  <c r="H74" i="43"/>
  <c r="H72" i="43"/>
  <c r="H71" i="43"/>
  <c r="D102" i="43"/>
  <c r="D104" i="43"/>
  <c r="D106" i="43"/>
  <c r="C100" i="43"/>
  <c r="C108" i="43"/>
  <c r="C109" i="43"/>
  <c r="E9" i="43"/>
  <c r="E11" i="43"/>
  <c r="E8" i="43"/>
  <c r="E10" i="43"/>
  <c r="D17" i="71"/>
  <c r="C18" i="71"/>
  <c r="D21" i="71"/>
  <c r="C22" i="71"/>
  <c r="D37" i="71"/>
  <c r="C38" i="71"/>
  <c r="D45" i="71"/>
  <c r="C46" i="71"/>
  <c r="W9" i="33"/>
  <c r="W11" i="33"/>
  <c r="W13" i="33"/>
  <c r="W27" i="33"/>
  <c r="W29" i="33"/>
  <c r="W31" i="33"/>
  <c r="W33" i="33"/>
  <c r="W37" i="33"/>
  <c r="G7" i="33"/>
  <c r="H7" i="33"/>
  <c r="E7" i="33"/>
  <c r="F7" i="33"/>
  <c r="I7" i="33"/>
  <c r="J7" i="33"/>
  <c r="U9" i="37"/>
  <c r="U11" i="37"/>
  <c r="U13" i="37"/>
  <c r="U25" i="37"/>
  <c r="U27" i="37"/>
  <c r="U29" i="37"/>
  <c r="U31" i="37"/>
  <c r="U33" i="37"/>
  <c r="U35" i="37"/>
  <c r="U37" i="37"/>
  <c r="F38" i="37"/>
  <c r="H38" i="37"/>
  <c r="U39" i="37"/>
  <c r="F40" i="37"/>
  <c r="H40" i="37"/>
  <c r="U9" i="35"/>
  <c r="U11" i="35"/>
  <c r="F12" i="35"/>
  <c r="H12" i="35"/>
  <c r="U13" i="35"/>
  <c r="U14" i="35"/>
  <c r="U16" i="35"/>
  <c r="U18" i="35"/>
  <c r="U20" i="35"/>
  <c r="U23" i="35"/>
  <c r="U25" i="35"/>
  <c r="F26" i="35"/>
  <c r="H26" i="35"/>
  <c r="J26" i="35"/>
  <c r="U27" i="35"/>
  <c r="U29" i="35"/>
  <c r="U31" i="35"/>
  <c r="U33" i="35"/>
  <c r="U35" i="35"/>
  <c r="F7" i="35"/>
  <c r="U9" i="36"/>
  <c r="U11" i="36"/>
  <c r="U13" i="36"/>
  <c r="U14" i="36"/>
  <c r="U16" i="36"/>
  <c r="U18" i="36"/>
  <c r="U20" i="36"/>
  <c r="U23" i="36"/>
  <c r="U25" i="36"/>
  <c r="U27" i="36"/>
  <c r="U29" i="36"/>
  <c r="U31" i="36"/>
  <c r="U33" i="36"/>
  <c r="U9" i="39"/>
  <c r="U12" i="39"/>
  <c r="U14" i="39"/>
  <c r="U15" i="39"/>
  <c r="U31" i="39"/>
  <c r="U34" i="39"/>
  <c r="U36" i="39"/>
  <c r="U38" i="39"/>
  <c r="U40" i="39"/>
  <c r="U42" i="39"/>
  <c r="U44" i="39"/>
  <c r="U9" i="40"/>
  <c r="U12" i="40"/>
  <c r="U14" i="40"/>
  <c r="U15" i="40"/>
  <c r="U17" i="40"/>
  <c r="U19" i="40"/>
  <c r="U21" i="40"/>
  <c r="U23" i="40"/>
  <c r="AB37" i="40"/>
  <c r="U37" i="40"/>
  <c r="AB39" i="40"/>
  <c r="U39" i="40"/>
  <c r="D63" i="40"/>
  <c r="C65" i="40"/>
  <c r="J38" i="40"/>
  <c r="H38" i="40"/>
  <c r="F38" i="40"/>
  <c r="J40" i="40"/>
  <c r="H40" i="40"/>
  <c r="F40" i="40"/>
  <c r="B74" i="43"/>
  <c r="B65" i="43"/>
  <c r="B54" i="43"/>
  <c r="D100" i="43"/>
  <c r="D108" i="43"/>
  <c r="D109" i="43"/>
  <c r="E70" i="43"/>
  <c r="B68" i="43"/>
  <c r="E59" i="43"/>
  <c r="B57" i="43"/>
  <c r="E48" i="43"/>
  <c r="B46" i="43"/>
  <c r="C102" i="43"/>
  <c r="C104" i="43"/>
  <c r="C106" i="43"/>
  <c r="B113" i="43"/>
  <c r="G22" i="43"/>
  <c r="D22" i="43"/>
  <c r="N101" i="43"/>
  <c r="M101" i="43"/>
  <c r="M109" i="43"/>
  <c r="L101" i="43"/>
  <c r="K101" i="43"/>
  <c r="J101" i="43"/>
  <c r="I101" i="43"/>
  <c r="I109" i="43"/>
  <c r="H101" i="43"/>
  <c r="G101" i="43"/>
  <c r="F101" i="43"/>
  <c r="E101" i="43"/>
  <c r="E109" i="43"/>
  <c r="H22" i="43"/>
  <c r="Y11" i="43"/>
  <c r="Y13" i="43"/>
  <c r="S5" i="43"/>
  <c r="S3" i="43"/>
  <c r="S2" i="43"/>
  <c r="C23" i="43"/>
  <c r="C21" i="43"/>
  <c r="P24" i="43"/>
  <c r="B66" i="40"/>
  <c r="P22" i="43"/>
  <c r="P21" i="43"/>
  <c r="D13" i="71"/>
  <c r="C14" i="71"/>
  <c r="C30" i="71"/>
  <c r="D30" i="71"/>
  <c r="D29" i="71"/>
  <c r="D33" i="71"/>
  <c r="C34" i="71"/>
  <c r="D41" i="71"/>
  <c r="C42" i="71"/>
  <c r="J17" i="43"/>
  <c r="C16" i="43"/>
  <c r="C5" i="43"/>
  <c r="H17" i="43"/>
  <c r="AA3" i="71"/>
  <c r="B6" i="71"/>
  <c r="B5" i="71"/>
  <c r="C6" i="71"/>
  <c r="T7" i="71"/>
  <c r="B10" i="71"/>
  <c r="B9" i="71"/>
  <c r="C10" i="71"/>
  <c r="T11" i="71"/>
  <c r="X13" i="71"/>
  <c r="X17" i="71"/>
  <c r="D27" i="71"/>
  <c r="B50" i="71"/>
  <c r="C50" i="71"/>
  <c r="E50" i="71"/>
  <c r="F50" i="71"/>
  <c r="N51" i="71"/>
  <c r="P51" i="71"/>
  <c r="B54" i="71"/>
  <c r="B53" i="71"/>
  <c r="C54" i="71"/>
  <c r="F54" i="71"/>
  <c r="F53" i="71"/>
  <c r="B58" i="71"/>
  <c r="B57" i="71"/>
  <c r="C58" i="71"/>
  <c r="F58" i="71"/>
  <c r="F57" i="71"/>
  <c r="B62" i="71"/>
  <c r="B61" i="71"/>
  <c r="C62" i="71"/>
  <c r="F62" i="71"/>
  <c r="F61" i="71"/>
  <c r="C66" i="71"/>
  <c r="C70" i="71"/>
  <c r="J45" i="77"/>
  <c r="H45" i="77"/>
  <c r="F45" i="77"/>
  <c r="J40" i="77"/>
  <c r="H40" i="77"/>
  <c r="F40" i="77"/>
  <c r="J27" i="77"/>
  <c r="F27" i="77"/>
  <c r="F45" i="34"/>
  <c r="H45" i="34"/>
  <c r="J45" i="34"/>
  <c r="F40" i="34"/>
  <c r="H40" i="34"/>
  <c r="J40" i="34"/>
  <c r="F37" i="34"/>
  <c r="J37" i="34"/>
  <c r="F25" i="34"/>
  <c r="H25" i="34"/>
  <c r="J25" i="34"/>
  <c r="F13" i="34"/>
  <c r="H13" i="34"/>
  <c r="F9" i="34"/>
  <c r="H9" i="34"/>
  <c r="C36" i="11"/>
  <c r="J46" i="77"/>
  <c r="H46" i="77"/>
  <c r="F46" i="77"/>
  <c r="H25" i="77"/>
  <c r="J25" i="77"/>
  <c r="F112" i="34"/>
  <c r="F32" i="34"/>
  <c r="H32" i="34"/>
  <c r="F30" i="34"/>
  <c r="H30" i="34"/>
  <c r="F28" i="34"/>
  <c r="H28" i="34"/>
  <c r="F46" i="34"/>
  <c r="H46" i="34"/>
  <c r="J46" i="34"/>
  <c r="C30" i="11"/>
  <c r="G5" i="3"/>
  <c r="B3" i="3"/>
  <c r="E1" i="73"/>
  <c r="K1" i="7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AZ104" i="3"/>
  <c r="BA103" i="3"/>
  <c r="AZ103" i="3"/>
  <c r="BL100" i="3"/>
  <c r="AZ100" i="3"/>
  <c r="BA99" i="3"/>
  <c r="AZ99" i="3"/>
  <c r="BL96" i="3"/>
  <c r="AZ96" i="3"/>
  <c r="BA95" i="3"/>
  <c r="AZ95" i="3"/>
  <c r="BL92" i="3"/>
  <c r="AZ92" i="3"/>
  <c r="BA91" i="3"/>
  <c r="AZ91" i="3"/>
  <c r="BL88" i="3"/>
  <c r="AZ88" i="3"/>
  <c r="BA87" i="3"/>
  <c r="AZ87" i="3"/>
  <c r="BL84" i="3"/>
  <c r="AZ84" i="3"/>
  <c r="BA83" i="3"/>
  <c r="AZ83" i="3"/>
  <c r="BL80" i="3"/>
  <c r="AZ80" i="3"/>
  <c r="BA79" i="3"/>
  <c r="AZ79" i="3"/>
  <c r="BL76" i="3"/>
  <c r="AZ76" i="3"/>
  <c r="BA75" i="3"/>
  <c r="AZ75" i="3"/>
  <c r="BL72" i="3"/>
  <c r="AZ72" i="3"/>
  <c r="BA71" i="3"/>
  <c r="AZ71" i="3"/>
  <c r="BL68" i="3"/>
  <c r="AZ68" i="3"/>
  <c r="BA67" i="3"/>
  <c r="AZ67" i="3"/>
  <c r="BL64" i="3"/>
  <c r="AZ64" i="3"/>
  <c r="BA63" i="3"/>
  <c r="AZ63" i="3"/>
  <c r="BL60" i="3"/>
  <c r="AZ60" i="3"/>
  <c r="BA59" i="3"/>
  <c r="AZ59" i="3"/>
  <c r="BL56" i="3"/>
  <c r="AZ56" i="3"/>
  <c r="BA55" i="3"/>
  <c r="AZ55"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B5" i="3"/>
  <c r="E8" i="6"/>
  <c r="F101" i="86"/>
  <c r="K58" i="86"/>
  <c r="L58" i="86"/>
  <c r="M58" i="86"/>
  <c r="N58" i="86"/>
  <c r="O58" i="86"/>
  <c r="J7" i="86"/>
  <c r="F7" i="86"/>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T5" i="3"/>
  <c r="BR5" i="3"/>
  <c r="G28" i="6"/>
  <c r="G30" i="6"/>
  <c r="G31" i="6"/>
  <c r="BL13" i="3"/>
  <c r="BL5" i="3"/>
  <c r="BC5" i="3"/>
  <c r="BA13" i="3"/>
  <c r="F36" i="86"/>
  <c r="G111" i="86"/>
  <c r="H36" i="86"/>
  <c r="F35" i="86"/>
  <c r="H35" i="86"/>
  <c r="BS5" i="3"/>
  <c r="BQ5" i="3"/>
  <c r="F28" i="6"/>
  <c r="G1" i="79"/>
  <c r="G1" i="67"/>
  <c r="G1" i="85"/>
  <c r="E524" i="80"/>
  <c r="E523" i="80"/>
  <c r="E522" i="80"/>
  <c r="E521" i="80"/>
  <c r="E24" i="83"/>
  <c r="U24" i="83"/>
  <c r="Y24" i="83"/>
  <c r="AC24" i="83"/>
  <c r="AK24" i="83"/>
  <c r="AR24" i="83"/>
  <c r="AV24" i="83"/>
  <c r="AY24" i="83"/>
  <c r="B16" i="84"/>
  <c r="B13" i="84"/>
  <c r="AZ14" i="3"/>
  <c r="N24" i="83"/>
  <c r="S24" i="83"/>
  <c r="W24" i="83"/>
  <c r="AA24" i="83"/>
  <c r="AE24" i="83"/>
  <c r="AI24" i="83"/>
  <c r="AM24" i="83"/>
  <c r="AP24" i="83"/>
  <c r="AT24" i="83"/>
  <c r="AW24" i="83"/>
  <c r="BA24" i="83"/>
  <c r="BC6" i="83"/>
  <c r="BC24" i="83"/>
  <c r="I7" i="34"/>
  <c r="E7" i="34"/>
  <c r="G7" i="34"/>
  <c r="C59" i="34"/>
  <c r="D59" i="34"/>
  <c r="E59" i="34"/>
  <c r="F59" i="34"/>
  <c r="G59" i="34"/>
  <c r="H59" i="34"/>
  <c r="I59" i="34"/>
  <c r="J59" i="34"/>
  <c r="K59" i="34"/>
  <c r="L59" i="34"/>
  <c r="M59" i="34"/>
  <c r="N59" i="34"/>
  <c r="O59" i="34"/>
  <c r="C34" i="34"/>
  <c r="C34" i="77"/>
  <c r="E19" i="6"/>
  <c r="K6" i="1"/>
  <c r="F28" i="67"/>
  <c r="C28" i="67"/>
  <c r="J1" i="73"/>
  <c r="F37" i="77"/>
  <c r="C7" i="77"/>
  <c r="C16" i="15"/>
  <c r="C17" i="15"/>
  <c r="M6" i="1"/>
  <c r="Q16" i="1"/>
  <c r="H16" i="1"/>
  <c r="G16" i="1"/>
  <c r="F27" i="6"/>
  <c r="E51" i="40"/>
  <c r="E56" i="39"/>
  <c r="C19" i="15"/>
  <c r="I7" i="77"/>
  <c r="E7" i="77"/>
  <c r="C59" i="77"/>
  <c r="D59" i="77"/>
  <c r="E59" i="77"/>
  <c r="F59" i="77"/>
  <c r="G59" i="77"/>
  <c r="H59" i="77"/>
  <c r="I59" i="77"/>
  <c r="J59" i="77"/>
  <c r="K59" i="77"/>
  <c r="L59" i="77"/>
  <c r="M59" i="77"/>
  <c r="N59" i="77"/>
  <c r="O59" i="77"/>
  <c r="F7" i="77"/>
  <c r="G7" i="77"/>
  <c r="H7" i="77"/>
  <c r="F7" i="34"/>
  <c r="E28" i="6"/>
  <c r="F30" i="6"/>
  <c r="AB35" i="86"/>
  <c r="U35" i="86"/>
  <c r="AB36" i="86"/>
  <c r="U36" i="86"/>
  <c r="AA36" i="86"/>
  <c r="S36" i="86"/>
  <c r="BA5" i="3"/>
  <c r="E27" i="6"/>
  <c r="AZ13" i="3"/>
  <c r="AZ5" i="3"/>
  <c r="AC7" i="86"/>
  <c r="W7" i="86"/>
  <c r="G101" i="86"/>
  <c r="H32" i="86"/>
  <c r="AB46" i="34"/>
  <c r="U46" i="34"/>
  <c r="AB28" i="34"/>
  <c r="U28" i="34"/>
  <c r="AB30" i="34"/>
  <c r="U30" i="34"/>
  <c r="AB32" i="34"/>
  <c r="U32" i="34"/>
  <c r="H37" i="34"/>
  <c r="G112" i="34"/>
  <c r="H112" i="34"/>
  <c r="I112" i="34"/>
  <c r="J112" i="34"/>
  <c r="K112" i="34"/>
  <c r="L112" i="34"/>
  <c r="M112" i="34"/>
  <c r="AB25" i="77"/>
  <c r="U25" i="77"/>
  <c r="AB46" i="77"/>
  <c r="U46" i="77"/>
  <c r="AA9" i="34"/>
  <c r="S9" i="34"/>
  <c r="AA13" i="34"/>
  <c r="S13" i="34"/>
  <c r="AB25" i="34"/>
  <c r="U25" i="34"/>
  <c r="AC37" i="34"/>
  <c r="W37" i="34"/>
  <c r="AC40" i="34"/>
  <c r="W40" i="34"/>
  <c r="AA40" i="34"/>
  <c r="S40" i="34"/>
  <c r="AB45" i="34"/>
  <c r="U45" i="34"/>
  <c r="AC27" i="77"/>
  <c r="W27" i="77"/>
  <c r="AB40" i="77"/>
  <c r="U40" i="77"/>
  <c r="AA45" i="77"/>
  <c r="S45" i="77"/>
  <c r="AC45" i="77"/>
  <c r="W45" i="77"/>
  <c r="D70" i="71"/>
  <c r="C69" i="71"/>
  <c r="D69" i="71"/>
  <c r="D58" i="71"/>
  <c r="C57" i="71"/>
  <c r="D57" i="71"/>
  <c r="P50" i="71"/>
  <c r="E49" i="71"/>
  <c r="N50" i="71"/>
  <c r="B49" i="71"/>
  <c r="D6" i="71"/>
  <c r="C5" i="71"/>
  <c r="D5" i="71"/>
  <c r="F107" i="43"/>
  <c r="F106" i="43"/>
  <c r="F105" i="43"/>
  <c r="F104" i="43"/>
  <c r="F103" i="43"/>
  <c r="F102" i="43"/>
  <c r="F109" i="43"/>
  <c r="H107" i="43"/>
  <c r="H106" i="43"/>
  <c r="H105" i="43"/>
  <c r="H104" i="43"/>
  <c r="H103" i="43"/>
  <c r="H102" i="43"/>
  <c r="H109" i="43"/>
  <c r="J107" i="43"/>
  <c r="J106" i="43"/>
  <c r="J105" i="43"/>
  <c r="J104" i="43"/>
  <c r="J103" i="43"/>
  <c r="J102" i="43"/>
  <c r="J109" i="43"/>
  <c r="L107" i="43"/>
  <c r="L106" i="43"/>
  <c r="L105" i="43"/>
  <c r="L104" i="43"/>
  <c r="L103" i="43"/>
  <c r="L102" i="43"/>
  <c r="L109" i="43"/>
  <c r="N107" i="43"/>
  <c r="N106" i="43"/>
  <c r="N105" i="43"/>
  <c r="N104" i="43"/>
  <c r="N103" i="43"/>
  <c r="N102" i="43"/>
  <c r="N109" i="43"/>
  <c r="D116" i="43"/>
  <c r="E116" i="43"/>
  <c r="F116" i="43"/>
  <c r="G116" i="43"/>
  <c r="H116" i="43"/>
  <c r="D118" i="43"/>
  <c r="E118" i="43"/>
  <c r="F118" i="43"/>
  <c r="I118" i="43"/>
  <c r="J118" i="43"/>
  <c r="K118" i="43"/>
  <c r="L118" i="43"/>
  <c r="M118" i="43"/>
  <c r="I116" i="43"/>
  <c r="J116" i="43"/>
  <c r="K116" i="43"/>
  <c r="L116" i="43"/>
  <c r="M116" i="43"/>
  <c r="B116" i="43"/>
  <c r="C116" i="43"/>
  <c r="B118" i="43"/>
  <c r="C118" i="43"/>
  <c r="D115" i="43"/>
  <c r="E115" i="43"/>
  <c r="F115" i="43"/>
  <c r="G115" i="43"/>
  <c r="H115" i="43"/>
  <c r="G118" i="43"/>
  <c r="H118" i="43"/>
  <c r="I117" i="43"/>
  <c r="J117" i="43"/>
  <c r="K117" i="43"/>
  <c r="L117" i="43"/>
  <c r="M117" i="43"/>
  <c r="B115" i="43"/>
  <c r="B117" i="43"/>
  <c r="C117" i="43"/>
  <c r="D117" i="43"/>
  <c r="E117" i="43"/>
  <c r="F117" i="43"/>
  <c r="G117" i="43"/>
  <c r="H117" i="43"/>
  <c r="I115" i="43"/>
  <c r="J115" i="43"/>
  <c r="K115" i="43"/>
  <c r="L115" i="43"/>
  <c r="M115" i="43"/>
  <c r="S40" i="40"/>
  <c r="AA40" i="40"/>
  <c r="W40" i="40"/>
  <c r="AC40" i="40"/>
  <c r="AB38" i="40"/>
  <c r="U38" i="40"/>
  <c r="AA7" i="35"/>
  <c r="R38" i="35"/>
  <c r="S7" i="35"/>
  <c r="W26" i="35"/>
  <c r="AC26" i="35"/>
  <c r="S26" i="35"/>
  <c r="AA26" i="35"/>
  <c r="AB12" i="35"/>
  <c r="U12" i="35"/>
  <c r="AB40" i="37"/>
  <c r="U40" i="37"/>
  <c r="S38" i="37"/>
  <c r="AA38" i="37"/>
  <c r="AA7" i="33"/>
  <c r="S7" i="33"/>
  <c r="AA30" i="40"/>
  <c r="S30" i="40"/>
  <c r="E68" i="39"/>
  <c r="D70" i="39"/>
  <c r="AC36" i="33"/>
  <c r="W36" i="33"/>
  <c r="S9" i="21"/>
  <c r="AA9" i="21"/>
  <c r="W9" i="21"/>
  <c r="AC9" i="21"/>
  <c r="E58" i="21"/>
  <c r="F58" i="21"/>
  <c r="G58" i="21"/>
  <c r="H58" i="21"/>
  <c r="I58" i="21"/>
  <c r="J58" i="21"/>
  <c r="K58" i="21"/>
  <c r="L58" i="21"/>
  <c r="M58" i="21"/>
  <c r="N58" i="21"/>
  <c r="O58" i="21"/>
  <c r="J7" i="21"/>
  <c r="H7" i="21"/>
  <c r="AA46" i="21"/>
  <c r="S46" i="21"/>
  <c r="I21" i="66"/>
  <c r="D1" i="66"/>
  <c r="E10" i="66"/>
  <c r="AA7" i="36"/>
  <c r="R36" i="36"/>
  <c r="S7" i="36"/>
  <c r="U7" i="36"/>
  <c r="AB7" i="36"/>
  <c r="T36" i="36"/>
  <c r="G36" i="36"/>
  <c r="AB7" i="35"/>
  <c r="T38" i="35"/>
  <c r="G38" i="35"/>
  <c r="U7" i="35"/>
  <c r="AA7" i="37"/>
  <c r="R42" i="37"/>
  <c r="S7" i="37"/>
  <c r="U7" i="37"/>
  <c r="AB7" i="37"/>
  <c r="T42" i="37"/>
  <c r="G42" i="37"/>
  <c r="AC35" i="33"/>
  <c r="W35" i="33"/>
  <c r="AC32" i="33"/>
  <c r="W32" i="33"/>
  <c r="AC25" i="33"/>
  <c r="W25" i="33"/>
  <c r="D20" i="53"/>
  <c r="B40" i="72"/>
  <c r="B38" i="72"/>
  <c r="C49" i="15"/>
  <c r="D3" i="34"/>
  <c r="D3" i="77"/>
  <c r="M18" i="9"/>
  <c r="B118" i="9"/>
  <c r="B14" i="74"/>
  <c r="B1" i="74"/>
  <c r="C7" i="74"/>
  <c r="F34" i="34"/>
  <c r="H34" i="34"/>
  <c r="J34" i="34"/>
  <c r="AA37" i="77"/>
  <c r="S37" i="77"/>
  <c r="F34" i="77"/>
  <c r="H34" i="77"/>
  <c r="J34" i="77"/>
  <c r="H7" i="34"/>
  <c r="J7" i="34"/>
  <c r="AA35" i="86"/>
  <c r="S35" i="86"/>
  <c r="J36" i="86"/>
  <c r="H111" i="86"/>
  <c r="I111" i="86"/>
  <c r="J111" i="86"/>
  <c r="K111" i="86"/>
  <c r="L111" i="86"/>
  <c r="M111" i="86"/>
  <c r="AA7" i="86"/>
  <c r="S7" i="86"/>
  <c r="H7" i="86"/>
  <c r="E12" i="6"/>
  <c r="E14" i="6"/>
  <c r="E11" i="6"/>
  <c r="E10" i="6"/>
  <c r="E16" i="6"/>
  <c r="E13" i="6"/>
  <c r="E15"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S6" i="3"/>
  <c r="AQ6" i="3"/>
  <c r="AO6" i="3"/>
  <c r="AM6" i="3"/>
  <c r="AK6" i="3"/>
  <c r="AI6" i="3"/>
  <c r="AG6" i="3"/>
  <c r="AE6" i="3"/>
  <c r="AA6" i="3"/>
  <c r="Y6" i="3"/>
  <c r="W6" i="3"/>
  <c r="U6" i="3"/>
  <c r="S6" i="3"/>
  <c r="Q6" i="3"/>
  <c r="O6" i="3"/>
  <c r="M6" i="3"/>
  <c r="K6" i="3"/>
  <c r="I6" i="3"/>
  <c r="H6"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c r="AB6" i="3"/>
  <c r="Z6" i="3"/>
  <c r="X6" i="3"/>
  <c r="V6" i="3"/>
  <c r="T6" i="3"/>
  <c r="R6" i="3"/>
  <c r="P6" i="3"/>
  <c r="N6" i="3"/>
  <c r="L6" i="3"/>
  <c r="J6" i="3"/>
  <c r="AC46" i="34"/>
  <c r="W46" i="34"/>
  <c r="AA46" i="34"/>
  <c r="S46" i="34"/>
  <c r="AA28" i="34"/>
  <c r="S28" i="34"/>
  <c r="AA30" i="34"/>
  <c r="S30" i="34"/>
  <c r="AA32" i="34"/>
  <c r="S32" i="34"/>
  <c r="AC25" i="77"/>
  <c r="W25" i="77"/>
  <c r="AA46" i="77"/>
  <c r="S46" i="77"/>
  <c r="AC46" i="77"/>
  <c r="W46" i="77"/>
  <c r="AB9" i="34"/>
  <c r="U9" i="34"/>
  <c r="AB13" i="34"/>
  <c r="U13" i="34"/>
  <c r="AC25" i="34"/>
  <c r="W25" i="34"/>
  <c r="AA25" i="34"/>
  <c r="S25" i="34"/>
  <c r="AA37" i="34"/>
  <c r="S37" i="34"/>
  <c r="AB40" i="34"/>
  <c r="U40" i="34"/>
  <c r="AC45" i="34"/>
  <c r="W45" i="34"/>
  <c r="AA45" i="34"/>
  <c r="S45" i="34"/>
  <c r="AA27" i="77"/>
  <c r="S27" i="77"/>
  <c r="AA40" i="77"/>
  <c r="S40" i="77"/>
  <c r="AC40" i="77"/>
  <c r="W40" i="77"/>
  <c r="AB45" i="77"/>
  <c r="U45" i="77"/>
  <c r="D66" i="71"/>
  <c r="C65" i="71"/>
  <c r="D65" i="71"/>
  <c r="D62" i="71"/>
  <c r="C61" i="71"/>
  <c r="D61" i="71"/>
  <c r="D54" i="71"/>
  <c r="C53" i="71"/>
  <c r="D53" i="71"/>
  <c r="Q50" i="71"/>
  <c r="F49" i="71"/>
  <c r="O50" i="71"/>
  <c r="C49" i="71"/>
  <c r="D50" i="71"/>
  <c r="D10" i="71"/>
  <c r="C9" i="71"/>
  <c r="D9" i="71"/>
  <c r="C43" i="71"/>
  <c r="D42" i="71"/>
  <c r="C35" i="71"/>
  <c r="D34" i="71"/>
  <c r="C15" i="71"/>
  <c r="D14" i="71"/>
  <c r="E107" i="43"/>
  <c r="E105" i="43"/>
  <c r="E103" i="43"/>
  <c r="E106" i="43"/>
  <c r="E104" i="43"/>
  <c r="E102" i="43"/>
  <c r="G106" i="43"/>
  <c r="G104" i="43"/>
  <c r="G102" i="43"/>
  <c r="G107" i="43"/>
  <c r="G105" i="43"/>
  <c r="G103" i="43"/>
  <c r="I107" i="43"/>
  <c r="I105" i="43"/>
  <c r="I103" i="43"/>
  <c r="I106" i="43"/>
  <c r="I104" i="43"/>
  <c r="I102" i="43"/>
  <c r="K106" i="43"/>
  <c r="K104" i="43"/>
  <c r="K102" i="43"/>
  <c r="K107" i="43"/>
  <c r="K105" i="43"/>
  <c r="K103" i="43"/>
  <c r="M107" i="43"/>
  <c r="M105" i="43"/>
  <c r="M103" i="43"/>
  <c r="M106" i="43"/>
  <c r="M104" i="43"/>
  <c r="M102" i="43"/>
  <c r="AB40" i="40"/>
  <c r="U40" i="40"/>
  <c r="S38" i="40"/>
  <c r="AA38" i="40"/>
  <c r="W38" i="40"/>
  <c r="AC38" i="40"/>
  <c r="D65" i="40"/>
  <c r="E63" i="40"/>
  <c r="AB26" i="35"/>
  <c r="U26" i="35"/>
  <c r="S12" i="35"/>
  <c r="AA12" i="35"/>
  <c r="S40" i="37"/>
  <c r="AA40" i="37"/>
  <c r="AB38" i="37"/>
  <c r="U38" i="37"/>
  <c r="AC7" i="33"/>
  <c r="V48" i="33"/>
  <c r="I48" i="33"/>
  <c r="W7" i="33"/>
  <c r="AB7" i="33"/>
  <c r="U7" i="33"/>
  <c r="C47" i="71"/>
  <c r="D46" i="71"/>
  <c r="C39" i="71"/>
  <c r="D38" i="71"/>
  <c r="C23" i="71"/>
  <c r="D22" i="71"/>
  <c r="C19" i="71"/>
  <c r="D18" i="71"/>
  <c r="C7" i="43"/>
  <c r="AB30" i="40"/>
  <c r="U30" i="40"/>
  <c r="H111" i="33"/>
  <c r="I111" i="33"/>
  <c r="J111" i="33"/>
  <c r="K111" i="33"/>
  <c r="L111" i="33"/>
  <c r="M111" i="33"/>
  <c r="F36" i="33"/>
  <c r="H36" i="33"/>
  <c r="AB9" i="21"/>
  <c r="U9" i="21"/>
  <c r="F7" i="21"/>
  <c r="K109" i="43"/>
  <c r="G109" i="43"/>
  <c r="J7" i="36"/>
  <c r="J7" i="35"/>
  <c r="J7" i="37"/>
  <c r="D127" i="9"/>
  <c r="D13" i="52"/>
  <c r="D12" i="52"/>
  <c r="I14" i="74"/>
  <c r="B8" i="74"/>
  <c r="K4" i="4"/>
  <c r="B46" i="48"/>
  <c r="B4" i="72"/>
  <c r="F11" i="67"/>
  <c r="C53" i="67"/>
  <c r="M11" i="67"/>
  <c r="J10" i="67"/>
  <c r="F11" i="85"/>
  <c r="M11" i="85"/>
  <c r="J10" i="85"/>
  <c r="F11" i="79"/>
  <c r="C53" i="79"/>
  <c r="M11" i="79"/>
  <c r="J10" i="79"/>
  <c r="F11" i="15"/>
  <c r="M11" i="15"/>
  <c r="J10" i="15"/>
  <c r="J5" i="15"/>
  <c r="Q61" i="15"/>
  <c r="Q74" i="15"/>
  <c r="Q73" i="15"/>
  <c r="Q60" i="15"/>
  <c r="F43" i="85"/>
  <c r="F13" i="85"/>
  <c r="F40" i="85"/>
  <c r="F9" i="85"/>
  <c r="F42" i="85"/>
  <c r="F16" i="85"/>
  <c r="F36" i="85"/>
  <c r="M6" i="85"/>
  <c r="L48" i="85"/>
  <c r="M9" i="85"/>
  <c r="M22" i="85"/>
  <c r="M23" i="85"/>
  <c r="M28" i="85"/>
  <c r="C76" i="85"/>
  <c r="M29" i="85"/>
  <c r="D7" i="73"/>
  <c r="D4" i="73"/>
  <c r="F7" i="67"/>
  <c r="F9" i="67"/>
  <c r="F26" i="67"/>
  <c r="F36" i="67"/>
  <c r="F37" i="67"/>
  <c r="F42" i="67"/>
  <c r="M8" i="67"/>
  <c r="C76" i="67"/>
  <c r="M29" i="67"/>
  <c r="J15" i="67"/>
  <c r="M24" i="67"/>
  <c r="M28" i="67"/>
  <c r="F42" i="79"/>
  <c r="F6" i="79"/>
  <c r="F7" i="79"/>
  <c r="F37" i="79"/>
  <c r="F40" i="79"/>
  <c r="M9" i="79"/>
  <c r="M28" i="79"/>
  <c r="F16" i="79"/>
  <c r="F13" i="79"/>
  <c r="F35" i="79"/>
  <c r="F41" i="79"/>
  <c r="M6" i="79"/>
  <c r="M29" i="79"/>
  <c r="M21" i="79"/>
  <c r="J15" i="79"/>
  <c r="M24" i="79"/>
  <c r="F35" i="85"/>
  <c r="F38" i="85"/>
  <c r="F41" i="85"/>
  <c r="F7" i="85"/>
  <c r="F37" i="85"/>
  <c r="F8" i="85"/>
  <c r="F26" i="85"/>
  <c r="F6" i="85"/>
  <c r="M26" i="85"/>
  <c r="M8" i="85"/>
  <c r="M21" i="85"/>
  <c r="J15" i="85"/>
  <c r="M24" i="85"/>
  <c r="M27" i="85"/>
  <c r="L47" i="85"/>
  <c r="D5" i="73"/>
  <c r="G1" i="73"/>
  <c r="D6" i="73"/>
  <c r="D3" i="73"/>
  <c r="F8" i="67"/>
  <c r="F43" i="67"/>
  <c r="F16" i="67"/>
  <c r="F40" i="67"/>
  <c r="M6" i="67"/>
  <c r="F13" i="67"/>
  <c r="F38" i="67"/>
  <c r="L48" i="67"/>
  <c r="M9" i="67"/>
  <c r="M26" i="67"/>
  <c r="M22" i="67"/>
  <c r="M23" i="67"/>
  <c r="L47" i="67"/>
  <c r="M27" i="67"/>
  <c r="F9" i="79"/>
  <c r="F43" i="79"/>
  <c r="F36" i="79"/>
  <c r="F38" i="79"/>
  <c r="M8" i="79"/>
  <c r="L47" i="79"/>
  <c r="M27" i="79"/>
  <c r="F26" i="79"/>
  <c r="F8" i="79"/>
  <c r="L48" i="79"/>
  <c r="C76" i="79"/>
  <c r="M26" i="79"/>
  <c r="M22" i="79"/>
  <c r="M23" i="79"/>
  <c r="Q71" i="79"/>
  <c r="L60" i="79"/>
  <c r="L56" i="79"/>
  <c r="L57" i="79"/>
  <c r="L46" i="79"/>
  <c r="J59" i="79"/>
  <c r="J60" i="79"/>
  <c r="Q48" i="79"/>
  <c r="J53" i="79"/>
  <c r="J57" i="79"/>
  <c r="J55" i="79"/>
  <c r="J58" i="79"/>
  <c r="Q50" i="79"/>
  <c r="I54" i="79"/>
  <c r="F51" i="79"/>
  <c r="C27" i="79"/>
  <c r="M59" i="79"/>
  <c r="L59" i="79"/>
  <c r="L58" i="79"/>
  <c r="N59" i="79"/>
  <c r="F66" i="79"/>
  <c r="F64" i="79"/>
  <c r="F71" i="79"/>
  <c r="F52" i="85"/>
  <c r="L59" i="67"/>
  <c r="L58" i="67"/>
  <c r="M59" i="67"/>
  <c r="N59" i="67"/>
  <c r="L56" i="67"/>
  <c r="L60" i="67"/>
  <c r="L57" i="67"/>
  <c r="I54" i="67"/>
  <c r="J57" i="67"/>
  <c r="J55" i="67"/>
  <c r="J58" i="67"/>
  <c r="Q50" i="67"/>
  <c r="J53" i="67"/>
  <c r="J59" i="67"/>
  <c r="J60" i="67"/>
  <c r="Q48" i="67"/>
  <c r="L46" i="67"/>
  <c r="F66" i="67"/>
  <c r="F68" i="67"/>
  <c r="F71" i="67"/>
  <c r="F51" i="67"/>
  <c r="B40" i="1"/>
  <c r="L59" i="85"/>
  <c r="L58" i="85"/>
  <c r="M59" i="85"/>
  <c r="N59" i="85"/>
  <c r="J20" i="85"/>
  <c r="C6" i="85"/>
  <c r="C27" i="85"/>
  <c r="F51" i="85"/>
  <c r="F65" i="85"/>
  <c r="F50" i="85"/>
  <c r="M7" i="85"/>
  <c r="J6" i="85"/>
  <c r="J5" i="85"/>
  <c r="F69" i="85"/>
  <c r="F66" i="85"/>
  <c r="C34" i="85"/>
  <c r="F63" i="85"/>
  <c r="C62" i="85"/>
  <c r="J20" i="79"/>
  <c r="F69" i="79"/>
  <c r="C34" i="79"/>
  <c r="F63" i="79"/>
  <c r="C62" i="79"/>
  <c r="F68" i="79"/>
  <c r="F65" i="79"/>
  <c r="M7" i="79"/>
  <c r="J6" i="79"/>
  <c r="J5" i="79"/>
  <c r="F50" i="79"/>
  <c r="F49" i="85"/>
  <c r="C6" i="79"/>
  <c r="F70" i="85"/>
  <c r="F70" i="79"/>
  <c r="Q71" i="67"/>
  <c r="F70" i="67"/>
  <c r="F65" i="67"/>
  <c r="F64" i="67"/>
  <c r="C27" i="67"/>
  <c r="M7" i="67"/>
  <c r="J6" i="67"/>
  <c r="J5" i="67"/>
  <c r="F50" i="67"/>
  <c r="E20" i="43"/>
  <c r="Q71" i="85"/>
  <c r="J53" i="85"/>
  <c r="J59" i="85"/>
  <c r="L46" i="85"/>
  <c r="L56" i="85"/>
  <c r="L60" i="85"/>
  <c r="L57" i="85"/>
  <c r="I54" i="85"/>
  <c r="J57" i="85"/>
  <c r="J55" i="85"/>
  <c r="J58" i="85"/>
  <c r="Q50" i="85"/>
  <c r="J60" i="85"/>
  <c r="Q48" i="85"/>
  <c r="F64" i="85"/>
  <c r="F68" i="85"/>
  <c r="F71" i="85"/>
  <c r="J26" i="15"/>
  <c r="J29" i="15"/>
  <c r="J18" i="15"/>
  <c r="J24" i="15"/>
  <c r="AC7" i="37"/>
  <c r="V42" i="37"/>
  <c r="I42" i="37"/>
  <c r="W7" i="37"/>
  <c r="T19" i="71"/>
  <c r="D19" i="71"/>
  <c r="T39" i="71"/>
  <c r="D39" i="71"/>
  <c r="T15" i="71"/>
  <c r="D15" i="71"/>
  <c r="T35" i="71"/>
  <c r="D35" i="71"/>
  <c r="T43" i="71"/>
  <c r="D43" i="71"/>
  <c r="D49" i="71"/>
  <c r="O49" i="71"/>
  <c r="O48" i="71"/>
  <c r="Q49" i="71"/>
  <c r="Q48" i="71"/>
  <c r="E6" i="3"/>
  <c r="E65" i="39"/>
  <c r="E60" i="40"/>
  <c r="E64" i="39"/>
  <c r="E59" i="40"/>
  <c r="AC36" i="86"/>
  <c r="W36" i="86"/>
  <c r="AB7" i="21"/>
  <c r="T48" i="21"/>
  <c r="G48" i="21"/>
  <c r="U7" i="21"/>
  <c r="F68" i="39"/>
  <c r="E70" i="39"/>
  <c r="E38" i="35"/>
  <c r="R39" i="35"/>
  <c r="AB32" i="86"/>
  <c r="U32" i="86"/>
  <c r="AC7" i="36"/>
  <c r="V36" i="36"/>
  <c r="I36" i="36"/>
  <c r="W7" i="36"/>
  <c r="AB36" i="33"/>
  <c r="T48" i="33"/>
  <c r="G48" i="33"/>
  <c r="U36" i="33"/>
  <c r="T23" i="71"/>
  <c r="D23" i="71"/>
  <c r="T47" i="71"/>
  <c r="D47" i="71"/>
  <c r="I52" i="33"/>
  <c r="J52" i="33"/>
  <c r="AB7" i="86"/>
  <c r="T48" i="86"/>
  <c r="G48" i="86"/>
  <c r="U7" i="86"/>
  <c r="AB7" i="34"/>
  <c r="U7" i="34"/>
  <c r="AB34" i="77"/>
  <c r="U34" i="77"/>
  <c r="AC34" i="34"/>
  <c r="W34" i="34"/>
  <c r="AA34" i="34"/>
  <c r="S34" i="34"/>
  <c r="G47" i="37"/>
  <c r="H47" i="37"/>
  <c r="G46" i="37"/>
  <c r="H46" i="37"/>
  <c r="G41" i="36"/>
  <c r="H41" i="36"/>
  <c r="G40" i="36"/>
  <c r="H40" i="36"/>
  <c r="AC7" i="21"/>
  <c r="V48" i="21"/>
  <c r="I48" i="21"/>
  <c r="W7" i="21"/>
  <c r="N48" i="71"/>
  <c r="N49" i="71"/>
  <c r="P48" i="71"/>
  <c r="P49" i="71"/>
  <c r="AY6" i="3"/>
  <c r="E3" i="6"/>
  <c r="AB7" i="77"/>
  <c r="U7" i="77"/>
  <c r="AA7" i="77"/>
  <c r="S7" i="77"/>
  <c r="C20" i="15"/>
  <c r="C26" i="15"/>
  <c r="M20" i="43"/>
  <c r="C19" i="43"/>
  <c r="F31" i="6"/>
  <c r="F27" i="11"/>
  <c r="F28" i="12"/>
  <c r="C29" i="12"/>
  <c r="D28" i="12"/>
  <c r="F27" i="68"/>
  <c r="F27" i="69"/>
  <c r="C10" i="15"/>
  <c r="C5" i="15"/>
  <c r="C53" i="15"/>
  <c r="C8" i="74"/>
  <c r="AC7" i="35"/>
  <c r="V38" i="35"/>
  <c r="I38" i="35"/>
  <c r="W7" i="35"/>
  <c r="S7" i="21"/>
  <c r="AA7" i="21"/>
  <c r="R48" i="21"/>
  <c r="AA36" i="33"/>
  <c r="R48" i="33"/>
  <c r="S36" i="33"/>
  <c r="F63" i="40"/>
  <c r="E65" i="40"/>
  <c r="E63" i="39"/>
  <c r="E58" i="40"/>
  <c r="E61" i="39"/>
  <c r="E66" i="39"/>
  <c r="E56" i="40"/>
  <c r="E57" i="40"/>
  <c r="E62" i="39"/>
  <c r="AC7" i="34"/>
  <c r="V49" i="34"/>
  <c r="I49" i="34"/>
  <c r="W7" i="34"/>
  <c r="AC34" i="77"/>
  <c r="W34" i="77"/>
  <c r="AA34" i="77"/>
  <c r="S34" i="77"/>
  <c r="AB34" i="34"/>
  <c r="U34" i="34"/>
  <c r="C48" i="15"/>
  <c r="E42" i="37"/>
  <c r="R43" i="37"/>
  <c r="G42" i="35"/>
  <c r="H42" i="35"/>
  <c r="E36" i="36"/>
  <c r="R37" i="36"/>
  <c r="C115" i="43"/>
  <c r="D113" i="43"/>
  <c r="AB37" i="34"/>
  <c r="U37" i="34"/>
  <c r="J32" i="86"/>
  <c r="H101" i="86"/>
  <c r="I101" i="86"/>
  <c r="J101" i="86"/>
  <c r="K101" i="86"/>
  <c r="L101" i="86"/>
  <c r="M101" i="86"/>
  <c r="F32" i="86"/>
  <c r="K19" i="6"/>
  <c r="K20" i="6"/>
  <c r="M20" i="6"/>
  <c r="I20" i="6"/>
  <c r="S20" i="6"/>
  <c r="K21" i="6"/>
  <c r="M21" i="6"/>
  <c r="I21" i="6"/>
  <c r="S21" i="6"/>
  <c r="K14" i="1"/>
  <c r="K22" i="6"/>
  <c r="M22" i="6"/>
  <c r="I22" i="6"/>
  <c r="S22" i="6"/>
  <c r="K24" i="6"/>
  <c r="M24" i="6"/>
  <c r="I24" i="6"/>
  <c r="S24" i="6"/>
  <c r="K26" i="6"/>
  <c r="M26" i="6"/>
  <c r="I26" i="6"/>
  <c r="S26" i="6"/>
  <c r="E30" i="6"/>
  <c r="E31" i="6"/>
  <c r="K23" i="6"/>
  <c r="M23" i="6"/>
  <c r="I23" i="6"/>
  <c r="S23" i="6"/>
  <c r="K25" i="6"/>
  <c r="M25" i="6"/>
  <c r="I25" i="6"/>
  <c r="S25" i="6"/>
  <c r="AA7" i="34"/>
  <c r="R49" i="34"/>
  <c r="S7" i="34"/>
  <c r="J7" i="77"/>
  <c r="F10" i="39"/>
  <c r="H10" i="39"/>
  <c r="J10" i="39"/>
  <c r="F10" i="40"/>
  <c r="H10" i="40"/>
  <c r="J10" i="40"/>
  <c r="C16" i="79"/>
  <c r="C16" i="67"/>
  <c r="C17" i="85"/>
  <c r="C16" i="85"/>
  <c r="C17" i="79"/>
  <c r="C14" i="79"/>
  <c r="C14" i="85"/>
  <c r="C15" i="85"/>
  <c r="C18" i="85"/>
  <c r="C19" i="85"/>
  <c r="C15" i="79"/>
  <c r="C18" i="79"/>
  <c r="C19" i="79"/>
  <c r="J24" i="79"/>
  <c r="J26" i="79"/>
  <c r="J29" i="79"/>
  <c r="J18" i="79"/>
  <c r="E48" i="33"/>
  <c r="R49" i="33"/>
  <c r="G53" i="33"/>
  <c r="H53" i="33"/>
  <c r="G52" i="33"/>
  <c r="H52" i="33"/>
  <c r="J26" i="67"/>
  <c r="J18" i="67"/>
  <c r="J24" i="67"/>
  <c r="M14" i="1"/>
  <c r="C34" i="69"/>
  <c r="K16" i="1"/>
  <c r="AA32" i="86"/>
  <c r="R48" i="86"/>
  <c r="S32" i="86"/>
  <c r="AC32" i="86"/>
  <c r="V48" i="86"/>
  <c r="I48" i="86"/>
  <c r="W32" i="86"/>
  <c r="C37" i="36"/>
  <c r="B2" i="36"/>
  <c r="B3" i="36"/>
  <c r="C36" i="36"/>
  <c r="C43" i="37"/>
  <c r="C42" i="37"/>
  <c r="C60" i="15"/>
  <c r="C66" i="15"/>
  <c r="I53" i="34"/>
  <c r="J53" i="34"/>
  <c r="G63" i="40"/>
  <c r="F65" i="40"/>
  <c r="I43" i="35"/>
  <c r="J43" i="35"/>
  <c r="I42" i="35"/>
  <c r="J42" i="35"/>
  <c r="C38" i="15"/>
  <c r="C32" i="15"/>
  <c r="C47" i="68"/>
  <c r="D45" i="68"/>
  <c r="C29" i="68"/>
  <c r="D27" i="68"/>
  <c r="C29" i="11"/>
  <c r="D27" i="11"/>
  <c r="C47" i="11"/>
  <c r="D45" i="11"/>
  <c r="D19" i="11"/>
  <c r="C19" i="11"/>
  <c r="D37" i="11"/>
  <c r="C37" i="11"/>
  <c r="E6" i="6"/>
  <c r="D3" i="37"/>
  <c r="D3" i="21"/>
  <c r="D14" i="12"/>
  <c r="C17" i="4"/>
  <c r="B4" i="52"/>
  <c r="B43" i="72"/>
  <c r="I52" i="21"/>
  <c r="J52" i="21"/>
  <c r="T49" i="34"/>
  <c r="G49" i="34"/>
  <c r="G53" i="86"/>
  <c r="H53" i="86"/>
  <c r="G52" i="86"/>
  <c r="H52" i="86"/>
  <c r="I40" i="36"/>
  <c r="J40" i="36"/>
  <c r="I41" i="36"/>
  <c r="J41" i="36"/>
  <c r="E43" i="35"/>
  <c r="F43" i="35"/>
  <c r="E42" i="35"/>
  <c r="F42" i="35"/>
  <c r="C49" i="85"/>
  <c r="Q74" i="85"/>
  <c r="Q61" i="85"/>
  <c r="C49" i="67"/>
  <c r="C48" i="67"/>
  <c r="F1" i="67"/>
  <c r="Q52" i="67"/>
  <c r="Q66" i="67"/>
  <c r="Q57" i="67"/>
  <c r="Q73" i="67"/>
  <c r="Q60" i="67"/>
  <c r="Q73" i="79"/>
  <c r="Q60" i="79"/>
  <c r="C49" i="79"/>
  <c r="C48" i="79"/>
  <c r="F1" i="79"/>
  <c r="Q52" i="79"/>
  <c r="Q57" i="79"/>
  <c r="Q66" i="79"/>
  <c r="U10" i="40"/>
  <c r="AB10" i="40"/>
  <c r="AC10" i="39"/>
  <c r="W10" i="39"/>
  <c r="AA10" i="39"/>
  <c r="S10" i="39"/>
  <c r="AC10" i="40"/>
  <c r="W10" i="40"/>
  <c r="AA10" i="40"/>
  <c r="S10" i="40"/>
  <c r="U10" i="39"/>
  <c r="AB10" i="39"/>
  <c r="AC7" i="77"/>
  <c r="V49" i="77"/>
  <c r="I49" i="77"/>
  <c r="W7" i="77"/>
  <c r="R50" i="34"/>
  <c r="E49" i="34"/>
  <c r="M19" i="6"/>
  <c r="K27" i="6"/>
  <c r="S6" i="1"/>
  <c r="E41" i="36"/>
  <c r="F41" i="36"/>
  <c r="E40" i="36"/>
  <c r="F40" i="36"/>
  <c r="G43" i="35"/>
  <c r="H43" i="35"/>
  <c r="E47" i="37"/>
  <c r="F47" i="37"/>
  <c r="E46" i="37"/>
  <c r="F46" i="37"/>
  <c r="E48" i="21"/>
  <c r="R49" i="21"/>
  <c r="C29" i="69"/>
  <c r="D27" i="69"/>
  <c r="C47" i="69"/>
  <c r="D45" i="69"/>
  <c r="C33" i="43"/>
  <c r="C34" i="43"/>
  <c r="C35" i="43"/>
  <c r="C36" i="43"/>
  <c r="C37" i="43"/>
  <c r="C39" i="43"/>
  <c r="T12" i="43"/>
  <c r="V12" i="43"/>
  <c r="T6" i="43"/>
  <c r="V6" i="43"/>
  <c r="T16" i="43"/>
  <c r="V16" i="43"/>
  <c r="T11" i="43"/>
  <c r="V11" i="43"/>
  <c r="T8" i="43"/>
  <c r="V8" i="43"/>
  <c r="T15" i="43"/>
  <c r="V15" i="43"/>
  <c r="T3" i="43"/>
  <c r="V3" i="43"/>
  <c r="C29" i="43"/>
  <c r="C38" i="43"/>
  <c r="T13" i="43"/>
  <c r="V13" i="43"/>
  <c r="T7" i="43"/>
  <c r="V7" i="43"/>
  <c r="T4" i="43"/>
  <c r="V4" i="43"/>
  <c r="T14" i="43"/>
  <c r="V14" i="43"/>
  <c r="T10" i="43"/>
  <c r="V10" i="43"/>
  <c r="T5" i="43"/>
  <c r="V5" i="43"/>
  <c r="T9" i="43"/>
  <c r="V9" i="43"/>
  <c r="T2" i="43"/>
  <c r="V2" i="43"/>
  <c r="R49" i="77"/>
  <c r="T49" i="77"/>
  <c r="G49" i="7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9" i="35"/>
  <c r="B2" i="35"/>
  <c r="B3" i="35"/>
  <c r="C38" i="35"/>
  <c r="G68" i="39"/>
  <c r="F70" i="39"/>
  <c r="G52" i="21"/>
  <c r="H52" i="21"/>
  <c r="G53" i="21"/>
  <c r="H53" i="21"/>
  <c r="I46" i="37"/>
  <c r="J46" i="37"/>
  <c r="I47" i="37"/>
  <c r="J47" i="37"/>
  <c r="J24" i="85"/>
  <c r="J26" i="85"/>
  <c r="J29" i="85"/>
  <c r="J18" i="85"/>
  <c r="J19" i="85"/>
  <c r="J17" i="85"/>
  <c r="Q66" i="85"/>
  <c r="Q57" i="85"/>
  <c r="F1" i="85"/>
  <c r="Q52" i="85"/>
  <c r="P17" i="43"/>
  <c r="N17" i="43"/>
  <c r="M17" i="43"/>
  <c r="O17" i="43"/>
  <c r="C10" i="79"/>
  <c r="C5" i="79"/>
  <c r="C10" i="85"/>
  <c r="C5" i="85"/>
  <c r="Q73" i="85"/>
  <c r="Q60" i="85"/>
  <c r="F24" i="67"/>
  <c r="C24" i="67"/>
  <c r="F24" i="85"/>
  <c r="C24" i="85"/>
  <c r="F22" i="11"/>
  <c r="F24" i="79"/>
  <c r="C24" i="79"/>
  <c r="F22" i="68"/>
  <c r="F24" i="15"/>
  <c r="F25" i="12"/>
  <c r="C26" i="12"/>
  <c r="D25" i="12"/>
  <c r="F22" i="69"/>
  <c r="Q74" i="67"/>
  <c r="Q61" i="67"/>
  <c r="Q74" i="79"/>
  <c r="Q61" i="79"/>
  <c r="C14" i="67"/>
  <c r="C17" i="67"/>
  <c r="AE6" i="1"/>
  <c r="F41" i="67"/>
  <c r="F69" i="67"/>
  <c r="C15" i="67"/>
  <c r="C18" i="67"/>
  <c r="C19" i="67"/>
  <c r="C32" i="85"/>
  <c r="C38" i="85"/>
  <c r="C33" i="85"/>
  <c r="C32" i="79"/>
  <c r="C33" i="79"/>
  <c r="C38" i="79"/>
  <c r="G54" i="77"/>
  <c r="H54" i="77"/>
  <c r="G53" i="77"/>
  <c r="H53" i="77"/>
  <c r="E38" i="43"/>
  <c r="G38" i="43"/>
  <c r="I38" i="43"/>
  <c r="E37" i="43"/>
  <c r="G37" i="43"/>
  <c r="I37" i="43"/>
  <c r="E35" i="43"/>
  <c r="G35" i="43"/>
  <c r="I35" i="43"/>
  <c r="E33" i="43"/>
  <c r="G33" i="43"/>
  <c r="I33" i="43"/>
  <c r="C49" i="21"/>
  <c r="B2" i="21"/>
  <c r="B3" i="21"/>
  <c r="C48" i="21"/>
  <c r="E54" i="34"/>
  <c r="F54" i="34"/>
  <c r="E53" i="34"/>
  <c r="F53" i="34"/>
  <c r="C60" i="79"/>
  <c r="C66" i="79"/>
  <c r="C53" i="85"/>
  <c r="C48" i="85"/>
  <c r="D10" i="11"/>
  <c r="C10" i="11"/>
  <c r="D20" i="12"/>
  <c r="C20" i="12"/>
  <c r="C18" i="12"/>
  <c r="D10" i="69"/>
  <c r="D10" i="68"/>
  <c r="C24" i="11"/>
  <c r="C20" i="11"/>
  <c r="C25" i="11"/>
  <c r="B2" i="37"/>
  <c r="B3" i="37"/>
  <c r="E48" i="86"/>
  <c r="I53" i="86"/>
  <c r="J53" i="86"/>
  <c r="I52" i="86"/>
  <c r="J52" i="86"/>
  <c r="R49" i="86"/>
  <c r="C35" i="69"/>
  <c r="C38" i="69"/>
  <c r="C49" i="33"/>
  <c r="C48" i="33"/>
  <c r="C20" i="79"/>
  <c r="C23" i="79"/>
  <c r="C26" i="79"/>
  <c r="C23" i="68"/>
  <c r="C44" i="68"/>
  <c r="D41" i="68"/>
  <c r="C26" i="68"/>
  <c r="D22" i="68"/>
  <c r="C44" i="11"/>
  <c r="D41" i="11"/>
  <c r="C26" i="11"/>
  <c r="D22" i="11"/>
  <c r="C23" i="11"/>
  <c r="C22" i="11"/>
  <c r="C26" i="69"/>
  <c r="D22" i="69"/>
  <c r="C44" i="69"/>
  <c r="D41" i="69"/>
  <c r="C24" i="15"/>
  <c r="C23" i="15"/>
  <c r="H68" i="39"/>
  <c r="G70" i="39"/>
  <c r="D19" i="6"/>
  <c r="D20" i="6"/>
  <c r="R20" i="6"/>
  <c r="H21" i="6"/>
  <c r="D21" i="6"/>
  <c r="R21" i="6"/>
  <c r="H20" i="6"/>
  <c r="E61" i="40"/>
  <c r="D23" i="6"/>
  <c r="D25" i="6"/>
  <c r="R25" i="6"/>
  <c r="D29" i="6"/>
  <c r="H22" i="6"/>
  <c r="H23" i="6"/>
  <c r="H24" i="6"/>
  <c r="H25" i="6"/>
  <c r="H26" i="6"/>
  <c r="D8" i="6"/>
  <c r="D10" i="6"/>
  <c r="D6" i="6"/>
  <c r="D5" i="6"/>
  <c r="C18" i="4"/>
  <c r="D12" i="6"/>
  <c r="D13" i="6"/>
  <c r="D14" i="6"/>
  <c r="D15" i="6"/>
  <c r="D11" i="6"/>
  <c r="D22" i="6"/>
  <c r="R22" i="6"/>
  <c r="D24" i="6"/>
  <c r="D26" i="6"/>
  <c r="R26" i="6"/>
  <c r="D28" i="6"/>
  <c r="D30" i="6"/>
  <c r="D9" i="6"/>
  <c r="R50" i="77"/>
  <c r="E49" i="77"/>
  <c r="E29" i="43"/>
  <c r="C26" i="43"/>
  <c r="C30" i="43"/>
  <c r="E30" i="43"/>
  <c r="C27" i="43"/>
  <c r="E39" i="43"/>
  <c r="G39" i="43"/>
  <c r="I39" i="43"/>
  <c r="E36" i="43"/>
  <c r="G36" i="43"/>
  <c r="I36" i="43"/>
  <c r="E34" i="43"/>
  <c r="G34" i="43"/>
  <c r="I34" i="43"/>
  <c r="E53" i="21"/>
  <c r="F53" i="21"/>
  <c r="E52" i="21"/>
  <c r="F52" i="21"/>
  <c r="T6" i="1"/>
  <c r="AQ6" i="1"/>
  <c r="S16" i="1"/>
  <c r="AR6" i="1"/>
  <c r="E6" i="70"/>
  <c r="E2" i="70"/>
  <c r="I19" i="6"/>
  <c r="H19" i="6"/>
  <c r="H27" i="6"/>
  <c r="M27" i="6"/>
  <c r="C50" i="34"/>
  <c r="C49" i="34"/>
  <c r="I54" i="77"/>
  <c r="J54" i="77"/>
  <c r="I53" i="77"/>
  <c r="J53" i="77"/>
  <c r="C60" i="67"/>
  <c r="C66" i="67"/>
  <c r="G53" i="34"/>
  <c r="H53" i="34"/>
  <c r="G54" i="34"/>
  <c r="H54" i="34"/>
  <c r="I53" i="21"/>
  <c r="J53" i="21"/>
  <c r="C14" i="12"/>
  <c r="C16" i="12"/>
  <c r="D17" i="12"/>
  <c r="C17" i="12"/>
  <c r="H63" i="40"/>
  <c r="G65" i="40"/>
  <c r="I54" i="34"/>
  <c r="J54" i="34"/>
  <c r="T16" i="1"/>
  <c r="M16" i="1"/>
  <c r="J29" i="67"/>
  <c r="E52" i="33"/>
  <c r="F52" i="33"/>
  <c r="E53" i="33"/>
  <c r="F53" i="33"/>
  <c r="I53" i="33"/>
  <c r="J53" i="33"/>
  <c r="C20" i="85"/>
  <c r="C26" i="85"/>
  <c r="C23" i="85"/>
  <c r="E6" i="76"/>
  <c r="C29" i="85"/>
  <c r="C21" i="12"/>
  <c r="C29" i="79"/>
  <c r="E2" i="76"/>
  <c r="C57" i="85"/>
  <c r="C64" i="85"/>
  <c r="C36" i="85"/>
  <c r="C13" i="85"/>
  <c r="J14" i="85"/>
  <c r="Q49" i="85"/>
  <c r="C61" i="85"/>
  <c r="C66" i="85"/>
  <c r="C60" i="85"/>
  <c r="C59" i="85"/>
  <c r="C20" i="67"/>
  <c r="C23" i="67"/>
  <c r="C13" i="79"/>
  <c r="Q49" i="79"/>
  <c r="J14" i="79"/>
  <c r="C36" i="79"/>
  <c r="C57" i="79"/>
  <c r="J19" i="79"/>
  <c r="J17" i="79"/>
  <c r="N16" i="1"/>
  <c r="L16" i="1"/>
  <c r="C34" i="11"/>
  <c r="C34" i="68"/>
  <c r="H65" i="40"/>
  <c r="I63" i="40"/>
  <c r="B2" i="43"/>
  <c r="C49" i="77"/>
  <c r="U6" i="1"/>
  <c r="C50" i="77"/>
  <c r="R24" i="6"/>
  <c r="R23" i="6"/>
  <c r="C29" i="15"/>
  <c r="E53" i="86"/>
  <c r="F53" i="86"/>
  <c r="E52" i="86"/>
  <c r="F52" i="86"/>
  <c r="C28" i="11"/>
  <c r="C27" i="11"/>
  <c r="C31" i="11"/>
  <c r="C10" i="69"/>
  <c r="C8" i="69"/>
  <c r="C5" i="69"/>
  <c r="D19" i="69"/>
  <c r="C31" i="79"/>
  <c r="C31" i="85"/>
  <c r="C22" i="12"/>
  <c r="C27" i="12"/>
  <c r="C25" i="12"/>
  <c r="C30" i="12"/>
  <c r="C28" i="12"/>
  <c r="C32" i="12"/>
  <c r="B2" i="12"/>
  <c r="B3" i="12"/>
  <c r="B3" i="34"/>
  <c r="B2" i="34"/>
  <c r="I27" i="6"/>
  <c r="S19" i="6"/>
  <c r="S27" i="6"/>
  <c r="L18" i="9"/>
  <c r="E53" i="77"/>
  <c r="F53" i="77"/>
  <c r="E54" i="77"/>
  <c r="F54" i="77"/>
  <c r="C4" i="52"/>
  <c r="B45" i="72"/>
  <c r="A7" i="51"/>
  <c r="B7" i="72"/>
  <c r="A10" i="51"/>
  <c r="B9" i="72"/>
  <c r="D16" i="6"/>
  <c r="R19" i="6"/>
  <c r="D27" i="6"/>
  <c r="D31" i="6"/>
  <c r="M19" i="9"/>
  <c r="C118" i="9"/>
  <c r="C14" i="74"/>
  <c r="B2" i="74"/>
  <c r="L19" i="9"/>
  <c r="I68" i="39"/>
  <c r="H70" i="39"/>
  <c r="B3" i="33"/>
  <c r="B2" i="33"/>
  <c r="C49" i="86"/>
  <c r="C48" i="86"/>
  <c r="D19" i="68"/>
  <c r="C10" i="68"/>
  <c r="F6" i="67"/>
  <c r="C19" i="9"/>
  <c r="C19" i="87"/>
  <c r="B6" i="76"/>
  <c r="C20" i="9"/>
  <c r="C20" i="87"/>
  <c r="C103" i="87"/>
  <c r="C103" i="9"/>
  <c r="B2" i="76"/>
  <c r="B3" i="76"/>
  <c r="C102" i="87"/>
  <c r="C21" i="87"/>
  <c r="C102" i="9"/>
  <c r="C21" i="9"/>
  <c r="C6" i="67"/>
  <c r="D37" i="68"/>
  <c r="C37" i="68"/>
  <c r="C19" i="68"/>
  <c r="I6" i="6"/>
  <c r="I5" i="6"/>
  <c r="D37" i="69"/>
  <c r="C37" i="69"/>
  <c r="C33" i="69"/>
  <c r="C19" i="69"/>
  <c r="C24" i="69"/>
  <c r="B3" i="77"/>
  <c r="B2" i="77"/>
  <c r="B3" i="43"/>
  <c r="C35" i="11"/>
  <c r="C38" i="11"/>
  <c r="C33" i="11"/>
  <c r="F50" i="11"/>
  <c r="F50" i="68"/>
  <c r="F50" i="69"/>
  <c r="C61" i="79"/>
  <c r="C59" i="79"/>
  <c r="C64" i="79"/>
  <c r="C56" i="79"/>
  <c r="C65" i="79"/>
  <c r="C58" i="79"/>
  <c r="C67" i="79"/>
  <c r="C68" i="79"/>
  <c r="J22" i="79"/>
  <c r="J13" i="79"/>
  <c r="J23" i="79"/>
  <c r="J16" i="79"/>
  <c r="J25" i="79"/>
  <c r="C75" i="79"/>
  <c r="Q70" i="79"/>
  <c r="C37" i="79"/>
  <c r="C30" i="79"/>
  <c r="C39" i="79"/>
  <c r="C26" i="67"/>
  <c r="C29" i="67"/>
  <c r="C56" i="85"/>
  <c r="C65" i="85"/>
  <c r="C37" i="85"/>
  <c r="C75" i="85"/>
  <c r="Q70" i="85"/>
  <c r="J68" i="39"/>
  <c r="I70" i="39"/>
  <c r="D7" i="74"/>
  <c r="D8" i="74"/>
  <c r="R6" i="1"/>
  <c r="R27" i="6"/>
  <c r="C30" i="85"/>
  <c r="C39" i="85"/>
  <c r="C23" i="69"/>
  <c r="C36" i="15"/>
  <c r="Q49" i="15"/>
  <c r="J19" i="15"/>
  <c r="J17" i="15"/>
  <c r="C13" i="15"/>
  <c r="C33" i="15"/>
  <c r="C31" i="15"/>
  <c r="C57" i="15"/>
  <c r="J14" i="15"/>
  <c r="J59" i="15"/>
  <c r="J60" i="15"/>
  <c r="J63" i="40"/>
  <c r="I65" i="40"/>
  <c r="C35" i="68"/>
  <c r="C38" i="68"/>
  <c r="C33" i="68"/>
  <c r="C58" i="85"/>
  <c r="C67" i="85"/>
  <c r="C68" i="85"/>
  <c r="J22" i="85"/>
  <c r="J13" i="85"/>
  <c r="J23" i="85"/>
  <c r="M21" i="67"/>
  <c r="F35" i="67"/>
  <c r="C80" i="79"/>
  <c r="C79" i="79"/>
  <c r="F63" i="67"/>
  <c r="C62" i="67"/>
  <c r="C34" i="67"/>
  <c r="J20" i="67"/>
  <c r="C36" i="67"/>
  <c r="C13" i="67"/>
  <c r="C57" i="67"/>
  <c r="Q49" i="67"/>
  <c r="J19" i="67"/>
  <c r="J17" i="67"/>
  <c r="J14" i="67"/>
  <c r="C71" i="85"/>
  <c r="K63" i="40"/>
  <c r="J65" i="40"/>
  <c r="J16" i="85"/>
  <c r="J25" i="85"/>
  <c r="Q48" i="15"/>
  <c r="L46" i="15"/>
  <c r="C61" i="15"/>
  <c r="C59" i="15"/>
  <c r="C64" i="15"/>
  <c r="C37" i="15"/>
  <c r="C30" i="15"/>
  <c r="C39" i="15"/>
  <c r="C56" i="15"/>
  <c r="C65" i="15"/>
  <c r="C75" i="15"/>
  <c r="Q70" i="15"/>
  <c r="C20" i="69"/>
  <c r="C28" i="69"/>
  <c r="C27" i="69"/>
  <c r="C40" i="85"/>
  <c r="C45" i="85"/>
  <c r="C46" i="85"/>
  <c r="Q69" i="85"/>
  <c r="Q68" i="85"/>
  <c r="R16" i="1"/>
  <c r="K68" i="39"/>
  <c r="J70" i="39"/>
  <c r="C80" i="85"/>
  <c r="C79" i="85"/>
  <c r="C39" i="69"/>
  <c r="C43" i="69"/>
  <c r="C42" i="69"/>
  <c r="C41" i="69"/>
  <c r="C46" i="69"/>
  <c r="C45" i="69"/>
  <c r="C49" i="69"/>
  <c r="C51" i="69"/>
  <c r="C10" i="67"/>
  <c r="C5" i="67"/>
  <c r="C39" i="68"/>
  <c r="C43" i="68"/>
  <c r="C42" i="68"/>
  <c r="C46" i="68"/>
  <c r="C45" i="68"/>
  <c r="J22" i="15"/>
  <c r="J13" i="15"/>
  <c r="J23" i="15"/>
  <c r="C71" i="79"/>
  <c r="C39" i="11"/>
  <c r="C43" i="11"/>
  <c r="C42" i="11"/>
  <c r="C41" i="11"/>
  <c r="C40" i="79"/>
  <c r="C45" i="79"/>
  <c r="C46" i="79"/>
  <c r="Q69" i="79"/>
  <c r="Q68" i="79"/>
  <c r="C24" i="68"/>
  <c r="C20" i="68"/>
  <c r="C25" i="68"/>
  <c r="L51" i="85"/>
  <c r="L51" i="79"/>
  <c r="D2" i="86"/>
  <c r="C22" i="68"/>
  <c r="J16" i="15"/>
  <c r="J25" i="15"/>
  <c r="B2" i="86"/>
  <c r="Q67" i="79"/>
  <c r="Q67" i="85"/>
  <c r="Q69" i="15"/>
  <c r="Q68" i="15"/>
  <c r="C40" i="15"/>
  <c r="C32" i="67"/>
  <c r="C38" i="67"/>
  <c r="C33" i="67"/>
  <c r="C58" i="15"/>
  <c r="C67" i="15"/>
  <c r="C68" i="15"/>
  <c r="L63" i="40"/>
  <c r="K65" i="40"/>
  <c r="C61" i="67"/>
  <c r="C59" i="67"/>
  <c r="C64" i="67"/>
  <c r="C28" i="68"/>
  <c r="C27" i="68"/>
  <c r="C31" i="68"/>
  <c r="Q47" i="79"/>
  <c r="Q53" i="79"/>
  <c r="Q65" i="79"/>
  <c r="Q75" i="79"/>
  <c r="Q56" i="79"/>
  <c r="Q62" i="79"/>
  <c r="C43" i="79"/>
  <c r="D2" i="79"/>
  <c r="C83" i="79"/>
  <c r="C82" i="79"/>
  <c r="C46" i="11"/>
  <c r="C45" i="11"/>
  <c r="C49" i="11"/>
  <c r="C51" i="11"/>
  <c r="C41" i="68"/>
  <c r="C49" i="68"/>
  <c r="C51" i="68"/>
  <c r="L68" i="39"/>
  <c r="K70" i="39"/>
  <c r="D2" i="85"/>
  <c r="Q65" i="85"/>
  <c r="Q75" i="85"/>
  <c r="Q56" i="85"/>
  <c r="Q62" i="85"/>
  <c r="Q47" i="85"/>
  <c r="Q53" i="85"/>
  <c r="C43" i="85"/>
  <c r="C83" i="85"/>
  <c r="C82" i="85"/>
  <c r="C25" i="69"/>
  <c r="C22" i="69"/>
  <c r="C31" i="69"/>
  <c r="C52" i="69"/>
  <c r="B2" i="69"/>
  <c r="B3" i="69"/>
  <c r="C80" i="15"/>
  <c r="C79" i="15"/>
  <c r="J22" i="67"/>
  <c r="J13" i="67"/>
  <c r="J23" i="67"/>
  <c r="C37" i="67"/>
  <c r="C75" i="67"/>
  <c r="C56" i="67"/>
  <c r="C65" i="67"/>
  <c r="Q70" i="67"/>
  <c r="C19" i="81"/>
  <c r="L51" i="15"/>
  <c r="J16" i="67"/>
  <c r="J25" i="67"/>
  <c r="Q67" i="15"/>
  <c r="L57" i="15"/>
  <c r="L60" i="15"/>
  <c r="C21" i="81"/>
  <c r="C102" i="81"/>
  <c r="C52" i="11"/>
  <c r="B2" i="11"/>
  <c r="B3" i="11"/>
  <c r="C57" i="69"/>
  <c r="C56" i="69"/>
  <c r="C52" i="68"/>
  <c r="B2" i="68"/>
  <c r="B3" i="68"/>
  <c r="C58" i="67"/>
  <c r="C67" i="67"/>
  <c r="C68" i="67"/>
  <c r="C71" i="15"/>
  <c r="C46" i="15"/>
  <c r="C31" i="67"/>
  <c r="C30" i="67"/>
  <c r="C39" i="67"/>
  <c r="Q65" i="15"/>
  <c r="Q47" i="15"/>
  <c r="Q53" i="15"/>
  <c r="C43" i="15"/>
  <c r="B2" i="15"/>
  <c r="B3" i="15"/>
  <c r="Q56" i="15"/>
  <c r="C83" i="15"/>
  <c r="C82" i="15"/>
  <c r="B3" i="85"/>
  <c r="B2" i="85"/>
  <c r="M68" i="39"/>
  <c r="L70" i="39"/>
  <c r="B3" i="79"/>
  <c r="B2" i="79"/>
  <c r="L65" i="40"/>
  <c r="M63" i="40"/>
  <c r="B3" i="86"/>
  <c r="D20" i="81"/>
  <c r="D20" i="87"/>
  <c r="C20" i="81"/>
  <c r="D19" i="81"/>
  <c r="D19" i="87"/>
  <c r="D102" i="87"/>
  <c r="D21" i="87"/>
  <c r="G19" i="87"/>
  <c r="G21" i="87"/>
  <c r="D22" i="87"/>
  <c r="D102" i="81"/>
  <c r="D21" i="81"/>
  <c r="G19" i="81"/>
  <c r="G21" i="81"/>
  <c r="D22" i="81"/>
  <c r="G20" i="81"/>
  <c r="C32" i="81"/>
  <c r="C103" i="81"/>
  <c r="D103" i="87"/>
  <c r="G20" i="87"/>
  <c r="C32" i="87"/>
  <c r="D103" i="81"/>
  <c r="N63" i="40"/>
  <c r="M65" i="40"/>
  <c r="C40" i="67"/>
  <c r="Q69" i="67"/>
  <c r="Q68" i="67"/>
  <c r="Q57" i="15"/>
  <c r="Q66" i="15"/>
  <c r="N68" i="39"/>
  <c r="M70" i="39"/>
  <c r="Q62" i="15"/>
  <c r="Q75" i="15"/>
  <c r="C71" i="67"/>
  <c r="C45" i="67"/>
  <c r="C46" i="67"/>
  <c r="C57" i="68"/>
  <c r="C56" i="68"/>
  <c r="C80" i="67"/>
  <c r="C79" i="67"/>
  <c r="C56" i="11"/>
  <c r="C57" i="11"/>
  <c r="L51" i="67"/>
  <c r="Q67" i="67"/>
  <c r="D2" i="67"/>
  <c r="Q65" i="67"/>
  <c r="Q75" i="67"/>
  <c r="Q56" i="67"/>
  <c r="Q62" i="67"/>
  <c r="Q47" i="67"/>
  <c r="Q53" i="67"/>
  <c r="C43" i="67"/>
  <c r="C83" i="67"/>
  <c r="C82" i="67"/>
  <c r="O63" i="40"/>
  <c r="O65" i="40"/>
  <c r="N65" i="40"/>
  <c r="I118" i="87"/>
  <c r="C35" i="87"/>
  <c r="G118" i="87"/>
  <c r="F118" i="87"/>
  <c r="F119" i="87"/>
  <c r="C34" i="87"/>
  <c r="O68" i="39"/>
  <c r="O70" i="39"/>
  <c r="N70" i="39"/>
  <c r="I118" i="81"/>
  <c r="C35" i="81"/>
  <c r="G118" i="81"/>
  <c r="F118" i="81"/>
  <c r="F119" i="81"/>
  <c r="C34" i="81"/>
  <c r="E118" i="87"/>
  <c r="D118" i="87"/>
  <c r="D119" i="87"/>
  <c r="H102" i="87"/>
  <c r="H118" i="87"/>
  <c r="C105" i="87"/>
  <c r="F7" i="40"/>
  <c r="H7" i="40"/>
  <c r="J7" i="40"/>
  <c r="B3" i="67"/>
  <c r="B2" i="67"/>
  <c r="R24" i="80"/>
  <c r="E118" i="81"/>
  <c r="D118" i="81"/>
  <c r="D119" i="81"/>
  <c r="C105" i="81"/>
  <c r="H118" i="81"/>
  <c r="H102" i="81"/>
  <c r="F7" i="39"/>
  <c r="H7" i="39"/>
  <c r="J7" i="39"/>
  <c r="D19" i="9"/>
  <c r="AO6" i="1"/>
  <c r="D20" i="9"/>
  <c r="D103" i="9"/>
  <c r="G20" i="9"/>
  <c r="B6" i="70"/>
  <c r="B2" i="70"/>
  <c r="B3" i="70"/>
  <c r="D102" i="9"/>
  <c r="D21" i="9"/>
  <c r="G19" i="9"/>
  <c r="G21" i="9"/>
  <c r="D22" i="9"/>
  <c r="AC7" i="39"/>
  <c r="V47" i="39"/>
  <c r="I47" i="39"/>
  <c r="W7" i="39"/>
  <c r="U7" i="39"/>
  <c r="AB7" i="39"/>
  <c r="T47" i="39"/>
  <c r="G47" i="39"/>
  <c r="R29" i="80"/>
  <c r="S29" i="80"/>
  <c r="R28" i="80"/>
  <c r="S28" i="80"/>
  <c r="R27" i="80"/>
  <c r="S27" i="80"/>
  <c r="R26" i="80"/>
  <c r="S26" i="80"/>
  <c r="R25" i="80"/>
  <c r="S25" i="80"/>
  <c r="S24" i="80"/>
  <c r="S22" i="80"/>
  <c r="U7" i="40"/>
  <c r="AB7" i="40"/>
  <c r="T42" i="40"/>
  <c r="G42" i="40"/>
  <c r="AA7" i="39"/>
  <c r="R47" i="39"/>
  <c r="S7" i="39"/>
  <c r="H101" i="81"/>
  <c r="H119" i="81"/>
  <c r="C104" i="81"/>
  <c r="AC7" i="40"/>
  <c r="V42" i="40"/>
  <c r="I42" i="40"/>
  <c r="W7" i="40"/>
  <c r="AA7" i="40"/>
  <c r="R42" i="40"/>
  <c r="S7" i="40"/>
  <c r="H101" i="87"/>
  <c r="H119" i="87"/>
  <c r="C104" i="87"/>
  <c r="H107" i="81"/>
  <c r="D45" i="81"/>
  <c r="M48" i="81"/>
  <c r="R48" i="39"/>
  <c r="E47" i="39"/>
  <c r="I51" i="39"/>
  <c r="J51" i="39"/>
  <c r="I52" i="39"/>
  <c r="J52" i="39"/>
  <c r="R24" i="31"/>
  <c r="C32" i="9"/>
  <c r="H107" i="87"/>
  <c r="M48" i="87"/>
  <c r="D45" i="87"/>
  <c r="E42" i="40"/>
  <c r="R43" i="40"/>
  <c r="I46" i="40"/>
  <c r="J46" i="40"/>
  <c r="I47" i="40"/>
  <c r="J47" i="40"/>
  <c r="G47" i="40"/>
  <c r="H47" i="40"/>
  <c r="G46" i="40"/>
  <c r="H46" i="40"/>
  <c r="B20" i="80"/>
  <c r="R22" i="80"/>
  <c r="B21" i="80"/>
  <c r="G52" i="39"/>
  <c r="H52" i="39"/>
  <c r="G51" i="39"/>
  <c r="H51" i="39"/>
  <c r="C43" i="40"/>
  <c r="C42" i="40"/>
  <c r="C85" i="87"/>
  <c r="C72" i="87"/>
  <c r="C78" i="87"/>
  <c r="C73" i="87"/>
  <c r="C64" i="87"/>
  <c r="C63" i="87"/>
  <c r="C67" i="87"/>
  <c r="C68" i="87"/>
  <c r="D54" i="87"/>
  <c r="D53" i="87"/>
  <c r="D52" i="87"/>
  <c r="C93" i="87"/>
  <c r="C86" i="87"/>
  <c r="D55" i="87"/>
  <c r="M53" i="87"/>
  <c r="H108" i="87"/>
  <c r="M49" i="87"/>
  <c r="D122" i="87"/>
  <c r="D123" i="87"/>
  <c r="R31" i="31"/>
  <c r="S31" i="31"/>
  <c r="S24" i="31"/>
  <c r="S22" i="31"/>
  <c r="C47" i="39"/>
  <c r="C48" i="39"/>
  <c r="C93" i="81"/>
  <c r="C86" i="81"/>
  <c r="D55" i="81"/>
  <c r="M53" i="81"/>
  <c r="D53" i="81"/>
  <c r="D52" i="81"/>
  <c r="C85" i="81"/>
  <c r="C95" i="81"/>
  <c r="C72" i="81"/>
  <c r="C78" i="81"/>
  <c r="C73" i="81"/>
  <c r="C79" i="81"/>
  <c r="C64" i="81"/>
  <c r="C63" i="81"/>
  <c r="C67" i="81"/>
  <c r="C68" i="81"/>
  <c r="D54" i="81"/>
  <c r="E47" i="40"/>
  <c r="F47" i="40"/>
  <c r="E46" i="40"/>
  <c r="F46" i="40"/>
  <c r="I118" i="9"/>
  <c r="C35" i="9"/>
  <c r="G118" i="9"/>
  <c r="E52" i="39"/>
  <c r="F52" i="39"/>
  <c r="E51" i="39"/>
  <c r="F51" i="39"/>
  <c r="D122" i="81"/>
  <c r="D123" i="81"/>
  <c r="H108" i="81"/>
  <c r="M49" i="81"/>
  <c r="F118" i="9"/>
  <c r="G4" i="52"/>
  <c r="B52" i="72"/>
  <c r="C80" i="81"/>
  <c r="E80" i="81"/>
  <c r="E81" i="81"/>
  <c r="C81" i="81"/>
  <c r="B56" i="39"/>
  <c r="F56" i="39"/>
  <c r="F66" i="39"/>
  <c r="B2" i="39"/>
  <c r="B3" i="39"/>
  <c r="B59" i="39"/>
  <c r="F59" i="39"/>
  <c r="B57" i="39"/>
  <c r="F57" i="39"/>
  <c r="B65" i="39"/>
  <c r="F65" i="39"/>
  <c r="B64" i="39"/>
  <c r="F64" i="39"/>
  <c r="B63" i="39"/>
  <c r="F63" i="39"/>
  <c r="B62" i="39"/>
  <c r="F62" i="39"/>
  <c r="B61" i="39"/>
  <c r="F61" i="39"/>
  <c r="B60" i="39"/>
  <c r="F60" i="39"/>
  <c r="B58" i="39"/>
  <c r="F58" i="39"/>
  <c r="C34" i="9"/>
  <c r="E118" i="9"/>
  <c r="H102" i="9"/>
  <c r="D7" i="53"/>
  <c r="B21" i="72"/>
  <c r="I4" i="52"/>
  <c r="H118" i="9"/>
  <c r="C105" i="9"/>
  <c r="C96" i="81"/>
  <c r="E96" i="81"/>
  <c r="E97" i="81"/>
  <c r="C97" i="81"/>
  <c r="D58" i="81"/>
  <c r="D56" i="81"/>
  <c r="M54" i="81"/>
  <c r="N57" i="81"/>
  <c r="L63" i="87"/>
  <c r="M63" i="87"/>
  <c r="L64" i="87"/>
  <c r="M64" i="87"/>
  <c r="L65" i="87"/>
  <c r="M65" i="87"/>
  <c r="L66" i="87"/>
  <c r="M66" i="87"/>
  <c r="L67" i="87"/>
  <c r="M67" i="87"/>
  <c r="L68" i="87"/>
  <c r="M68" i="87"/>
  <c r="C79" i="87"/>
  <c r="L63" i="81"/>
  <c r="M63" i="81"/>
  <c r="M69" i="81"/>
  <c r="N69" i="81"/>
  <c r="L64" i="81"/>
  <c r="M64" i="81"/>
  <c r="L65" i="81"/>
  <c r="M65" i="81"/>
  <c r="L66" i="81"/>
  <c r="M66" i="81"/>
  <c r="L67" i="81"/>
  <c r="M67" i="81"/>
  <c r="L68" i="81"/>
  <c r="M68" i="81"/>
  <c r="R22" i="31"/>
  <c r="B21" i="31"/>
  <c r="B20" i="31"/>
  <c r="D15" i="74"/>
  <c r="C95" i="87"/>
  <c r="F61" i="40"/>
  <c r="B2" i="40"/>
  <c r="B3" i="40"/>
  <c r="B60" i="40"/>
  <c r="F60" i="40"/>
  <c r="B59" i="40"/>
  <c r="F59" i="40"/>
  <c r="B58" i="40"/>
  <c r="F58" i="40"/>
  <c r="B57" i="40"/>
  <c r="F57" i="40"/>
  <c r="B56" i="40"/>
  <c r="F56" i="40"/>
  <c r="B55" i="40"/>
  <c r="F55" i="40"/>
  <c r="B53" i="40"/>
  <c r="F53" i="40"/>
  <c r="B54" i="40"/>
  <c r="F54" i="40"/>
  <c r="B52" i="40"/>
  <c r="F52" i="40"/>
  <c r="B51" i="40"/>
  <c r="F51" i="40"/>
  <c r="N58" i="81"/>
  <c r="P57" i="81"/>
  <c r="N59" i="81"/>
  <c r="C97" i="87"/>
  <c r="D58" i="87"/>
  <c r="D56" i="87"/>
  <c r="M54" i="87"/>
  <c r="N57" i="87"/>
  <c r="C96" i="87"/>
  <c r="E96" i="87"/>
  <c r="E97" i="87"/>
  <c r="C81" i="87"/>
  <c r="C80" i="87"/>
  <c r="E80" i="87"/>
  <c r="E81" i="87"/>
  <c r="H101" i="9"/>
  <c r="H119" i="9"/>
  <c r="H5" i="52"/>
  <c r="D14" i="74"/>
  <c r="H4" i="52"/>
  <c r="C104" i="9"/>
  <c r="F15" i="74"/>
  <c r="E15" i="74"/>
  <c r="G15" i="74"/>
  <c r="M69" i="87"/>
  <c r="N69" i="87"/>
  <c r="E4" i="52"/>
  <c r="B48" i="72"/>
  <c r="D118" i="9"/>
  <c r="F4" i="52"/>
  <c r="B51" i="72"/>
  <c r="F119" i="9"/>
  <c r="F5" i="52"/>
  <c r="B53" i="72"/>
  <c r="D119" i="9"/>
  <c r="D5" i="52"/>
  <c r="B49" i="72"/>
  <c r="D4" i="52"/>
  <c r="B47" i="72"/>
  <c r="F14" i="74"/>
  <c r="E14" i="74"/>
  <c r="B5" i="74"/>
  <c r="M48" i="9"/>
  <c r="D5" i="53"/>
  <c r="D45" i="9"/>
  <c r="H107" i="9"/>
  <c r="N58" i="87"/>
  <c r="P57" i="87"/>
  <c r="N59" i="87"/>
  <c r="N61" i="81"/>
  <c r="N60" i="81"/>
  <c r="N61" i="87"/>
  <c r="N60" i="87"/>
  <c r="C85" i="9"/>
  <c r="C72" i="9"/>
  <c r="C78" i="9"/>
  <c r="C73" i="9"/>
  <c r="C79" i="9"/>
  <c r="C64" i="9"/>
  <c r="C63" i="9"/>
  <c r="C67" i="9"/>
  <c r="C68" i="9"/>
  <c r="D54" i="9"/>
  <c r="D53" i="9"/>
  <c r="D52" i="9"/>
  <c r="C93" i="9"/>
  <c r="C86" i="9"/>
  <c r="D55" i="9"/>
  <c r="M53" i="9"/>
  <c r="H108" i="9"/>
  <c r="D15" i="53"/>
  <c r="B31" i="72"/>
  <c r="M49" i="9"/>
  <c r="D13" i="53"/>
  <c r="D122" i="9"/>
  <c r="D6" i="53"/>
  <c r="B22" i="72"/>
  <c r="B20" i="72"/>
  <c r="C5" i="74"/>
  <c r="D5" i="74"/>
  <c r="D123" i="9"/>
  <c r="D9" i="52"/>
  <c r="D8" i="52"/>
  <c r="G14" i="74"/>
  <c r="B6" i="74"/>
  <c r="L63" i="9"/>
  <c r="M63" i="9"/>
  <c r="L64" i="9"/>
  <c r="M64" i="9"/>
  <c r="L65" i="9"/>
  <c r="M65" i="9"/>
  <c r="L66" i="9"/>
  <c r="M66" i="9"/>
  <c r="L67" i="9"/>
  <c r="M67" i="9"/>
  <c r="L68" i="9"/>
  <c r="M68" i="9"/>
  <c r="C80" i="9"/>
  <c r="E80" i="9"/>
  <c r="E81" i="9"/>
  <c r="D14" i="53"/>
  <c r="B32" i="72"/>
  <c r="B30" i="72"/>
  <c r="C95" i="9"/>
  <c r="C96" i="9"/>
  <c r="E96" i="9"/>
  <c r="E97" i="9"/>
  <c r="C81" i="9"/>
  <c r="M69" i="9"/>
  <c r="N69" i="9"/>
  <c r="D6" i="74"/>
  <c r="C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<sst xmlns="http://schemas.openxmlformats.org/spreadsheetml/2006/main" count="9894" uniqueCount="3339">
  <si>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</si>
  <si>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</si>
  <si>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</si>
  <si>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</si>
  <si>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</si>
  <si>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</si>
  <si>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</si>
  <si>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</si>
  <si>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</si>
  <si>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</si>
  <si>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</si>
  <si>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</si>
  <si>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</si>
  <si>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</si>
  <si>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</si>
  <si>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</si>
  <si>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</si>
  <si>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</si>
  <si>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</si>
  <si>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</si>
  <si>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</si>
  <si>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</si>
  <si>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</si>
  <si>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</si>
  <si>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</si>
  <si>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</si>
  <si>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</si>
  <si>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</si>
  <si>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</si>
  <si>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</si>
  <si>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</si>
  <si>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</si>
  <si>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</si>
  <si>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</si>
  <si>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</si>
  <si>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</si>
  <si>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</si>
  <si>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</si>
  <si>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</si>
  <si>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</si>
  <si>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</si>
  <si>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</si>
  <si>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</si>
  <si>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</si>
  <si>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</si>
  <si>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</si>
  <si>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</si>
  <si>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</si>
  <si>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</si>
  <si>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</si>
  <si>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</si>
  <si>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</si>
  <si>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</si>
  <si>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</si>
  <si>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</si>
  <si>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</si>
  <si>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</si>
  <si>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</si>
  <si>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</si>
  <si>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</si>
  <si>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</si>
  <si>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</si>
  <si>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</si>
  <si>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</si>
  <si>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</si>
  <si>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</si>
  <si>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</si>
  <si>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</si>
  <si>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</si>
  <si>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</si>
  <si>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</si>
  <si>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</si>
  <si>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</si>
  <si>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</si>
  <si>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</si>
  <si>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</si>
  <si>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</si>
  <si>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</si>
  <si>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</si>
  <si>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</si>
  <si>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</si>
  <si>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</si>
  <si>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</si>
  <si>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</si>
  <si>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</si>
  <si>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</si>
  <si>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</si>
  <si>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</si>
  <si>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</si>
  <si>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</si>
  <si>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</si>
  <si>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</si>
  <si>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</si>
  <si>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</si>
  <si>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</si>
  <si>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</si>
  <si>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</si>
  <si>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</si>
  <si>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</si>
  <si>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</si>
  <si>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</si>
  <si>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</si>
  <si>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</si>
  <si>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</si>
  <si>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</si>
  <si>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</si>
  <si>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</si>
  <si>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</si>
  <si>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</si>
  <si>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</si>
  <si>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</si>
  <si>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</si>
  <si>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</si>
  <si>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</si>
  <si>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</si>
  <si>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</si>
  <si>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</si>
  <si>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</si>
  <si>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</si>
  <si>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</si>
  <si>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</si>
  <si>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</si>
  <si>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</si>
  <si>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</si>
  <si>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</si>
  <si>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</si>
  <si>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</si>
  <si>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</si>
  <si>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</si>
  <si>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</si>
  <si>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</si>
  <si>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</si>
  <si>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</si>
  <si>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</si>
  <si>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</si>
  <si>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</si>
  <si>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</si>
  <si>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</si>
  <si>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</si>
  <si>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</si>
  <si>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</si>
  <si>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</si>
  <si>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</si>
  <si>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</si>
  <si>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</si>
  <si>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</si>
  <si>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</si>
  <si>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</si>
  <si>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</si>
  <si>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</si>
  <si>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</si>
  <si>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</si>
  <si>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</si>
  <si>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</si>
  <si>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</si>
  <si>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</si>
  <si>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</si>
  <si>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</si>
  <si>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</si>
  <si>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</si>
  <si>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</si>
  <si>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</si>
  <si>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</si>
  <si>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</si>
  <si>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</si>
  <si>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</si>
  <si>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</si>
  <si>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</si>
  <si>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</si>
  <si>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</si>
  <si>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</si>
  <si>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</si>
  <si>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</si>
  <si>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</si>
  <si>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</si>
  <si>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</si>
  <si>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</si>
  <si>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</si>
  <si>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</si>
  <si>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</si>
  <si>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</si>
  <si>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</si>
  <si>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</si>
  <si>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</si>
  <si>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</si>
  <si>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</si>
  <si>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</si>
  <si>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</si>
  <si>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</si>
  <si>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</si>
  <si>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</si>
  <si>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</si>
  <si>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</si>
  <si>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</si>
  <si>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</si>
  <si>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</si>
  <si>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</si>
  <si>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</si>
  <si>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</si>
  <si>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</si>
  <si>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</si>
  <si>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</si>
  <si>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</si>
  <si>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</si>
  <si>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</si>
  <si>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</si>
  <si>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</si>
  <si>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</si>
  <si>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</si>
  <si>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</si>
  <si>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</si>
  <si>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</si>
  <si>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</si>
  <si>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</si>
  <si>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</si>
  <si>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</si>
  <si>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</si>
  <si>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</si>
  <si>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</si>
  <si>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</si>
  <si>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</si>
  <si>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</si>
  <si>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</si>
  <si>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</si>
  <si>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</si>
  <si>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</si>
  <si>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</si>
  <si>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</si>
  <si>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</si>
  <si>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</si>
  <si>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</si>
  <si>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</si>
  <si>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</si>
  <si>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</si>
  <si>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</si>
  <si>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</si>
  <si>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</si>
  <si>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</si>
  <si>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</si>
  <si>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</si>
  <si>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</si>
  <si>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</si>
  <si>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</si>
  <si>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</si>
  <si>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</si>
  <si>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</si>
  <si>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</si>
  <si>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</si>
  <si>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</si>
  <si>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</si>
  <si>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</si>
  <si>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</si>
  <si>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</si>
  <si>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</si>
  <si>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</si>
  <si>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</si>
  <si>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</si>
  <si>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</si>
  <si>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</si>
  <si>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</si>
  <si>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</si>
  <si>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</si>
  <si>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</si>
  <si>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</si>
  <si>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</si>
  <si>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</si>
  <si>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</si>
  <si>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</si>
  <si>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</si>
  <si>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</si>
  <si>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</si>
  <si>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</si>
  <si>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</si>
  <si>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</si>
  <si>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</si>
  <si>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</si>
  <si>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</si>
  <si>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</si>
  <si>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</si>
  <si>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</si>
  <si>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</si>
  <si>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</si>
  <si>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</si>
  <si>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</si>
  <si>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</si>
  <si>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</si>
  <si>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</si>
  <si>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</si>
  <si>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</si>
  <si>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</si>
  <si>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</si>
  <si>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</si>
  <si>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</si>
  <si>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</si>
  <si>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</si>
  <si>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</si>
  <si>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</si>
  <si>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</si>
  <si>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</si>
  <si>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</si>
  <si>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</si>
  <si>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</si>
  <si>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</si>
  <si>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</si>
  <si>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</si>
  <si>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</si>
  <si>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</si>
  <si>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</si>
  <si>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</si>
  <si>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</si>
  <si>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</si>
  <si>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</si>
  <si>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</si>
  <si>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</si>
  <si>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</si>
  <si>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</si>
  <si>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</si>
  <si>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</si>
  <si>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</si>
  <si>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</si>
  <si>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</si>
  <si>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</si>
  <si>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</si>
  <si>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</si>
  <si>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</si>
  <si>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</si>
  <si>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</si>
  <si>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</si>
  <si>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</si>
  <si>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</si>
  <si>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</si>
  <si>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</si>
  <si>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</si>
  <si>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</si>
  <si>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</si>
  <si>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</si>
  <si>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</si>
  <si>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</si>
  <si>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</si>
  <si>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</si>
  <si>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</si>
  <si>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</si>
  <si>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</si>
  <si>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</si>
  <si>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</si>
  <si>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</si>
  <si>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</si>
  <si>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</si>
  <si>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</si>
  <si>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</si>
  <si>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</si>
  <si>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</si>
  <si>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</si>
  <si>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</si>
  <si>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</si>
  <si>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</si>
  <si>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</si>
  <si>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</si>
  <si>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</si>
  <si>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</si>
  <si>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</si>
  <si>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</si>
  <si>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</si>
  <si>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</si>
  <si>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</si>
  <si>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</si>
  <si>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</si>
  <si>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</si>
  <si>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</si>
  <si>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</si>
  <si>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</si>
  <si>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</si>
  <si>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</si>
  <si>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</si>
  <si>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</si>
  <si>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</si>
  <si>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</si>
  <si>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</si>
  <si>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</si>
  <si>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</si>
  <si>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</si>
  <si>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</si>
  <si>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</si>
  <si>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</si>
  <si>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</si>
  <si>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</si>
  <si>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</si>
  <si>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</si>
  <si>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</si>
  <si>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</si>
  <si>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</si>
  <si>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</si>
  <si>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</si>
  <si>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</si>
  <si>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</si>
  <si>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</si>
  <si>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</si>
  <si>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</si>
  <si>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</si>
  <si>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</si>
  <si>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</si>
  <si>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</si>
  <si>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</si>
  <si>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</si>
  <si>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</si>
  <si>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</si>
  <si>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</si>
  <si>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</si>
  <si>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</si>
  <si>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</si>
  <si>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</si>
  <si>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</si>
  <si>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</si>
  <si>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</si>
  <si>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</si>
  <si>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</si>
  <si>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</si>
  <si>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</si>
  <si>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</si>
  <si>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</si>
  <si>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</si>
  <si>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</si>
  <si>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</si>
  <si>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</si>
  <si>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</si>
  <si>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</si>
  <si>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</si>
  <si>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</si>
  <si>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</si>
  <si>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</si>
  <si>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</si>
  <si>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</si>
  <si>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</si>
  <si>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</si>
  <si>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</si>
  <si>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</si>
  <si>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</si>
  <si>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</si>
  <si>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</si>
  <si>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</si>
  <si>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</si>
  <si>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</si>
  <si>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</si>
  <si>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</si>
  <si>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</si>
  <si>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</si>
  <si>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</si>
  <si>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</si>
  <si>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</si>
  <si>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</si>
  <si>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</si>
  <si>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</si>
  <si>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</si>
  <si>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</si>
  <si>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</si>
  <si>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</si>
  <si>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</si>
  <si>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</si>
  <si>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</si>
  <si>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</si>
  <si>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</si>
  <si>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</si>
  <si>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</si>
  <si>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</si>
  <si>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</si>
  <si>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</si>
  <si>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</si>
  <si>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</si>
  <si>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</si>
  <si>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</si>
  <si>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</si>
  <si>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</si>
  <si>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</si>
  <si>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</si>
  <si>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</si>
  <si>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</si>
  <si>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</si>
  <si>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</si>
  <si>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</si>
  <si>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</si>
  <si>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</si>
  <si>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</si>
  <si>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</si>
  <si>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</si>
  <si>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</si>
  <si>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</si>
  <si>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</si>
  <si>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</si>
  <si>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</si>
  <si>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</si>
  <si>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</si>
  <si>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</si>
  <si>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</si>
  <si>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</si>
  <si>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</si>
  <si>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</si>
  <si>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</si>
  <si>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</si>
  <si>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</si>
  <si>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</si>
  <si>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</si>
  <si>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</si>
  <si>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</si>
  <si>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</si>
  <si>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</si>
  <si>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</si>
  <si>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</si>
  <si>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</si>
  <si>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</si>
  <si>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</si>
  <si>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</si>
  <si>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</si>
  <si>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</si>
  <si>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</si>
  <si>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</si>
  <si>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</si>
  <si>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</si>
  <si>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</si>
  <si>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</si>
  <si>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</si>
  <si>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</si>
  <si>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</si>
  <si>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</si>
  <si>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</si>
  <si>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</si>
  <si>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</si>
  <si>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</si>
  <si>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</si>
  <si>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</si>
  <si>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</si>
  <si>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</si>
  <si>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</si>
  <si>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</si>
  <si>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</si>
  <si>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</si>
  <si>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</si>
  <si>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</si>
  <si>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</si>
  <si>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</si>
  <si>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</si>
  <si>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</si>
  <si>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</si>
  <si>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</si>
  <si>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</si>
  <si>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</si>
  <si>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</si>
  <si>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</si>
  <si>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</si>
  <si>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</si>
  <si>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</si>
  <si>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</si>
  <si>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</si>
  <si>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</si>
  <si>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</si>
  <si>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</si>
  <si>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</si>
  <si>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</si>
  <si>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</si>
  <si>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</si>
  <si>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</si>
  <si>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</si>
  <si>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</si>
  <si>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</si>
  <si>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</si>
  <si>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</si>
  <si>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</si>
  <si>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</si>
  <si>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</si>
  <si>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</si>
  <si>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</si>
  <si>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</si>
  <si>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</si>
  <si>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</si>
  <si>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</si>
  <si>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</si>
  <si>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</si>
  <si>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</si>
  <si>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</si>
  <si>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</si>
  <si>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</si>
  <si>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</si>
  <si>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</si>
  <si>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</si>
  <si>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</si>
  <si>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</si>
  <si>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</si>
  <si>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</si>
  <si>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</si>
  <si>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</si>
  <si>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</si>
  <si>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</si>
  <si>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</si>
  <si>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</si>
  <si>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</si>
  <si>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</si>
  <si>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</si>
  <si>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</si>
  <si>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</si>
  <si>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</si>
  <si>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</si>
  <si>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</si>
  <si>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</si>
  <si>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</si>
  <si>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</si>
  <si>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</si>
  <si>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</si>
  <si>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</si>
  <si>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</si>
  <si>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</si>
  <si>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</si>
  <si>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</si>
  <si>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</si>
  <si>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</si>
  <si>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</si>
  <si>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</si>
  <si>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</si>
  <si>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</si>
  <si>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</si>
  <si>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</si>
  <si>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</si>
  <si>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</si>
  <si>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</si>
  <si>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</si>
  <si>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</si>
  <si>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</si>
  <si>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</si>
  <si>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</si>
  <si>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</si>
  <si>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</si>
  <si>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</si>
  <si>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</si>
  <si>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</si>
  <si>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</si>
  <si>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</si>
  <si>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</si>
  <si>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</si>
  <si>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</si>
  <si>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</si>
  <si>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</si>
  <si>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</si>
  <si>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</si>
  <si>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</si>
  <si>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</si>
  <si>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</si>
  <si>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</si>
  <si>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</si>
  <si>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</si>
  <si>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</si>
  <si>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</si>
  <si>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</si>
  <si>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</si>
  <si>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</si>
  <si>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</si>
  <si>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</si>
  <si>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</si>
  <si>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</si>
  <si>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</si>
  <si>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</si>
  <si>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</si>
  <si>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</si>
  <si>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</si>
  <si>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</si>
  <si>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</si>
  <si>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</si>
  <si>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</si>
  <si>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</si>
  <si>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</si>
  <si>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</si>
  <si>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</si>
  <si>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</si>
  <si>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</si>
  <si>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</si>
  <si>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</si>
  <si>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</si>
  <si>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</si>
  <si>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</si>
  <si>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</si>
  <si>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</si>
  <si>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</si>
  <si>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</si>
  <si>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</si>
  <si>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</si>
  <si>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</si>
  <si>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</si>
  <si>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</si>
  <si>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</si>
  <si>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</si>
  <si>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</si>
  <si>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</si>
  <si>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</si>
  <si>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</si>
  <si>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</si>
  <si>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</si>
  <si>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</si>
  <si>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</si>
  <si>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</si>
  <si>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</si>
  <si>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</si>
  <si>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</si>
  <si>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</si>
  <si>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</si>
  <si>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</si>
  <si>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</si>
  <si>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</si>
  <si>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</si>
  <si>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</si>
  <si>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</si>
  <si>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</si>
  <si>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</si>
  <si>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</si>
  <si>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</si>
  <si>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</si>
  <si>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</si>
  <si>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</si>
  <si>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</si>
  <si>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</si>
  <si>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</si>
  <si>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</si>
  <si>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</si>
  <si>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</si>
  <si>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</si>
  <si>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</si>
  <si>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</si>
  <si>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</si>
  <si>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</si>
  <si>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</si>
  <si>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</si>
  <si>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</si>
  <si>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</si>
  <si>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</si>
  <si>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</si>
  <si>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</si>
  <si>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</si>
  <si>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</si>
  <si>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</si>
  <si>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</si>
  <si>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</si>
  <si>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</si>
  <si>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</si>
  <si>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</si>
  <si>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</si>
  <si>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</si>
  <si>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</si>
  <si>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</si>
  <si>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</si>
  <si>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</si>
  <si>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</si>
  <si>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</si>
  <si>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</si>
  <si>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</si>
  <si>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</si>
  <si>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</si>
  <si>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</si>
  <si>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</si>
  <si>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</si>
  <si>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</si>
  <si>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</si>
  <si>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</si>
  <si>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</si>
  <si>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</si>
  <si>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</si>
  <si>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</si>
  <si>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</si>
  <si>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</si>
  <si>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</si>
  <si>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</si>
  <si>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</si>
  <si>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</si>
  <si>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</si>
  <si>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</si>
  <si>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</si>
  <si>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</si>
  <si>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</si>
  <si>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</si>
  <si>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</si>
  <si>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</si>
  <si>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</si>
  <si>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</si>
  <si>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</si>
  <si>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</si>
  <si>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</si>
  <si>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</si>
  <si>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</si>
  <si>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</si>
  <si>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</si>
  <si>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</si>
  <si>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</si>
  <si>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</si>
  <si>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</si>
  <si>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</si>
  <si>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</si>
  <si>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</si>
  <si>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</si>
  <si>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</si>
  <si>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</si>
  <si>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</si>
  <si>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</si>
  <si>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</si>
  <si>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</si>
  <si>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</si>
  <si>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</si>
  <si>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</si>
  <si>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</si>
  <si>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</si>
  <si>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</si>
  <si>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</si>
  <si>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</si>
  <si>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</si>
  <si>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</si>
  <si>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</si>
  <si>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</si>
  <si>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</si>
  <si>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</si>
  <si>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</si>
  <si>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</si>
  <si>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</si>
  <si>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</si>
  <si>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</si>
  <si>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</si>
  <si>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</si>
  <si>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</si>
  <si>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</si>
  <si>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</si>
  <si>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</si>
  <si>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</si>
  <si>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</si>
  <si>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</si>
  <si>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</si>
  <si>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</si>
  <si>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</si>
  <si>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</si>
  <si>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</si>
  <si>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</si>
  <si>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</si>
  <si>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</si>
  <si>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</si>
  <si>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</si>
  <si>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</si>
  <si>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</si>
  <si>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</si>
  <si>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</si>
  <si>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</si>
  <si>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</si>
  <si>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</si>
  <si>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</si>
  <si>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</si>
  <si>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</si>
  <si>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</si>
  <si>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</si>
  <si>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</si>
  <si>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</si>
  <si>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</si>
  <si>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</si>
  <si>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</si>
  <si>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</si>
  <si>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</si>
  <si>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</si>
  <si>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</si>
  <si>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</si>
  <si>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</si>
  <si>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</si>
  <si>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</si>
  <si>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</si>
  <si>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</si>
  <si>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</si>
  <si>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</si>
  <si>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</si>
  <si>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</si>
  <si>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</si>
  <si>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</si>
  <si>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</si>
  <si>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</si>
  <si>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</si>
  <si>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</si>
  <si>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</si>
  <si>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</si>
  <si>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</si>
  <si>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</si>
  <si>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</si>
  <si>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</si>
  <si>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</si>
  <si>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</si>
  <si>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</si>
  <si>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</si>
  <si>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</si>
  <si>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</si>
  <si>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</si>
  <si>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</si>
  <si>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</si>
  <si>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</si>
  <si>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</si>
  <si>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</si>
  <si>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</si>
  <si>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</si>
  <si>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</si>
  <si>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</si>
  <si>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</si>
  <si>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</si>
  <si>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</si>
  <si>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</si>
  <si>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</si>
  <si>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</si>
  <si>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</si>
  <si>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</si>
  <si>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</si>
  <si>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</si>
  <si>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</si>
  <si>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</si>
  <si>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</si>
  <si>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</si>
  <si>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</si>
  <si>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</si>
  <si>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</si>
  <si>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</si>
  <si>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</si>
  <si>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</si>
  <si>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</si>
  <si>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</si>
  <si>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</si>
  <si>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</si>
  <si>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</si>
  <si>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</si>
  <si>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</si>
  <si>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</si>
  <si>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</si>
  <si>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</si>
  <si>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</si>
  <si>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</si>
  <si>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</si>
  <si>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</si>
  <si>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</si>
  <si>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</si>
  <si>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</si>
  <si>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</si>
  <si>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</si>
  <si>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</si>
  <si>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</si>
  <si>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</si>
  <si>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</si>
  <si>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</si>
  <si>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</si>
  <si>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</si>
  <si>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</si>
  <si>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</si>
  <si>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</si>
  <si>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</si>
  <si>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</si>
  <si>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</si>
  <si>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</si>
  <si>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</si>
  <si>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</si>
  <si>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</si>
  <si>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</si>
  <si>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</si>
  <si>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</si>
  <si>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</si>
  <si>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</si>
  <si>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</si>
  <si>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</si>
  <si>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</si>
  <si>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</si>
  <si>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</si>
  <si>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</si>
  <si>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</si>
  <si>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</si>
  <si>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</si>
  <si>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</si>
  <si>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</si>
  <si>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</si>
  <si>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</si>
  <si>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</si>
  <si>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</si>
  <si>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</si>
  <si>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</si>
  <si>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</si>
  <si>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</si>
  <si>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</si>
  <si>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</si>
  <si>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</si>
  <si>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</si>
  <si>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</si>
  <si>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</si>
  <si>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</si>
  <si>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</si>
  <si>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</si>
  <si>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</si>
  <si>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</si>
  <si>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</si>
  <si>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</si>
  <si>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</si>
  <si>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</si>
  <si>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</si>
  <si>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</si>
  <si>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</si>
  <si>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</si>
  <si>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</si>
  <si>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</si>
  <si>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</si>
  <si>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</si>
  <si>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</si>
  <si>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</si>
  <si>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</si>
  <si>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</si>
  <si>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</si>
  <si>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</si>
  <si>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</si>
  <si>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</si>
  <si>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</si>
  <si>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</si>
  <si>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</si>
  <si>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</si>
  <si>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</si>
  <si>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</si>
  <si>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</si>
  <si>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</si>
  <si>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</si>
  <si>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</si>
  <si>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</si>
  <si>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</si>
  <si>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</si>
  <si>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</si>
  <si>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</si>
  <si>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</si>
  <si>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</si>
  <si>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</si>
  <si>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</si>
  <si>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</si>
  <si>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</si>
  <si>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</si>
  <si>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</si>
  <si>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</si>
  <si>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</si>
  <si>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</si>
  <si>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</si>
  <si>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</si>
  <si>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</si>
  <si>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</si>
  <si>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</si>
  <si>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</si>
  <si>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</si>
  <si>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</si>
  <si>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</si>
  <si>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</si>
  <si>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</si>
  <si>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</si>
  <si>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</si>
  <si>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</si>
  <si>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</si>
  <si>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</si>
  <si>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</si>
  <si>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</si>
  <si>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</si>
  <si>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</si>
  <si>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</si>
  <si>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</si>
  <si>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</si>
  <si>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</si>
  <si>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</si>
  <si>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</si>
  <si>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</si>
  <si>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</si>
  <si>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</si>
  <si>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</si>
  <si>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</si>
  <si>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</si>
  <si>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</si>
  <si>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</si>
  <si>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</si>
  <si>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</si>
  <si>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</si>
  <si>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</si>
  <si>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</si>
  <si>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</si>
  <si>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</si>
  <si>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</si>
  <si>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</si>
  <si>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</si>
  <si>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</si>
  <si>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</si>
  <si>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</si>
  <si>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</si>
  <si>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</si>
  <si>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</si>
  <si>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</si>
  <si>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</si>
  <si>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</si>
  <si>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</si>
  <si>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</si>
  <si>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</si>
  <si>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</si>
  <si>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</si>
  <si>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</si>
  <si>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</si>
  <si>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</si>
  <si>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</si>
  <si>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</si>
  <si>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</si>
  <si>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</si>
  <si>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</si>
  <si>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</si>
  <si>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</si>
  <si>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</si>
  <si>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</si>
  <si>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</si>
  <si>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</si>
  <si>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</si>
  <si>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</si>
  <si>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</si>
  <si>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</si>
  <si>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</si>
  <si>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</si>
  <si>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</si>
  <si>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</si>
  <si>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</si>
  <si>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</si>
  <si>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</si>
  <si>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</si>
  <si>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</si>
  <si>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</si>
  <si>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</si>
  <si>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</si>
  <si>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</si>
  <si>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</si>
  <si>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</si>
  <si>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</si>
  <si>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</si>
  <si>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</si>
  <si>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</si>
  <si>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</si>
  <si>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</si>
  <si>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</si>
  <si>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</si>
  <si>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</si>
  <si>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</si>
  <si>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</si>
  <si>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</si>
  <si>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</si>
  <si>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</si>
  <si>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</si>
  <si>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</si>
  <si>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</si>
  <si>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</si>
  <si>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</si>
  <si>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</si>
  <si>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</si>
  <si>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</si>
  <si>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</si>
  <si>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</si>
  <si>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</si>
  <si>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</si>
  <si>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</si>
  <si>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</si>
  <si>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</si>
  <si>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</si>
  <si>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</si>
  <si>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</si>
  <si>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</si>
  <si>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</si>
  <si>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</si>
  <si>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</si>
  <si>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</si>
  <si>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</si>
  <si>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</si>
  <si>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</si>
  <si>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</si>
  <si>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</si>
  <si>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</si>
  <si>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</si>
  <si>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</si>
  <si>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</si>
  <si>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</si>
  <si>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</si>
  <si>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</si>
  <si>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</si>
  <si>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</si>
  <si>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</si>
  <si>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</si>
  <si>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</si>
  <si>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</si>
  <si>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</si>
  <si>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</si>
  <si>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</si>
  <si>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</si>
  <si>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</si>
  <si>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</si>
  <si>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</si>
  <si>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</si>
  <si>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</si>
  <si>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</si>
  <si>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</si>
  <si>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</si>
  <si>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</si>
  <si>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</si>
  <si>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</si>
  <si>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</si>
  <si>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</si>
  <si>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</si>
  <si>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</si>
  <si>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</si>
  <si>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</si>
  <si>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</si>
  <si>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</si>
  <si>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</si>
  <si>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</si>
  <si>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</si>
  <si>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</si>
  <si>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</si>
  <si>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</si>
  <si>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</si>
  <si>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</si>
  <si>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</si>
  <si>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</si>
  <si>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</si>
  <si>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</si>
  <si>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</si>
  <si>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</si>
  <si>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</si>
  <si>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</si>
  <si>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</si>
  <si>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</si>
  <si>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</si>
  <si>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</si>
  <si>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</si>
  <si>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</si>
  <si>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</si>
  <si>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</si>
  <si>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</si>
  <si>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</si>
  <si>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</si>
  <si>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</si>
  <si>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</si>
  <si>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</si>
  <si>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</si>
  <si>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</si>
  <si>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</si>
  <si>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</si>
  <si>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</si>
  <si>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</si>
  <si>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</si>
  <si>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</si>
  <si>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</si>
  <si>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</si>
  <si>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</si>
  <si>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</si>
  <si>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</si>
  <si>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</si>
  <si>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</si>
  <si>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</si>
  <si>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</si>
  <si>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</si>
  <si>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</si>
  <si>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</si>
  <si>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</si>
  <si>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</si>
  <si>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</si>
  <si>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</si>
  <si>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</si>
  <si>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</si>
  <si>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</si>
  <si>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</si>
  <si>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</si>
  <si>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</si>
  <si>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</si>
  <si>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</si>
  <si>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</si>
  <si>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</si>
  <si>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</si>
  <si>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</si>
  <si>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</si>
  <si>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</si>
  <si>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</si>
  <si>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</si>
  <si>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</si>
  <si>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</si>
  <si>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</si>
  <si>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</si>
  <si>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</si>
  <si>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</si>
  <si>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</si>
  <si>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</si>
  <si>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</si>
  <si>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</si>
  <si>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</si>
  <si>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</si>
  <si>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</si>
  <si>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</si>
  <si>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</si>
  <si>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</si>
  <si>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</si>
  <si>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</si>
  <si>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</si>
  <si>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</si>
  <si>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</si>
  <si>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</si>
  <si>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</si>
  <si>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</si>
  <si>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</si>
  <si>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</si>
  <si>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</si>
  <si>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</si>
  <si>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</si>
  <si>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</si>
  <si>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</si>
  <si>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</si>
  <si>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</si>
  <si>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</si>
  <si>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</si>
  <si>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</si>
  <si>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</si>
  <si>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</si>
  <si>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</si>
  <si>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</si>
  <si>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</si>
  <si>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</si>
  <si>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</si>
  <si>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</si>
  <si>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</si>
  <si>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</si>
  <si>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</si>
  <si>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</si>
  <si>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</si>
  <si>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</si>
  <si>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</si>
  <si>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</si>
  <si>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</si>
  <si>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</si>
  <si>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</si>
  <si>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</si>
  <si>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</si>
  <si>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</si>
  <si>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</si>
  <si>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</si>
  <si>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</si>
  <si>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</si>
  <si>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</si>
  <si>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</si>
  <si>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</si>
  <si>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</si>
  <si>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</si>
  <si>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</si>
  <si>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</si>
  <si>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</si>
  <si>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</si>
  <si>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</si>
  <si>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</si>
  <si>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</si>
  <si>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</si>
  <si>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</si>
  <si>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</si>
  <si>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</si>
  <si>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</si>
  <si>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</si>
  <si>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</si>
  <si>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</si>
  <si>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</si>
  <si>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</si>
  <si>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</si>
  <si>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</si>
  <si>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</si>
  <si>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</si>
  <si>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</si>
  <si>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</si>
  <si>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</si>
  <si>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</si>
  <si>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</si>
  <si>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</si>
  <si>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</si>
  <si>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</si>
  <si>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</si>
  <si>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</si>
  <si>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</si>
  <si>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</si>
  <si>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</si>
  <si>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</si>
  <si>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</si>
  <si>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</si>
  <si>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</si>
  <si>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</si>
  <si>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</si>
  <si>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</si>
  <si>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</si>
  <si>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</si>
  <si>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</si>
  <si>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</si>
  <si>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</si>
  <si>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</si>
  <si>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</si>
  <si>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</si>
  <si>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</si>
  <si>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</si>
  <si>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</si>
  <si>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</si>
  <si>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</si>
  <si>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</si>
  <si>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</si>
  <si>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</si>
  <si>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</si>
  <si>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</si>
  <si>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</si>
  <si>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</si>
  <si>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</si>
  <si>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</si>
  <si>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</si>
  <si>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</si>
  <si>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</si>
  <si>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</si>
  <si>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</si>
  <si>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</si>
  <si>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</si>
  <si>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</si>
  <si>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</si>
  <si>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</si>
  <si>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</si>
  <si>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</si>
  <si>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</si>
  <si>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</si>
  <si>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</si>
  <si>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</si>
  <si>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</si>
  <si>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</si>
  <si>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</si>
  <si>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</si>
  <si>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</si>
  <si>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</si>
  <si>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</si>
  <si>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</si>
  <si>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</si>
  <si>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</si>
  <si>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</si>
  <si>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</si>
  <si>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</si>
  <si>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</si>
  <si>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</si>
  <si>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</si>
  <si>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</si>
  <si>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</si>
  <si>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</si>
  <si>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</si>
  <si>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</si>
  <si>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</si>
  <si>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</si>
  <si>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</si>
  <si>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</si>
  <si>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</si>
  <si>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</si>
  <si>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</si>
  <si>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</si>
  <si>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</si>
  <si>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</si>
  <si>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</si>
  <si>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</si>
  <si>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</si>
  <si>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</si>
  <si>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</si>
  <si>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</si>
  <si>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</si>
  <si>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</si>
  <si>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</si>
  <si>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</si>
  <si>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</si>
  <si>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</si>
  <si>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</si>
  <si>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</si>
  <si>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</si>
  <si>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</si>
  <si>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</si>
  <si>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</si>
  <si>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</si>
  <si>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</si>
  <si>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</si>
  <si>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</si>
  <si>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</si>
  <si>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</si>
  <si>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</si>
  <si>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</si>
  <si>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</si>
  <si>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</si>
  <si>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</si>
  <si>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</si>
  <si>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</si>
  <si>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</si>
  <si>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</si>
  <si>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</si>
  <si>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</si>
  <si>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</si>
  <si>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</si>
  <si>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</si>
  <si>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</si>
  <si>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</si>
  <si>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</si>
  <si>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</si>
  <si>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</si>
  <si>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</si>
  <si>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</si>
  <si>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</si>
  <si>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</si>
  <si>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</si>
  <si>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</si>
  <si>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</si>
  <si>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</si>
  <si>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</si>
  <si>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</si>
  <si>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</si>
  <si>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</si>
  <si>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</si>
  <si>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</si>
  <si>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</si>
  <si>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</si>
  <si>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</si>
  <si>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</si>
  <si>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</si>
  <si>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</si>
  <si>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</si>
  <si>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</si>
  <si>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</si>
  <si>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</si>
  <si>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</si>
  <si>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</si>
  <si>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</si>
  <si>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</si>
  <si>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</si>
  <si>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</si>
  <si>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</si>
  <si>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</si>
  <si>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</si>
  <si>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</si>
  <si>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</si>
  <si>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</si>
  <si>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</si>
  <si>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</si>
  <si>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</si>
  <si>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</si>
  <si>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</si>
  <si>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</si>
  <si>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</si>
  <si>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</si>
  <si>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</si>
  <si>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</si>
  <si>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</si>
  <si>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</si>
  <si>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</si>
  <si>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</si>
  <si>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</si>
  <si>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</si>
  <si>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</si>
  <si>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</si>
  <si>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</si>
  <si>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</si>
  <si>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</si>
  <si>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</si>
  <si>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</si>
  <si>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</si>
  <si>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</si>
  <si>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</si>
  <si>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</si>
  <si>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</si>
  <si>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</si>
  <si>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</si>
  <si>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</si>
  <si>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</si>
  <si>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</si>
  <si>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</si>
  <si>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</si>
  <si>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</si>
  <si>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</si>
  <si>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</si>
  <si>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</si>
  <si>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</si>
  <si>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</si>
  <si>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</si>
  <si>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</si>
  <si>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</si>
  <si>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</si>
  <si>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</si>
  <si>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</si>
  <si>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</si>
  <si>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</si>
  <si>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</si>
  <si>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</si>
  <si>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</si>
  <si>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</si>
  <si>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</si>
  <si>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</si>
  <si>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</si>
  <si>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</si>
  <si>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</si>
  <si>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</si>
  <si>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</si>
  <si>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</si>
  <si>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</si>
  <si>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</si>
  <si>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</si>
  <si>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</si>
  <si>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</si>
  <si>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</si>
  <si>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</si>
  <si>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</si>
  <si>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</si>
  <si>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</si>
  <si>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</si>
  <si>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</si>
  <si>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</si>
  <si>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</si>
  <si>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</si>
  <si>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</si>
  <si>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</si>
  <si>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</si>
  <si>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</si>
  <si>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</si>
  <si>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</si>
  <si>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</si>
  <si>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</si>
  <si>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</si>
  <si>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</si>
  <si>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</si>
  <si>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</si>
  <si>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</si>
  <si>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</si>
  <si>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</si>
  <si>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</si>
  <si>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</si>
  <si>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</si>
  <si>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</si>
  <si>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</si>
  <si>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</si>
  <si>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</si>
  <si>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</si>
  <si>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</si>
  <si>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</si>
  <si>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</si>
  <si>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</si>
  <si>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</si>
  <si>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</si>
  <si>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</si>
  <si>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</si>
  <si>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</si>
  <si>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</si>
  <si>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</si>
  <si>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</si>
  <si>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</si>
  <si>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</si>
  <si>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</si>
  <si>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</si>
  <si>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</si>
  <si>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</si>
  <si>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</si>
  <si>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</si>
  <si>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</si>
  <si>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</si>
  <si>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</si>
  <si>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</si>
  <si>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</si>
  <si>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</si>
  <si>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</si>
  <si>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</si>
  <si>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</si>
  <si>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</si>
  <si>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</si>
  <si>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</si>
  <si>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</si>
  <si>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</si>
  <si>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</si>
  <si>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</si>
  <si>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</si>
  <si>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</si>
  <si>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</si>
  <si>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</si>
  <si>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</si>
  <si>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</si>
  <si>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</si>
  <si>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</si>
  <si>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</si>
  <si>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</si>
  <si>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</si>
  <si>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</si>
  <si>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</si>
  <si>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</si>
  <si>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</si>
  <si>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</si>
  <si>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</si>
  <si>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</si>
  <si>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</si>
  <si>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</si>
  <si>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</si>
  <si>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</si>
  <si>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</si>
  <si>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</si>
  <si>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</si>
  <si>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</si>
  <si>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</si>
  <si>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</si>
  <si>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</si>
  <si>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</si>
  <si>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</si>
  <si>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</si>
  <si>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</si>
  <si>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</si>
  <si>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</si>
  <si>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</si>
  <si>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</si>
  <si>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</si>
  <si>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</si>
  <si>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</si>
  <si>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</si>
  <si>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</si>
  <si>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</si>
  <si>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</si>
  <si>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</si>
  <si>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</si>
  <si>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</si>
  <si>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</si>
  <si>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</si>
  <si>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</si>
  <si>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</si>
  <si>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</si>
  <si>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</si>
  <si>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</si>
  <si>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</si>
  <si>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</si>
  <si>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</si>
  <si>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</si>
  <si>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</si>
  <si>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</si>
  <si>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</si>
  <si>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</si>
  <si>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</si>
  <si>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</si>
  <si>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</si>
  <si>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</si>
  <si>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</si>
  <si>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</si>
  <si>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</si>
  <si>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</si>
  <si>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</si>
  <si>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</si>
  <si>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</si>
  <si>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</si>
  <si>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</si>
  <si>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</si>
  <si>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</si>
  <si>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</si>
  <si>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</si>
  <si>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</si>
  <si>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</si>
  <si>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</si>
  <si>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</si>
  <si>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</si>
  <si>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</si>
  <si>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</si>
  <si>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</si>
  <si>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</si>
  <si>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</si>
  <si>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</si>
  <si>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</si>
  <si>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</si>
  <si>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</si>
  <si>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</si>
  <si>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</si>
  <si>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</si>
  <si>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</si>
  <si>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</si>
  <si>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</si>
  <si>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</si>
  <si>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</si>
  <si>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</si>
  <si>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</si>
  <si>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</si>
  <si>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</si>
  <si>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</si>
  <si>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</si>
  <si>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</si>
  <si>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</si>
  <si>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</si>
  <si>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</si>
  <si>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</si>
  <si>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</si>
  <si>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</si>
  <si>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</si>
  <si>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</si>
  <si>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</si>
  <si>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</si>
  <si>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</si>
  <si>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</si>
  <si>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</si>
  <si>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</si>
  <si>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</si>
  <si>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</si>
  <si>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</si>
  <si>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</si>
  <si>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</si>
  <si>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</si>
  <si>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</si>
  <si>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</si>
  <si>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</si>
  <si>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</si>
  <si>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</si>
  <si>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</si>
  <si>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</si>
  <si>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</si>
  <si>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</si>
  <si>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</si>
  <si>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</si>
  <si>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</si>
  <si>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</si>
  <si>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</si>
  <si>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</si>
  <si>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</si>
  <si>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</si>
  <si>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</si>
  <si>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</si>
  <si>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</si>
  <si>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</si>
  <si>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</si>
  <si>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</si>
  <si>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</si>
  <si>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</si>
  <si>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</si>
  <si>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</si>
  <si>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</si>
  <si>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</si>
  <si>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</si>
  <si>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</si>
  <si>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</si>
  <si>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</si>
  <si>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</si>
  <si>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</si>
  <si>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</si>
  <si>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</si>
  <si>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</si>
  <si>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</si>
  <si>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</si>
  <si>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</si>
  <si>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</si>
  <si>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</si>
  <si>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</si>
  <si>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</si>
  <si>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</si>
  <si>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</si>
  <si>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</si>
  <si>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</si>
  <si>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</si>
  <si>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</si>
  <si>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</si>
  <si>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</si>
  <si>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</si>
  <si>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</si>
  <si>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</si>
  <si>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</si>
  <si>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</si>
  <si>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</si>
  <si>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</si>
  <si>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</si>
  <si>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</si>
  <si>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</si>
  <si>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</si>
  <si>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</si>
  <si>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</si>
  <si>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</si>
  <si>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</si>
  <si>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</si>
  <si>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</si>
  <si>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</si>
  <si>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</si>
  <si>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</si>
  <si>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</si>
  <si>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</si>
  <si>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</si>
  <si>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</si>
  <si>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</si>
  <si>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</si>
  <si>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</si>
  <si>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</si>
  <si>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</si>
  <si>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</si>
  <si>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</si>
  <si>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</si>
  <si>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</si>
  <si>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</si>
  <si>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</si>
  <si>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</si>
  <si>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</si>
  <si>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</si>
  <si>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</si>
  <si>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</si>
  <si>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</si>
  <si>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</si>
  <si>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</si>
  <si>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</si>
  <si>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</si>
  <si>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</si>
  <si>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</si>
  <si>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</si>
  <si>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</si>
  <si>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</si>
  <si>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</si>
  <si>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</si>
  <si>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</si>
  <si>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</si>
  <si>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</si>
  <si>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</si>
  <si>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</si>
  <si>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</si>
  <si>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</si>
  <si>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</si>
  <si>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</si>
  <si>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</si>
  <si>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</si>
  <si>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</si>
  <si>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</si>
  <si>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</si>
  <si>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</si>
  <si>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</si>
  <si>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</si>
  <si>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</si>
  <si>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</si>
  <si>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</si>
  <si>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</si>
  <si>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</si>
  <si>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</si>
  <si>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</si>
  <si>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</si>
  <si>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</si>
  <si>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</si>
  <si>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</si>
  <si>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</si>
  <si>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</si>
  <si>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</si>
  <si>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</si>
  <si>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</si>
  <si>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</si>
  <si>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</si>
  <si>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</si>
  <si>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</si>
  <si>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</si>
  <si>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</si>
  <si>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</si>
  <si>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</si>
  <si>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</si>
  <si>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</si>
  <si>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</si>
  <si>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</si>
  <si>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</si>
  <si>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</si>
  <si>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</si>
  <si>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</si>
  <si>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</si>
  <si>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</si>
  <si>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</si>
  <si>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</si>
  <si>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</si>
  <si>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</si>
  <si>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</si>
  <si>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</si>
  <si>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</si>
  <si>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</si>
  <si>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</si>
  <si>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</si>
  <si>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</si>
  <si>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</si>
  <si>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</si>
  <si>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</si>
  <si>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</si>
  <si>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</si>
  <si>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</si>
  <si>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</si>
  <si>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</si>
  <si>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</si>
  <si>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</si>
  <si>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</si>
  <si>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</si>
  <si>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</si>
  <si>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</si>
  <si>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</si>
  <si>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</si>
  <si>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</si>
  <si>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</si>
  <si>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</si>
  <si>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</si>
  <si>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</si>
  <si>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</si>
  <si>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</si>
  <si>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</si>
  <si>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</si>
  <si>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</si>
  <si>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</si>
  <si>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</si>
  <si>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</si>
  <si>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</si>
  <si>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</si>
  <si>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</si>
  <si>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</si>
  <si>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</si>
  <si>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</si>
  <si>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</si>
  <si>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</si>
  <si>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</si>
  <si>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</si>
  <si>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</si>
  <si>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</si>
  <si>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</si>
  <si>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</si>
  <si>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</si>
  <si>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</si>
  <si>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</si>
  <si>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</si>
  <si>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</si>
  <si>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</si>
  <si>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</si>
  <si>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</si>
  <si>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</si>
  <si>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</si>
  <si>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</si>
  <si>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</si>
  <si>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</si>
  <si>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</si>
  <si>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</si>
  <si>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</si>
  <si>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</si>
  <si>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</si>
  <si>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</si>
  <si>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</si>
  <si>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</si>
  <si>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</si>
  <si>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</si>
  <si>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</si>
  <si>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</si>
  <si>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</si>
  <si>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</si>
  <si>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</si>
  <si>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</si>
  <si>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</si>
  <si>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</si>
  <si>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</si>
  <si>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</si>
  <si>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</si>
  <si>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</si>
  <si>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</si>
  <si>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</si>
  <si>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</si>
  <si>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</si>
  <si>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</si>
  <si>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</si>
  <si>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</si>
  <si>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</si>
  <si>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</si>
  <si>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</si>
  <si>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</si>
  <si>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</si>
  <si>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</si>
  <si>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</si>
  <si>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</si>
  <si>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</si>
  <si>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</si>
  <si>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</si>
  <si>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</si>
  <si>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</si>
  <si>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</si>
  <si>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</si>
  <si>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</si>
  <si>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</si>
  <si>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</si>
  <si>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</si>
  <si>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</si>
  <si>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</si>
  <si>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</si>
  <si>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</si>
  <si>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</si>
  <si>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</si>
  <si>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</si>
  <si>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</si>
  <si>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</si>
  <si>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</si>
  <si>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</si>
  <si>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</si>
  <si>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</si>
  <si>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</si>
  <si>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</si>
  <si>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</si>
  <si>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</si>
  <si>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</si>
  <si>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</si>
  <si>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</si>
  <si>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</si>
  <si>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</si>
  <si>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</si>
  <si>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</si>
  <si>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</si>
  <si>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</si>
  <si>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</si>
  <si>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</si>
  <si>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</si>
  <si>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</si>
  <si>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</si>
  <si>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</si>
  <si>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</si>
  <si>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</si>
  <si>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</si>
  <si>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</si>
  <si>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</si>
  <si>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</si>
  <si>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</si>
  <si>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</si>
  <si>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</si>
  <si>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</si>
  <si>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</si>
  <si>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</si>
  <si>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</si>
  <si>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</si>
  <si>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</si>
  <si>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</si>
  <si>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</si>
  <si>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</si>
  <si>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</si>
  <si>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</si>
  <si>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</si>
  <si>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</si>
  <si>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</si>
  <si>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</si>
  <si>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</si>
  <si>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</si>
  <si>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</si>
  <si>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</si>
  <si>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</si>
  <si>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</si>
  <si>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</si>
  <si>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</si>
  <si>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</si>
  <si>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</si>
  <si>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</si>
  <si>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</si>
  <si>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</si>
  <si>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</si>
  <si>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</si>
  <si>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</si>
  <si>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</si>
  <si>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</si>
  <si>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</si>
  <si>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</si>
  <si>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</si>
  <si>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</si>
  <si>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</si>
  <si>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</si>
  <si>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</si>
  <si>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</si>
  <si>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</si>
  <si>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</si>
  <si>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</si>
  <si>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</si>
  <si>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</si>
  <si>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</si>
  <si>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</si>
  <si>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</si>
  <si>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</si>
  <si>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</si>
  <si>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</si>
  <si>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</si>
  <si>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</si>
  <si>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</si>
  <si>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</si>
  <si>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</si>
  <si>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</si>
  <si>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</si>
  <si>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</si>
  <si>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</si>
  <si>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</si>
  <si>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</si>
  <si>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</si>
  <si>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</si>
  <si>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</si>
  <si>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</si>
  <si>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</si>
  <si>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</si>
  <si>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</si>
  <si>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</si>
  <si>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</si>
  <si>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</si>
  <si>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</si>
  <si>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</si>
  <si>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</si>
  <si>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</si>
  <si>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</si>
  <si>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</si>
  <si>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</si>
  <si>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</si>
  <si>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</si>
  <si>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</si>
  <si>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</si>
  <si>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</si>
  <si>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</si>
  <si>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</si>
  <si>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</si>
  <si>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</si>
  <si>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</si>
  <si>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</si>
  <si>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</si>
  <si>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</si>
  <si>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</si>
  <si>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</si>
  <si>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</si>
  <si>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</si>
  <si>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</si>
  <si>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</si>
  <si>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</si>
  <si>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</si>
  <si>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</si>
  <si>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</si>
  <si>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</si>
  <si>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</si>
  <si>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</si>
  <si>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</si>
  <si>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</si>
  <si>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</si>
  <si>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</si>
  <si>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</si>
  <si>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</si>
  <si>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</si>
  <si>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</si>
  <si>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</si>
  <si>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</si>
  <si>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</si>
  <si>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</si>
  <si>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</si>
  <si>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</si>
  <si>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</si>
  <si>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</si>
  <si>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</si>
  <si>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</si>
  <si>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</si>
  <si>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</si>
  <si>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</si>
  <si>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</si>
  <si>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</si>
  <si>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</si>
  <si>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</si>
  <si>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</si>
  <si>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</si>
  <si>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</si>
  <si>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</si>
  <si>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</si>
  <si>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</si>
  <si>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</si>
  <si>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</si>
  <si>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</si>
  <si>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</si>
  <si>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</si>
  <si>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</si>
  <si>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</si>
  <si>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</si>
  <si>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</si>
  <si>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</si>
  <si>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</si>
  <si>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</si>
  <si>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</si>
  <si>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</si>
  <si>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</si>
  <si>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</si>
  <si>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</si>
  <si>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</si>
  <si>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</si>
  <si>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</si>
  <si>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</si>
  <si>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</si>
  <si>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</si>
  <si>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</si>
  <si>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</si>
  <si>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</si>
  <si>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</si>
  <si>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</si>
  <si>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</si>
  <si>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</si>
  <si>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</si>
  <si>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</si>
  <si>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</si>
  <si>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</si>
  <si>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</si>
  <si>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</si>
  <si>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</si>
  <si>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</si>
  <si>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</si>
  <si>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</si>
  <si>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</si>
  <si>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</si>
  <si>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</si>
  <si>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</si>
  <si>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</si>
  <si>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</si>
  <si>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</si>
  <si>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</si>
  <si>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</si>
  <si>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</si>
  <si>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</si>
  <si>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</si>
  <si>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</si>
  <si>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</si>
  <si>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</si>
  <si>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</si>
  <si>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</si>
  <si>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</si>
  <si>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</si>
  <si>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</si>
  <si>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</si>
  <si>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</si>
  <si>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</si>
  <si>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</si>
  <si>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</si>
  <si>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</si>
  <si>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</si>
  <si>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</si>
  <si>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</si>
  <si>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</si>
  <si>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</si>
  <si>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</si>
  <si>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</si>
  <si>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</si>
  <si>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</si>
  <si>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</si>
  <si>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</si>
  <si>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</si>
  <si>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</si>
  <si>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</si>
  <si>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</si>
  <si>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</si>
  <si>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</si>
  <si>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</si>
  <si>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</si>
  <si>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</si>
  <si>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</si>
  <si>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</si>
  <si>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</si>
  <si>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</si>
  <si>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</si>
  <si>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</si>
  <si>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</si>
  <si>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</si>
  <si>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</si>
  <si>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</si>
  <si>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</si>
  <si>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</si>
  <si>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</si>
  <si>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</si>
  <si>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</si>
  <si>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</si>
  <si>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</si>
  <si>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</si>
  <si>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</si>
  <si>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</si>
  <si>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</si>
  <si>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</si>
  <si>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</si>
  <si>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</si>
  <si>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</si>
  <si>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</si>
  <si>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</si>
  <si>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</si>
  <si>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</si>
  <si>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</si>
  <si>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</si>
  <si>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</si>
  <si>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</si>
  <si>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</si>
  <si>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</si>
  <si>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</si>
  <si>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</si>
  <si>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</si>
  <si>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</si>
  <si>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</si>
  <si>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</si>
  <si>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</si>
  <si>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</si>
  <si>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</si>
  <si>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</si>
  <si>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</si>
  <si>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</si>
  <si>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</si>
  <si>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</si>
  <si>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</si>
  <si>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</si>
  <si>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</si>
  <si>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</si>
  <si>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</si>
  <si>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</si>
  <si>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</si>
  <si>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</si>
  <si>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</si>
  <si>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</si>
  <si>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</si>
  <si>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</si>
  <si>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</si>
  <si>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</si>
  <si>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</si>
  <si>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</si>
  <si>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</si>
  <si>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</si>
  <si>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</si>
  <si>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</si>
  <si>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</si>
  <si>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</si>
  <si>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</si>
  <si>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</si>
  <si>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</si>
  <si>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</si>
  <si>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</si>
  <si>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</si>
  <si>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</si>
  <si>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</si>
  <si>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</si>
  <si>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</si>
  <si>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</si>
  <si>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</si>
  <si>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</si>
  <si>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</si>
  <si>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</si>
  <si>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</si>
  <si>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</si>
  <si>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</si>
  <si>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</si>
  <si>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</si>
  <si>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</si>
  <si>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</si>
  <si>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</si>
  <si>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</si>
  <si>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</si>
  <si>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</si>
  <si>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</si>
  <si>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</si>
  <si>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</si>
  <si>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</si>
  <si>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</si>
  <si>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</si>
  <si>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</si>
  <si>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</si>
  <si>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</si>
  <si>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</si>
  <si>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</si>
  <si>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</si>
  <si>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</si>
  <si>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</si>
  <si>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</si>
  <si>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</si>
  <si>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</si>
  <si>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</si>
  <si>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</si>
  <si>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</si>
  <si>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</si>
  <si>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</si>
  <si>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</si>
  <si>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</si>
  <si>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</si>
  <si>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</si>
  <si>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</si>
  <si>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</si>
  <si>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</si>
  <si>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</si>
  <si>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</si>
  <si>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</si>
  <si>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</si>
  <si>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</si>
  <si>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</si>
  <si>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</si>
  <si>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</si>
  <si>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</si>
  <si>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</si>
  <si>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</si>
  <si>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</si>
  <si>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</si>
  <si>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</si>
  <si>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</si>
  <si>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</si>
  <si>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</si>
  <si>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</si>
  <si>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</si>
  <si>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</si>
  <si>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</si>
  <si>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</si>
  <si>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</si>
  <si>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</si>
  <si>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</si>
  <si>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</si>
  <si>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</si>
  <si>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</si>
  <si>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</si>
  <si>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</si>
  <si>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</si>
  <si>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</si>
  <si>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</si>
  <si>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</si>
  <si>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</si>
  <si>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</si>
  <si>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</si>
  <si>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</si>
  <si>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</si>
  <si>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</si>
  <si>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</si>
  <si>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</si>
  <si>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</si>
  <si>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</si>
  <si>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</si>
  <si>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</si>
  <si>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</si>
  <si>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</si>
  <si>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</si>
  <si>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</si>
  <si>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</si>
  <si>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</si>
  <si>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</si>
  <si>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</si>
  <si>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</si>
  <si>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</si>
  <si>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</si>
  <si>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</si>
  <si>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</si>
  <si>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</si>
  <si>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</si>
  <si>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</si>
  <si>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</si>
  <si>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</si>
  <si>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</si>
  <si>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</si>
  <si>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</si>
  <si>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</si>
  <si>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</si>
  <si>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</si>
  <si>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</si>
  <si>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</si>
  <si>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</si>
  <si>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</si>
  <si>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</si>
  <si>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</si>
  <si>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</si>
  <si>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</si>
  <si>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</si>
  <si>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</si>
  <si>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</si>
  <si>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</si>
  <si>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</si>
  <si>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</si>
  <si>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</si>
  <si>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</si>
  <si>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</si>
  <si>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</si>
  <si>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</si>
  <si>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</si>
  <si>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</si>
  <si>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</si>
  <si>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</si>
  <si>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</si>
  <si>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</si>
  <si>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</si>
  <si>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</si>
  <si>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</si>
  <si>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</si>
  <si>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</si>
  <si>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</si>
  <si>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</si>
  <si>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</si>
  <si>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</si>
  <si>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</si>
  <si>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</si>
  <si>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</si>
  <si>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</si>
  <si>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</si>
  <si>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</si>
  <si>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</si>
  <si>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</si>
  <si>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</si>
  <si>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</si>
  <si>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</si>
  <si>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</si>
  <si>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</si>
  <si>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</si>
  <si>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</si>
  <si>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</si>
  <si>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</si>
  <si>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</si>
  <si>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</si>
  <si>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</si>
  <si>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</si>
  <si>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</si>
  <si>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</si>
  <si>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</si>
  <si>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</si>
  <si>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</si>
  <si>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</si>
  <si>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</si>
  <si>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</si>
  <si>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</si>
  <si>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</si>
  <si>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</si>
  <si>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</si>
  <si>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</si>
  <si>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</si>
  <si>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</si>
  <si>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</si>
  <si>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</si>
  <si>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</si>
  <si>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</si>
  <si>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</si>
  <si>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</si>
  <si>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</si>
  <si>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</si>
  <si>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</si>
  <si>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</si>
  <si>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</si>
  <si>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</si>
  <si>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</si>
  <si>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</si>
  <si>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</si>
  <si>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</si>
  <si>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</si>
  <si>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</si>
  <si>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</si>
  <si>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</si>
  <si>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</si>
  <si>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</si>
  <si>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</si>
  <si>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</si>
  <si>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</si>
  <si>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</si>
  <si>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</si>
  <si>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</si>
  <si>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</si>
  <si>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</si>
  <si>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</si>
  <si>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</si>
  <si>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</si>
  <si>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</si>
  <si>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</si>
  <si>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</si>
  <si>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</si>
  <si>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</si>
  <si>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</si>
  <si>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</si>
  <si>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</si>
  <si>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</si>
  <si>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</si>
  <si>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</si>
  <si>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</si>
  <si>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</si>
  <si>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</si>
  <si>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</si>
  <si>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</si>
  <si>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</si>
  <si>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</si>
  <si>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</si>
  <si>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</si>
  <si>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</si>
  <si>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</si>
  <si>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</si>
  <si>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</si>
  <si>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</si>
  <si>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</si>
  <si>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</si>
  <si>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</si>
  <si>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</si>
  <si>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</si>
  <si>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</si>
  <si>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</si>
  <si>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</si>
  <si>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</si>
  <si>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</si>
  <si>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</si>
  <si>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</si>
  <si>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</si>
  <si>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</si>
  <si>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</si>
  <si>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</si>
  <si>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</si>
  <si>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</si>
  <si>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</si>
  <si>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</si>
  <si>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</si>
  <si>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</si>
  <si>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</si>
  <si>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</si>
  <si>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</si>
  <si>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</si>
  <si>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</si>
  <si>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</si>
  <si>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</si>
  <si>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</si>
  <si>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</si>
  <si>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</si>
  <si>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</si>
  <si>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</si>
  <si>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</si>
  <si>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</si>
  <si>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</si>
  <si>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</si>
  <si>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</si>
  <si>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</si>
  <si>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</si>
  <si>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</si>
  <si>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</si>
  <si>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</si>
  <si>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</si>
  <si>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</si>
  <si>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</si>
  <si>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</si>
  <si>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</si>
  <si>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</si>
  <si>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</si>
  <si>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</si>
  <si>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</si>
  <si>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</si>
  <si>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</si>
  <si>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</si>
  <si>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</si>
  <si>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</si>
  <si>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</si>
  <si>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</si>
  <si>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</si>
  <si>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</si>
  <si>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</si>
  <si>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</si>
  <si>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</si>
  <si>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</si>
  <si>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</si>
  <si>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</si>
  <si>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</si>
  <si>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</si>
  <si>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</si>
  <si>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</si>
  <si>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</si>
  <si>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</si>
  <si>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</si>
  <si>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</si>
  <si>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</si>
  <si>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</si>
  <si>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</si>
  <si>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</si>
  <si>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</si>
  <si>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</si>
  <si>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</si>
  <si>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</si>
  <si>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</si>
  <si>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</si>
  <si>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</si>
  <si>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</si>
  <si>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</si>
  <si>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</si>
  <si>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</si>
  <si>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</si>
  <si>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</si>
  <si>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</si>
  <si>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</si>
  <si>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</si>
  <si>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</si>
  <si>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</si>
  <si>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</si>
  <si>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</si>
  <si>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</si>
  <si>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</si>
  <si>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</si>
  <si>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</si>
  <si>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</si>
  <si>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</si>
  <si>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</si>
  <si>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</si>
  <si>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</si>
  <si>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</si>
  <si>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</si>
  <si>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</si>
  <si>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</si>
  <si>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</si>
  <si>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</si>
  <si>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</si>
  <si>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</si>
  <si>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</si>
  <si>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</si>
  <si>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</si>
  <si>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</si>
  <si>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</si>
  <si>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</si>
  <si>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</si>
  <si>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</si>
  <si>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</si>
  <si>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</si>
  <si>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</si>
  <si>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</si>
  <si>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</si>
  <si>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</si>
  <si>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</si>
  <si>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</si>
  <si>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</si>
  <si>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</si>
  <si>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</si>
  <si>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</si>
  <si>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</si>
  <si>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</si>
  <si>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</si>
  <si>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</si>
  <si>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</si>
  <si>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</si>
  <si>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</si>
  <si>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</si>
  <si>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</si>
  <si>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</si>
  <si>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</si>
  <si>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</si>
  <si>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</si>
  <si>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</si>
  <si>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</si>
  <si>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</si>
  <si>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</si>
  <si>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</si>
  <si>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</si>
  <si>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</si>
  <si>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</si>
  <si>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</si>
  <si>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</si>
  <si>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</si>
  <si>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</si>
  <si>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</si>
  <si>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</si>
  <si>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</si>
  <si>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</si>
  <si>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</si>
  <si>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</si>
  <si>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</si>
  <si>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</si>
  <si>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</si>
  <si>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</si>
  <si>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</si>
  <si>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</si>
  <si>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</si>
  <si>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</si>
  <si>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</si>
  <si>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</si>
  <si>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</si>
  <si>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</si>
  <si>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</si>
  <si>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</si>
  <si>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</si>
  <si>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</si>
  <si>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</si>
  <si>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</si>
  <si>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</si>
  <si>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</si>
  <si>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</si>
  <si>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</si>
  <si>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</si>
  <si>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</si>
  <si>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</si>
  <si>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</si>
  <si>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</si>
  <si>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</si>
  <si>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</si>
  <si>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</si>
  <si>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</si>
  <si>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</si>
  <si>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</si>
  <si>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</si>
  <si>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</si>
  <si>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</si>
  <si>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</si>
  <si>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</si>
  <si>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</si>
  <si>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</si>
  <si>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</si>
  <si>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</si>
  <si>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</si>
  <si>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</si>
  <si>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</si>
  <si>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</si>
  <si>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</si>
  <si>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</si>
  <si>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</si>
  <si>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</si>
  <si>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</si>
  <si>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</si>
  <si>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</si>
  <si>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</si>
  <si>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</si>
  <si>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</si>
  <si>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</si>
  <si>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</si>
  <si>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</si>
  <si>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</si>
  <si>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</si>
  <si>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</si>
  <si>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</si>
  <si>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</si>
  <si>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</si>
  <si>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</si>
  <si>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</si>
  <si>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</si>
  <si>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</si>
  <si>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</si>
  <si>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</si>
  <si>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</si>
  <si>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</si>
  <si>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</si>
  <si>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</si>
  <si>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</si>
  <si>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</si>
  <si>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</si>
  <si>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</si>
  <si>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</si>
  <si>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</si>
  <si>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</si>
  <si>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</si>
  <si>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</si>
  <si>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</si>
  <si>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</si>
  <si>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</si>
  <si>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</si>
  <si>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</si>
  <si>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</si>
  <si>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</si>
  <si>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</si>
  <si>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</si>
  <si>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</si>
  <si>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</si>
  <si>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</si>
  <si>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</si>
  <si>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</si>
  <si>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</si>
  <si>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</si>
  <si>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</si>
  <si>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</si>
  <si>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</si>
  <si>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</si>
  <si>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</si>
  <si>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</si>
  <si>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</si>
  <si>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</si>
  <si>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</si>
  <si>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</si>
  <si>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</si>
  <si>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</si>
  <si>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</si>
  <si>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</si>
  <si>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</si>
  <si>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</si>
  <si>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</si>
  <si>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</si>
  <si>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</si>
  <si>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</si>
  <si>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</si>
  <si>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</si>
  <si>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</si>
  <si>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</si>
  <si>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</si>
  <si>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</si>
  <si>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</si>
  <si>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</si>
  <si>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</si>
  <si>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</si>
  <si>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</si>
  <si>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</si>
  <si>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</si>
  <si>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</si>
  <si>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</si>
  <si>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</si>
  <si>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</si>
  <si>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</si>
  <si>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</si>
  <si>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</si>
  <si>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</si>
  <si>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</si>
  <si>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</si>
  <si>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</si>
  <si>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</si>
  <si>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</si>
  <si>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</si>
  <si>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</si>
  <si>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</si>
  <si>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</si>
  <si>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</si>
  <si>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</si>
  <si>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</si>
  <si>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</si>
  <si>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</si>
  <si>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</si>
  <si>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</si>
  <si>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</si>
  <si>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</si>
  <si>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</si>
  <si>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</si>
  <si>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</si>
  <si>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</si>
  <si>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</si>
  <si>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</si>
  <si>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</si>
  <si>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</si>
  <si>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</si>
  <si>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</si>
  <si>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</si>
  <si>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</si>
  <si>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</si>
  <si>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</si>
  <si>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</si>
  <si>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</si>
  <si>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</si>
  <si>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</si>
  <si>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</si>
  <si>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</si>
  <si>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</si>
  <si>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</si>
  <si>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</si>
  <si>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</si>
  <si>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</si>
  <si>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</si>
  <si>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</si>
  <si>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</si>
  <si>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</si>
  <si>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</si>
  <si>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</si>
  <si>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</si>
  <si>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</si>
  <si>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</si>
  <si>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</si>
  <si>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</si>
  <si>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</si>
  <si>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</si>
  <si>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</si>
  <si>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</si>
  <si>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</si>
  <si>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</si>
  <si>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</si>
  <si>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</si>
  <si>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</si>
  <si>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</si>
  <si>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</si>
  <si>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</si>
  <si>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</si>
  <si>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</si>
  <si>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</si>
  <si>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</si>
  <si>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</si>
  <si>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</si>
  <si>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</si>
  <si>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</si>
  <si>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</si>
  <si>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</si>
  <si>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</si>
  <si>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</si>
  <si>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</si>
  <si>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</si>
  <si>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</si>
  <si>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</si>
  <si>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</si>
  <si>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</si>
  <si>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</si>
  <si>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</si>
  <si>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</si>
  <si>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</si>
  <si>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</si>
  <si>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</si>
  <si>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</si>
  <si>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</si>
  <si>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</si>
  <si>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</si>
  <si>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</si>
  <si>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</si>
  <si>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</si>
  <si>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</si>
  <si>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</si>
  <si>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</si>
  <si>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是</t>
  </si>
  <si>
    <t>地上</t>
  </si>
  <si>
    <t>办公</t>
    <phoneticPr fontId="7" type="noConversion"/>
  </si>
  <si>
    <t>成新度</t>
  </si>
  <si>
    <t>办公</t>
    <phoneticPr fontId="32" type="noConversion"/>
  </si>
  <si>
    <t>40-50（含）</t>
  </si>
  <si>
    <t>次干道</t>
  </si>
  <si>
    <t>高区</t>
  </si>
  <si>
    <t>中区</t>
  </si>
  <si>
    <t>低区</t>
  </si>
  <si>
    <t>标准写字楼</t>
  </si>
  <si>
    <t>钢混</t>
  </si>
  <si>
    <t>精装修</t>
  </si>
  <si>
    <t>甲级</t>
  </si>
  <si>
    <t>专业</t>
  </si>
  <si>
    <t>七通</t>
  </si>
  <si>
    <t>标准层高</t>
  </si>
  <si>
    <t>简装</t>
  </si>
  <si>
    <t>好</t>
  </si>
  <si>
    <t>有</t>
  </si>
  <si>
    <t>六通</t>
  </si>
  <si>
    <t>普通装修</t>
  </si>
  <si>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</si>
  <si>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</si>
  <si>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</si>
  <si>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</si>
  <si>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</si>
  <si>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</si>
  <si>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</si>
  <si>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</si>
  <si>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</si>
  <si>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</si>
  <si>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</si>
  <si>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</si>
  <si>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</si>
  <si>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</si>
  <si>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</si>
  <si>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</si>
  <si>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</si>
  <si>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</si>
  <si>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</si>
  <si>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</si>
  <si>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好</t>
    <phoneticPr fontId="143" type="noConversion"/>
  </si>
  <si>
    <t>售价</t>
  </si>
  <si>
    <t>项目局部</t>
  </si>
  <si>
    <t>比较法-办公</t>
  </si>
  <si>
    <t>按租金收入计税</t>
  </si>
  <si>
    <t>非生产用房</t>
  </si>
  <si>
    <t>否</t>
  </si>
  <si>
    <t>押二</t>
  </si>
  <si>
    <t>租金</t>
  </si>
  <si>
    <t>建筑类型</t>
    <phoneticPr fontId="3" type="noConversion"/>
  </si>
  <si>
    <t>跃层</t>
    <phoneticPr fontId="25" type="noConversion"/>
  </si>
  <si>
    <t>平层</t>
  </si>
  <si>
    <t>平层</t>
    <phoneticPr fontId="25" type="noConversion"/>
  </si>
  <si>
    <t>楼面单价</t>
  </si>
  <si>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</si>
  <si>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</si>
  <si>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</si>
  <si>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</si>
  <si>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</si>
  <si>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</si>
  <si>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</si>
  <si>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</si>
  <si>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</si>
  <si>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</si>
  <si>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</si>
  <si>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</si>
  <si>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</si>
  <si>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</si>
  <si>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</si>
  <si>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</si>
  <si>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</si>
  <si>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</si>
  <si>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</si>
  <si>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</si>
  <si>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</si>
  <si>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</si>
  <si>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</si>
  <si>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</si>
  <si>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</si>
  <si>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</si>
  <si>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</si>
  <si>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</si>
  <si>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</si>
  <si>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</si>
  <si>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</si>
  <si>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</si>
  <si>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</si>
  <si>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</si>
  <si>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</si>
  <si>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</si>
  <si>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</si>
  <si>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</si>
  <si>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</si>
  <si>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</si>
  <si>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</si>
  <si>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</si>
  <si>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</si>
  <si>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</si>
  <si>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</si>
  <si>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</si>
  <si>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</si>
  <si>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</si>
  <si>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</si>
  <si>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</si>
  <si>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</si>
  <si>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</si>
  <si>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</si>
  <si>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</si>
  <si>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59"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</si>
  <si>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</si>
  <si>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</si>
  <si>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</si>
  <si>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</si>
  <si>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</si>
  <si>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</si>
  <si>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</si>
  <si>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</si>
  <si>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</si>
  <si>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</si>
  <si>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59" type="noConversion"/>
  </si>
  <si>
    <t>租金日单价
(元/㎡/天)</t>
    <phoneticPr fontId="259" type="noConversion"/>
  </si>
  <si>
    <t xml:space="preserve">正在执行
月租金 </t>
    <phoneticPr fontId="3" type="noConversion"/>
  </si>
  <si>
    <t>实交租金
保证金</t>
    <phoneticPr fontId="3" type="noConversion"/>
  </si>
  <si>
    <t>应交租金
保证金</t>
    <phoneticPr fontId="259" type="noConversion"/>
  </si>
  <si>
    <t>租金保证金
差额</t>
    <phoneticPr fontId="259" type="noConversion"/>
  </si>
  <si>
    <t>租金终止
日期</t>
    <phoneticPr fontId="259" type="noConversion"/>
  </si>
  <si>
    <t>2017年1月实交</t>
  </si>
  <si>
    <t>2017年2月实交</t>
  </si>
  <si>
    <t>2017年3月实交</t>
  </si>
  <si>
    <t>2017年4月实交</t>
  </si>
  <si>
    <t>2017年5月实交</t>
  </si>
  <si>
    <t>2017年6月实交</t>
  </si>
  <si>
    <t>2017年7月实交</t>
  </si>
  <si>
    <t>2018年实交</t>
    <phoneticPr fontId="259" type="noConversion"/>
  </si>
  <si>
    <t>2017年11月实交</t>
  </si>
  <si>
    <t>2017年12月实交</t>
    <phoneticPr fontId="259" type="noConversion"/>
  </si>
  <si>
    <t>2018年租金
实收合计</t>
    <phoneticPr fontId="259"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</si>
  <si>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</si>
  <si>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</si>
  <si>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</si>
  <si>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</si>
  <si>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</si>
  <si>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</si>
  <si>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</si>
  <si>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</si>
  <si>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59" type="noConversion"/>
  </si>
  <si>
    <t>2017年09月
结转</t>
  </si>
  <si>
    <t>2017年10月
结转</t>
  </si>
  <si>
    <t>2017年11月
结转</t>
  </si>
  <si>
    <t>2017年12月
结转</t>
  </si>
  <si>
    <t>2017年
结转合计</t>
    <phoneticPr fontId="259" type="noConversion"/>
  </si>
  <si>
    <t>余 额</t>
    <phoneticPr fontId="3" type="noConversion"/>
  </si>
  <si>
    <t>租金</t>
    <phoneticPr fontId="3" type="noConversion"/>
  </si>
  <si>
    <t>交款日期</t>
  </si>
  <si>
    <t>所属期间</t>
    <phoneticPr fontId="259" type="noConversion"/>
  </si>
  <si>
    <t>吴立远</t>
    <phoneticPr fontId="259" type="noConversion"/>
  </si>
  <si>
    <t>B座写字楼2号楼106</t>
    <phoneticPr fontId="259" type="noConversion"/>
  </si>
  <si>
    <t>开租金和租赁保证金收据</t>
    <phoneticPr fontId="259" type="noConversion"/>
  </si>
  <si>
    <t>60</t>
    <phoneticPr fontId="259" type="noConversion"/>
  </si>
  <si>
    <t>2018.05.15-2018.11.14</t>
    <phoneticPr fontId="259" type="noConversion"/>
  </si>
  <si>
    <t>2018.11.15-2019.2.14</t>
    <phoneticPr fontId="259" type="noConversion"/>
  </si>
  <si>
    <t>北京泽桥传媒科技股份有限公司</t>
    <phoneticPr fontId="259" type="noConversion"/>
  </si>
  <si>
    <t>B座写字楼3203、3202</t>
    <phoneticPr fontId="259" type="noConversion"/>
  </si>
  <si>
    <t>开租金和租赁保证金收据</t>
    <phoneticPr fontId="259" type="noConversion"/>
  </si>
  <si>
    <t>60</t>
    <phoneticPr fontId="259" type="noConversion"/>
  </si>
  <si>
    <t>2018.04.01-2018.9.30</t>
    <phoneticPr fontId="259" type="noConversion"/>
  </si>
  <si>
    <t>2018.10.01-2018.12.30</t>
    <phoneticPr fontId="259" type="noConversion"/>
  </si>
  <si>
    <t>1月小计</t>
    <phoneticPr fontId="259" type="noConversion"/>
  </si>
  <si>
    <t>北京醒觉管理咨询有限公司</t>
    <phoneticPr fontId="259" type="noConversion"/>
  </si>
  <si>
    <t>B座写字楼1304</t>
    <phoneticPr fontId="259" type="noConversion"/>
  </si>
  <si>
    <t>开租金和租赁保证金收据</t>
    <phoneticPr fontId="259" type="noConversion"/>
  </si>
  <si>
    <t>36</t>
    <phoneticPr fontId="259" type="noConversion"/>
  </si>
  <si>
    <t>2018.04.01-2018.05.31</t>
    <phoneticPr fontId="259" type="noConversion"/>
  </si>
  <si>
    <t>2018.6.1-2018.9.31</t>
    <phoneticPr fontId="259" type="noConversion"/>
  </si>
  <si>
    <t>北京金色领航资产管理有限责任公司</t>
  </si>
  <si>
    <t>B座2号楼1308</t>
    <phoneticPr fontId="259" type="noConversion"/>
  </si>
  <si>
    <t>开租金和租赁保证金收据</t>
    <phoneticPr fontId="259" type="noConversion"/>
  </si>
  <si>
    <t>36</t>
    <phoneticPr fontId="259" type="noConversion"/>
  </si>
  <si>
    <t>2018.07.08-2018.10.07</t>
    <phoneticPr fontId="259" type="noConversion"/>
  </si>
  <si>
    <t>3月小计</t>
    <phoneticPr fontId="259" type="noConversion"/>
  </si>
  <si>
    <t>北京戴思富德贸易有限公司</t>
  </si>
  <si>
    <t>B座2号楼1305</t>
    <phoneticPr fontId="259" type="noConversion"/>
  </si>
  <si>
    <t>2018.05.20-2018.08.19</t>
    <phoneticPr fontId="259" type="noConversion"/>
  </si>
  <si>
    <t>2018.08.20-2018.11.19</t>
    <phoneticPr fontId="259" type="noConversion"/>
  </si>
  <si>
    <t>朱瑞峰</t>
    <phoneticPr fontId="259" type="noConversion"/>
  </si>
  <si>
    <t>B座2号楼1302</t>
    <phoneticPr fontId="259" type="noConversion"/>
  </si>
  <si>
    <t>2018.6.15-2018.8.14</t>
    <phoneticPr fontId="259" type="noConversion"/>
  </si>
  <si>
    <t>2018.8.15-2018.11.16</t>
    <phoneticPr fontId="259" type="noConversion"/>
  </si>
  <si>
    <t>4月小计</t>
    <phoneticPr fontId="259" type="noConversion"/>
  </si>
  <si>
    <t>李锐</t>
    <phoneticPr fontId="259" type="noConversion"/>
  </si>
  <si>
    <t>B座2号楼1608</t>
    <phoneticPr fontId="259" type="noConversion"/>
  </si>
  <si>
    <t>开租金和租赁保证金收据</t>
    <phoneticPr fontId="259" type="noConversion"/>
  </si>
  <si>
    <t>2018.09.01-2018.10.31</t>
    <phoneticPr fontId="259" type="noConversion"/>
  </si>
  <si>
    <t>2018.11.01-2019.01.31</t>
    <phoneticPr fontId="259" type="noConversion"/>
  </si>
  <si>
    <t>招商证券股份有限公司</t>
    <phoneticPr fontId="259" type="noConversion"/>
  </si>
  <si>
    <t>B座2号楼101</t>
    <phoneticPr fontId="259" type="noConversion"/>
  </si>
  <si>
    <t>2018/7/15-2018/10/14</t>
    <phoneticPr fontId="259" type="noConversion"/>
  </si>
  <si>
    <t>2018/10/15-2019/4/14</t>
    <phoneticPr fontId="259" type="noConversion"/>
  </si>
  <si>
    <t>7月小计</t>
    <phoneticPr fontId="259" type="noConversion"/>
  </si>
  <si>
    <t>北京瑞中生态环境工程有限公司</t>
    <phoneticPr fontId="259" type="noConversion"/>
  </si>
  <si>
    <t>B座2号楼1604</t>
    <phoneticPr fontId="259" type="noConversion"/>
  </si>
  <si>
    <t>2018/09/01-2018/11/30</t>
    <phoneticPr fontId="259" type="noConversion"/>
  </si>
  <si>
    <t>2018/12/01-2019/02/28</t>
    <phoneticPr fontId="259" type="noConversion"/>
  </si>
  <si>
    <t>北京家禾瑞宝地毯有限公司</t>
    <phoneticPr fontId="259" type="noConversion"/>
  </si>
  <si>
    <t>B座2号楼1602</t>
    <phoneticPr fontId="259" type="noConversion"/>
  </si>
  <si>
    <t>2019/9/10-2019/10/9、220/9/10-2020/10/9</t>
    <phoneticPr fontId="259" type="noConversion"/>
  </si>
  <si>
    <t>2018/10/10-2019/1/9</t>
    <phoneticPr fontId="259" type="noConversion"/>
  </si>
  <si>
    <t>李舰</t>
    <phoneticPr fontId="259" type="noConversion"/>
  </si>
  <si>
    <t>B座2号楼1603</t>
  </si>
  <si>
    <t>2018/10/01-2018/11/30</t>
    <phoneticPr fontId="259" type="noConversion"/>
  </si>
  <si>
    <t>2018.12.01-2019.2.28</t>
    <phoneticPr fontId="259" type="noConversion"/>
  </si>
  <si>
    <t>蒙太奇（北京）生物智能科技有限公司</t>
    <phoneticPr fontId="259" type="noConversion"/>
  </si>
  <si>
    <t>B座2号楼1605</t>
    <phoneticPr fontId="259" type="noConversion"/>
  </si>
  <si>
    <t>2018.08.24</t>
    <phoneticPr fontId="259" type="noConversion"/>
  </si>
  <si>
    <t>2020.08.23</t>
    <phoneticPr fontId="259" type="noConversion"/>
  </si>
  <si>
    <t>2018.08.24-2018.10.23</t>
    <phoneticPr fontId="259" type="noConversion"/>
  </si>
  <si>
    <t>2018.8.27</t>
    <phoneticPr fontId="259" type="noConversion"/>
  </si>
  <si>
    <t>2018.10.24-2019.01.23</t>
    <phoneticPr fontId="259" type="noConversion"/>
  </si>
  <si>
    <t>新韩银行（北京）有限公司北京分行</t>
    <phoneticPr fontId="259" type="noConversion"/>
  </si>
  <si>
    <t>B座2号楼102、103</t>
    <phoneticPr fontId="259" type="noConversion"/>
  </si>
  <si>
    <t>2018.8.20-2018.12.19</t>
    <phoneticPr fontId="259" type="noConversion"/>
  </si>
  <si>
    <t>2018.8.29</t>
    <phoneticPr fontId="259" type="noConversion"/>
  </si>
  <si>
    <t>2018.12.20-2019.3.19</t>
    <phoneticPr fontId="259" type="noConversion"/>
  </si>
  <si>
    <t>8月小计</t>
    <phoneticPr fontId="259" type="noConversion"/>
  </si>
  <si>
    <t>络可英（北京）国际信息技术有限公司</t>
  </si>
  <si>
    <t>B座2号楼1701、1708</t>
  </si>
  <si>
    <t>已开发票</t>
    <phoneticPr fontId="259" type="noConversion"/>
  </si>
  <si>
    <t>2018.12.27-2019.03.26</t>
    <phoneticPr fontId="259" type="noConversion"/>
  </si>
  <si>
    <t>2019.03.27-2019.06.26</t>
    <phoneticPr fontId="259" type="noConversion"/>
  </si>
  <si>
    <t>9月小计</t>
    <phoneticPr fontId="259" type="noConversion"/>
  </si>
  <si>
    <t>2018年累计</t>
    <phoneticPr fontId="259"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</si>
  <si>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</si>
  <si>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</si>
  <si>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</si>
  <si>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</si>
  <si>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</si>
  <si>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</si>
  <si>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</si>
  <si>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</si>
  <si>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</si>
  <si>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</si>
  <si>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</si>
  <si>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</si>
  <si>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</si>
  <si>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</si>
  <si>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</si>
  <si>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</si>
  <si>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</si>
  <si>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</si>
  <si>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</si>
  <si>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</si>
  <si>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</si>
  <si>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</si>
  <si>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</si>
  <si>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</si>
  <si>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比较法-商业（有租约）</t>
  </si>
  <si>
    <t>比较法-商业（无租约）</t>
  </si>
  <si>
    <t>需扣减承租人权益</t>
  </si>
  <si>
    <t>名商大厦</t>
    <phoneticPr fontId="3" type="noConversion"/>
  </si>
  <si>
    <t>名商大厦</t>
    <phoneticPr fontId="3" type="noConversion"/>
  </si>
  <si>
    <t>大行基业大厦</t>
    <phoneticPr fontId="3" type="noConversion"/>
  </si>
  <si>
    <t>万柳新贵大厦</t>
    <phoneticPr fontId="3" type="noConversion"/>
  </si>
  <si>
    <t>*</t>
  </si>
  <si>
    <t>苏州街</t>
    <phoneticPr fontId="3" type="noConversion"/>
  </si>
  <si>
    <t>万泉庄路</t>
    <phoneticPr fontId="3" type="noConversion"/>
  </si>
  <si>
    <t>普通</t>
    <phoneticPr fontId="143" type="noConversion"/>
  </si>
  <si>
    <t>苏州街</t>
    <phoneticPr fontId="32" type="noConversion"/>
  </si>
  <si>
    <t>苏州街</t>
    <phoneticPr fontId="143" type="noConversion"/>
  </si>
  <si>
    <t>30-40（含）</t>
  </si>
  <si>
    <t>苏州街</t>
    <phoneticPr fontId="3" type="noConversion"/>
  </si>
  <si>
    <t>中关村SOHO</t>
    <phoneticPr fontId="3" type="noConversion"/>
  </si>
  <si>
    <t>中关村大厦</t>
    <phoneticPr fontId="32" type="noConversion"/>
  </si>
  <si>
    <t>新中关写字楼</t>
    <phoneticPr fontId="3" type="noConversion"/>
  </si>
  <si>
    <t>中关村大街</t>
    <phoneticPr fontId="3" type="noConversion"/>
  </si>
  <si>
    <t>海淀北二街</t>
    <phoneticPr fontId="3" type="noConversion"/>
  </si>
  <si>
    <t>高档</t>
    <phoneticPr fontId="143" type="noConversion"/>
  </si>
  <si>
    <r>
      <t>30-40</t>
    </r>
    <r>
      <rPr>
        <sz val="11"/>
        <color indexed="8"/>
        <rFont val="宋体"/>
        <family val="3"/>
        <charset val="134"/>
      </rPr>
      <t>（含）</t>
    </r>
    <phoneticPr fontId="32" type="noConversion"/>
  </si>
  <si>
    <r>
      <t>40-50</t>
    </r>
    <r>
      <rPr>
        <sz val="11"/>
        <color indexed="8"/>
        <rFont val="宋体"/>
        <family val="3"/>
        <charset val="134"/>
      </rPr>
      <t>（含）</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</si>
</sst>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sz val="9"/>
      <color theme="1"/>
      <name val="Arial"/>
      <family val="2"/>
    </font>
    <font>
      <sz val="9"/>
      <color theme="1"/>
      <name val="华文细黑"/>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8"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8" xfId="0" applyFont="1" applyBorder="1" applyAlignment="1">
      <alignment horizontal="justify" vertical="center"/>
    </xf>
    <xf numFmtId="0" fontId="255"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7"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2" fillId="0" borderId="67" xfId="2" applyNumberFormat="1" applyFont="1" applyFill="1" applyBorder="1" applyAlignment="1" applyProtection="1">
      <alignment horizontal="center" vertical="center"/>
      <protection locked="0"/>
    </xf>
    <xf numFmtId="0" fontId="118" fillId="0" borderId="0" xfId="2" applyFont="1"/>
    <xf numFmtId="181" fontId="263" fillId="6" borderId="6" xfId="1" applyNumberFormat="1" applyFont="1" applyFill="1" applyBorder="1" applyAlignment="1" applyProtection="1">
      <alignment horizontal="center" vertical="center" wrapText="1"/>
    </xf>
    <xf numFmtId="0" fontId="264" fillId="6" borderId="9" xfId="2" applyFont="1" applyFill="1" applyBorder="1" applyAlignment="1" applyProtection="1">
      <alignment horizontal="center" vertical="center" wrapText="1"/>
    </xf>
    <xf numFmtId="180" fontId="264" fillId="6" borderId="9" xfId="2" applyNumberFormat="1" applyFont="1" applyFill="1" applyBorder="1" applyAlignment="1" applyProtection="1">
      <alignment horizontal="center" vertical="center" wrapText="1"/>
    </xf>
    <xf numFmtId="0" fontId="264" fillId="6" borderId="10" xfId="2" applyFont="1" applyFill="1" applyBorder="1" applyAlignment="1" applyProtection="1">
      <alignment horizontal="center" vertical="center" wrapText="1"/>
    </xf>
    <xf numFmtId="178" fontId="262" fillId="5" borderId="23" xfId="1" applyNumberFormat="1" applyFont="1" applyFill="1" applyBorder="1" applyAlignment="1" applyProtection="1">
      <alignment horizontal="center" vertical="center"/>
      <protection locked="0"/>
    </xf>
    <xf numFmtId="185" fontId="262" fillId="0" borderId="1" xfId="2" applyNumberFormat="1" applyFont="1" applyFill="1" applyBorder="1" applyAlignment="1" applyProtection="1">
      <alignment horizontal="center" vertical="center"/>
      <protection locked="0"/>
    </xf>
    <xf numFmtId="180" fontId="265" fillId="6" borderId="1" xfId="1" applyNumberFormat="1" applyFont="1" applyFill="1" applyBorder="1" applyAlignment="1" applyProtection="1">
      <alignment horizontal="center" vertical="center"/>
    </xf>
    <xf numFmtId="181" fontId="265"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2" fillId="5" borderId="25" xfId="1" applyNumberFormat="1" applyFont="1" applyFill="1" applyBorder="1" applyAlignment="1" applyProtection="1">
      <alignment horizontal="center" vertical="center"/>
      <protection locked="0"/>
    </xf>
    <xf numFmtId="185" fontId="262" fillId="0" borderId="32" xfId="2" applyNumberFormat="1" applyFont="1" applyFill="1" applyBorder="1" applyAlignment="1" applyProtection="1">
      <alignment horizontal="center" vertical="center"/>
      <protection locked="0"/>
    </xf>
    <xf numFmtId="180" fontId="265" fillId="6" borderId="32" xfId="1" applyNumberFormat="1" applyFont="1" applyFill="1" applyBorder="1" applyAlignment="1" applyProtection="1">
      <alignment horizontal="center" vertical="center"/>
    </xf>
    <xf numFmtId="181" fontId="265"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6"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3" fillId="6" borderId="64" xfId="2" applyFont="1" applyFill="1" applyBorder="1" applyAlignment="1">
      <alignment horizontal="right" vertical="center"/>
    </xf>
    <xf numFmtId="0" fontId="263" fillId="6" borderId="65" xfId="2" applyFont="1" applyFill="1" applyBorder="1" applyAlignment="1">
      <alignment horizontal="right" vertical="center"/>
    </xf>
    <xf numFmtId="0" fontId="265"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5"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5" fillId="6" borderId="10" xfId="2" applyFont="1" applyFill="1" applyBorder="1"/>
    <xf numFmtId="0" fontId="265"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5"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5" fillId="6" borderId="49" xfId="2" applyFont="1" applyFill="1" applyBorder="1"/>
    <xf numFmtId="0" fontId="98" fillId="6" borderId="0" xfId="2" applyFont="1" applyFill="1" applyBorder="1" applyAlignment="1">
      <alignment horizontal="left"/>
    </xf>
    <xf numFmtId="0" fontId="265"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6" fillId="0" borderId="161" xfId="0" applyFont="1" applyBorder="1" applyAlignment="1">
      <alignment horizontal="justify" vertical="center" wrapText="1"/>
    </xf>
    <xf numFmtId="0" fontId="267"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0" fontId="98" fillId="0" borderId="54" xfId="1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4" fontId="64" fillId="23" borderId="13" xfId="0" applyNumberFormat="1" applyFont="1" applyFill="1" applyBorder="1" applyAlignment="1" applyProtection="1">
      <alignment horizontal="left" vertical="center"/>
      <protection locked="0"/>
    </xf>
    <xf numFmtId="185" fontId="64" fillId="23" borderId="1" xfId="0" applyNumberFormat="1" applyFont="1" applyFill="1" applyBorder="1" applyAlignment="1" applyProtection="1">
      <alignment horizontal="center" vertical="center" shrinkToFit="1"/>
      <protection locked="0"/>
    </xf>
    <xf numFmtId="0" fontId="47" fillId="23" borderId="5" xfId="0" applyFont="1" applyFill="1" applyBorder="1" applyAlignment="1" applyProtection="1">
      <alignment horizontal="center" vertical="center" wrapText="1"/>
    </xf>
    <xf numFmtId="0" fontId="98" fillId="23" borderId="54" xfId="0" applyNumberFormat="1" applyFont="1" applyFill="1" applyBorder="1" applyAlignment="1" applyProtection="1">
      <alignment horizontal="center" vertical="center" wrapText="1"/>
      <protection locked="0"/>
    </xf>
    <xf numFmtId="0" fontId="61" fillId="23" borderId="3"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vertical="center" wrapText="1"/>
      <protection locked="0"/>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3"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59" xfId="0" applyFont="1" applyBorder="1" applyAlignment="1">
      <alignment horizontal="justify" vertical="center"/>
    </xf>
    <xf numFmtId="0" fontId="256" fillId="0" borderId="160" xfId="0" applyFont="1" applyBorder="1" applyAlignment="1">
      <alignment horizontal="justify" vertical="center"/>
    </xf>
    <xf numFmtId="0" fontId="256" fillId="0" borderId="157" xfId="0" applyFont="1" applyBorder="1" applyAlignment="1">
      <alignment horizontal="justify"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198" fontId="19" fillId="18" borderId="1" xfId="1" applyNumberFormat="1" applyFont="1" applyFill="1" applyBorder="1" applyAlignment="1">
      <alignment horizontal="center" vertical="center"/>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0" fontId="263" fillId="6" borderId="63" xfId="2" applyFont="1" applyFill="1" applyBorder="1" applyAlignment="1">
      <alignment horizontal="center"/>
    </xf>
    <xf numFmtId="0" fontId="263" fillId="6" borderId="64" xfId="2" applyFont="1" applyFill="1" applyBorder="1" applyAlignment="1">
      <alignment horizont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123825</xdr:rowOff>
    </xdr:from>
    <xdr:to>
      <xdr:col>10</xdr:col>
      <xdr:colOff>1456286</xdr:colOff>
      <xdr:row>79</xdr:row>
      <xdr:rowOff>151711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8305800"/>
          <a:ext cx="8314286" cy="5514286"/>
        </a:xfrm>
        <a:prstGeom prst="rect">
          <a:avLst/>
        </a:prstGeom>
      </xdr:spPr>
    </xdr:pic>
    <xdr:clientData/>
  </xdr:twoCellAnchor>
  <xdr:twoCellAnchor editAs="oneCell">
    <xdr:from>
      <xdr:col>0</xdr:col>
      <xdr:colOff>676275</xdr:colOff>
      <xdr:row>79</xdr:row>
      <xdr:rowOff>123825</xdr:rowOff>
    </xdr:from>
    <xdr:to>
      <xdr:col>10</xdr:col>
      <xdr:colOff>380180</xdr:colOff>
      <xdr:row>122</xdr:row>
      <xdr:rowOff>37190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13792200"/>
          <a:ext cx="6561905" cy="7285715"/>
        </a:xfrm>
        <a:prstGeom prst="rect">
          <a:avLst/>
        </a:prstGeom>
      </xdr:spPr>
    </xdr:pic>
    <xdr:clientData/>
  </xdr:twoCellAnchor>
  <xdr:twoCellAnchor editAs="oneCell">
    <xdr:from>
      <xdr:col>0</xdr:col>
      <xdr:colOff>0</xdr:colOff>
      <xdr:row>34</xdr:row>
      <xdr:rowOff>133350</xdr:rowOff>
    </xdr:from>
    <xdr:to>
      <xdr:col>9</xdr:col>
      <xdr:colOff>275419</xdr:colOff>
      <xdr:row>76</xdr:row>
      <xdr:rowOff>141974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86475"/>
          <a:ext cx="6447619" cy="7209524"/>
        </a:xfrm>
        <a:prstGeom prst="rect">
          <a:avLst/>
        </a:prstGeom>
      </xdr:spPr>
    </xdr:pic>
    <xdr:clientData/>
  </xdr:twoCellAnchor>
  <xdr:twoCellAnchor editAs="oneCell">
    <xdr:from>
      <xdr:col>0</xdr:col>
      <xdr:colOff>0</xdr:colOff>
      <xdr:row>0</xdr:row>
      <xdr:rowOff>0</xdr:rowOff>
    </xdr:from>
    <xdr:to>
      <xdr:col>9</xdr:col>
      <xdr:colOff>151610</xdr:colOff>
      <xdr:row>40</xdr:row>
      <xdr:rowOff>151509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0"/>
          <a:ext cx="6323810" cy="7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589698</xdr:colOff>
      <xdr:row>42</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9048" cy="7495239"/>
        </a:xfrm>
        <a:prstGeom prst="rect">
          <a:avLst/>
        </a:prstGeom>
      </xdr:spPr>
    </xdr:pic>
    <xdr:clientData/>
  </xdr:twoCellAnchor>
  <xdr:twoCellAnchor editAs="oneCell">
    <xdr:from>
      <xdr:col>0</xdr:col>
      <xdr:colOff>0</xdr:colOff>
      <xdr:row>55</xdr:row>
      <xdr:rowOff>0</xdr:rowOff>
    </xdr:from>
    <xdr:to>
      <xdr:col>10</xdr:col>
      <xdr:colOff>561041</xdr:colOff>
      <xdr:row>90</xdr:row>
      <xdr:rowOff>37346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7476191" cy="6038096"/>
        </a:xfrm>
        <a:prstGeom prst="rect">
          <a:avLst/>
        </a:prstGeom>
      </xdr:spPr>
    </xdr:pic>
    <xdr:clientData/>
  </xdr:twoCellAnchor>
  <xdr:twoCellAnchor editAs="oneCell">
    <xdr:from>
      <xdr:col>0</xdr:col>
      <xdr:colOff>304800</xdr:colOff>
      <xdr:row>44</xdr:row>
      <xdr:rowOff>9525</xdr:rowOff>
    </xdr:from>
    <xdr:to>
      <xdr:col>10</xdr:col>
      <xdr:colOff>56317</xdr:colOff>
      <xdr:row>51</xdr:row>
      <xdr:rowOff>66518</xdr:rowOff>
    </xdr:to>
    <xdr:pic>
      <xdr:nvPicPr>
        <xdr:cNvPr id="5" name="图片 4"/>
        <xdr:cNvPicPr>
          <a:picLocks noChangeAspect="1"/>
        </xdr:cNvPicPr>
      </xdr:nvPicPr>
      <xdr:blipFill>
        <a:blip xmlns:r="http://schemas.openxmlformats.org/officeDocument/2006/relationships" r:embed="rId3"/>
        <a:stretch>
          <a:fillRect/>
        </a:stretch>
      </xdr:blipFill>
      <xdr:spPr>
        <a:xfrm>
          <a:off x="304800" y="7724775"/>
          <a:ext cx="666666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估价对象为北京市房地产，为所有。根据《国有土地使用证》[]，估价对象（分摊）出让国有建设用地使用权面积为0平方米，建筑面积为191.05平方米。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估价对象为北京市房地产,属开发建设的办公项目，该项目尚在开发建设中。根据《国有土地使用证》[]，估价对象（分摊）出让国有建设用地使用权面积为0平方米，规划建筑面积为191.05平方米。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4" sqref="A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3116</v>
      </c>
      <c r="C17" s="2017"/>
    </row>
    <row r="18" spans="1:3">
      <c r="A18" s="2016" t="s">
        <v>1767</v>
      </c>
      <c r="B18" s="2016" t="s">
        <v>3117</v>
      </c>
      <c r="C18" s="2017"/>
    </row>
    <row r="19" spans="1:3">
      <c r="A19" s="2016" t="s">
        <v>1768</v>
      </c>
      <c r="B19" s="2016" t="s">
        <v>3312</v>
      </c>
      <c r="C19" s="2017"/>
    </row>
    <row r="20" spans="1:3">
      <c r="A20" s="2016" t="s">
        <v>1769</v>
      </c>
      <c r="B20" s="2016" t="s">
        <v>3313</v>
      </c>
      <c r="C20" s="2017"/>
    </row>
    <row r="21" spans="1:3">
      <c r="A21" s="2016" t="s">
        <v>1770</v>
      </c>
      <c r="B21" s="2016" t="s">
        <v>3316</v>
      </c>
      <c r="C21" s="2017"/>
    </row>
    <row r="22" spans="1:3">
      <c r="A22" s="2016" t="s">
        <v>1771</v>
      </c>
      <c r="B22" s="2016" t="s">
        <v>3317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9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2024" t="s">
        <v>864</v>
      </c>
      <c r="C54" s="2021" t="s">
        <v>1281</v>
      </c>
    </row>
    <row r="55" spans="1:4">
      <c r="A55" s="3197"/>
      <c r="B55" s="2024" t="s">
        <v>865</v>
      </c>
      <c r="C55" s="2021" t="s">
        <v>1282</v>
      </c>
    </row>
    <row r="56" spans="1:4">
      <c r="A56" s="3197"/>
      <c r="B56" s="2024" t="s">
        <v>866</v>
      </c>
      <c r="C56" s="2021" t="s">
        <v>1286</v>
      </c>
    </row>
    <row r="57" spans="1:4">
      <c r="A57" s="319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36" sqref="I36"/>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206" t="str">
        <f>IF(B10="北京市","北京市",C10)&amp;F10&amp;IF('结果表（办公）'!G1="在建","出让国有建设用地使用权及在建建筑物",IF('结果表（办公）'!G1="土地","出让国有建设用地使用权",))&amp;B9&amp;"预评估"</f>
        <v>北京市房地产抵押价值预评估</v>
      </c>
      <c r="C1" s="3207"/>
      <c r="D1" s="3207"/>
      <c r="E1" s="3207"/>
      <c r="F1" s="3207"/>
      <c r="G1" s="3207"/>
      <c r="H1" s="3207"/>
      <c r="I1" s="3208"/>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43405</v>
      </c>
      <c r="C3" s="2039" t="s">
        <v>1779</v>
      </c>
      <c r="D3" s="3148">
        <f>B3</f>
        <v>43405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209"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210"/>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3149">
        <v>56182</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35</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16"/>
      <c r="C16" s="3217"/>
      <c r="D16" s="3218"/>
      <c r="E16" s="2088" t="s">
        <v>1802</v>
      </c>
      <c r="F16" s="3219"/>
      <c r="G16" s="3220"/>
      <c r="H16" s="3220"/>
      <c r="I16" s="3221"/>
      <c r="J16" s="2031"/>
      <c r="K16" s="2085"/>
      <c r="L16" s="2086"/>
      <c r="M16" s="2086"/>
      <c r="N16" s="2087"/>
      <c r="O16" s="2086"/>
      <c r="P16" s="2087"/>
      <c r="Q16" s="2031"/>
      <c r="R16" s="2031"/>
    </row>
    <row r="17" spans="1:22" ht="18" customHeight="1">
      <c r="A17" s="2089" t="s">
        <v>1803</v>
      </c>
      <c r="B17" s="2037" t="s">
        <v>1804</v>
      </c>
      <c r="C17" s="1056">
        <f>'数据-汇总表'!E3</f>
        <v>191.05</v>
      </c>
      <c r="D17" s="2090" t="s">
        <v>1805</v>
      </c>
      <c r="E17" s="3222" t="s">
        <v>1806</v>
      </c>
      <c r="F17" s="3223"/>
      <c r="G17" s="3223"/>
      <c r="H17" s="3223"/>
      <c r="I17" s="3224"/>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25" t="s">
        <v>1809</v>
      </c>
      <c r="F18" s="3226"/>
      <c r="G18" s="3226"/>
      <c r="H18" s="3226"/>
      <c r="I18" s="3227"/>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12" t="s">
        <v>1814</v>
      </c>
      <c r="C20" s="3213"/>
      <c r="D20" s="3214" t="s">
        <v>1815</v>
      </c>
      <c r="E20" s="3215"/>
      <c r="F20" s="2100" t="s">
        <v>1816</v>
      </c>
      <c r="G20" s="2044"/>
      <c r="H20" s="2044"/>
      <c r="I20" s="2044"/>
      <c r="J20" s="2044"/>
      <c r="K20" s="3211"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1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1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199"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199"/>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199"/>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00"/>
      <c r="B30" s="2037" t="s">
        <v>1833</v>
      </c>
      <c r="C30" s="3201"/>
      <c r="D30" s="320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03"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0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0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198" t="s">
        <v>1843</v>
      </c>
      <c r="T34" s="2137" t="str">
        <f>NUMBERSTRING(7-K34,1)&amp;"通"</f>
        <v>七通</v>
      </c>
      <c r="U34" s="2031"/>
      <c r="V34" s="2031"/>
    </row>
    <row r="35" spans="1:22" ht="18" customHeight="1">
      <c r="A35" s="2138"/>
      <c r="B35" s="3205" t="s">
        <v>1844</v>
      </c>
      <c r="C35" s="3205"/>
      <c r="D35" s="3205"/>
      <c r="E35" s="320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8"/>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56</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191.05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191.05</v>
      </c>
      <c r="H5" s="16">
        <f t="shared" ref="H5:AT5" si="0">SUM(H13:H656)</f>
        <v>191.05</v>
      </c>
      <c r="I5" s="16">
        <f t="shared" si="0"/>
        <v>191.05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191.05</v>
      </c>
      <c r="BA5" s="18">
        <f t="shared" si="1"/>
        <v>191.05</v>
      </c>
      <c r="BB5" s="18">
        <f t="shared" si="1"/>
        <v>191.05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70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70</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802</v>
      </c>
      <c r="D13" s="2216" t="s">
        <v>3059</v>
      </c>
      <c r="E13" s="16">
        <f>IF($C$3="是",ROUND($A$3*G13/$B$3,2),ROUND($A$3*(G13-AT13)/$B$3,2))</f>
        <v>0</v>
      </c>
      <c r="F13" s="32"/>
      <c r="G13" s="33">
        <f>H13+AC13+AT13</f>
        <v>191.05</v>
      </c>
      <c r="H13" s="20">
        <f>SUMIF(I$12:AB$12,"总值",I13:AB13)</f>
        <v>191.05</v>
      </c>
      <c r="I13" s="2217">
        <v>191.05</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802</v>
      </c>
      <c r="AY13" s="1808">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t="s">
        <v>70</v>
      </c>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t="s">
        <v>70</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8" t="s">
        <v>0</v>
      </c>
      <c r="B1" s="3228" t="s">
        <v>4</v>
      </c>
      <c r="C1" s="3228" t="s">
        <v>5</v>
      </c>
      <c r="D1" s="3229" t="s">
        <v>53</v>
      </c>
      <c r="E1" s="3229" t="s">
        <v>54</v>
      </c>
      <c r="F1" s="3229"/>
      <c r="G1" s="3229"/>
      <c r="H1" s="3229"/>
      <c r="I1" s="3229"/>
      <c r="J1" s="3229"/>
      <c r="K1" s="3229"/>
      <c r="L1" s="3229"/>
      <c r="M1" s="3229"/>
    </row>
    <row r="2" spans="1:13" ht="27" customHeight="1">
      <c r="A2" s="3228"/>
      <c r="B2" s="3228"/>
      <c r="C2" s="3228"/>
      <c r="D2" s="3229"/>
      <c r="E2" s="3229" t="s">
        <v>37</v>
      </c>
      <c r="F2" s="3229" t="s">
        <v>38</v>
      </c>
      <c r="G2" s="3229"/>
      <c r="H2" s="3229"/>
      <c r="I2" s="3229"/>
      <c r="J2" s="3229" t="s">
        <v>39</v>
      </c>
      <c r="K2" s="3229"/>
      <c r="L2" s="3229"/>
      <c r="M2" s="3229"/>
    </row>
    <row r="3" spans="1:13" ht="28.5">
      <c r="A3" s="3228"/>
      <c r="B3" s="3228"/>
      <c r="C3" s="3228"/>
      <c r="D3" s="3229"/>
      <c r="E3" s="32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9" t="s">
        <v>55</v>
      </c>
      <c r="B9" s="3229"/>
      <c r="C9" s="32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M23" sqref="M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39" t="s">
        <v>1940</v>
      </c>
      <c r="B2" s="3239"/>
      <c r="C2" s="3239"/>
      <c r="D2" s="969" t="s">
        <v>1916</v>
      </c>
      <c r="E2" s="2230" t="s">
        <v>1917</v>
      </c>
      <c r="F2" s="1394"/>
      <c r="G2" s="2231"/>
      <c r="H2" s="2232"/>
      <c r="I2" s="2233" t="s">
        <v>1941</v>
      </c>
      <c r="J2" s="1394"/>
      <c r="K2" s="1394"/>
      <c r="L2" s="1394"/>
      <c r="M2" s="1394"/>
      <c r="N2" s="1429"/>
      <c r="O2" s="1394"/>
      <c r="P2" s="1394"/>
    </row>
    <row r="3" spans="1:16" ht="15.75" thickBot="1">
      <c r="A3" s="3240" t="s">
        <v>1914</v>
      </c>
      <c r="B3" s="3240"/>
      <c r="C3" s="3240"/>
      <c r="D3" s="46">
        <f>'数据-基础表'!AY6</f>
        <v>0</v>
      </c>
      <c r="E3" s="46">
        <f>'数据-基础表'!AZ5</f>
        <v>191.05</v>
      </c>
      <c r="F3" s="1394"/>
      <c r="G3" s="1401"/>
      <c r="H3" s="1249" t="s">
        <v>1915</v>
      </c>
      <c r="I3" s="55" t="e">
        <f>ROUND('数据-基础表'!B3/'数据-基础表'!A3,2)</f>
        <v>#DIV/0!</v>
      </c>
      <c r="J3" s="1394"/>
      <c r="K3" s="1394"/>
      <c r="L3" s="1394"/>
      <c r="M3" s="1394"/>
      <c r="N3" s="1429"/>
      <c r="O3" s="1394"/>
      <c r="P3" s="1394"/>
    </row>
    <row r="4" spans="1:16" ht="15">
      <c r="A4" s="3241"/>
      <c r="B4" s="3242"/>
      <c r="C4" s="3243"/>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44" t="s">
        <v>1919</v>
      </c>
      <c r="C5" s="3244"/>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44" t="s">
        <v>1920</v>
      </c>
      <c r="C6" s="3244"/>
      <c r="D6" s="48">
        <f>ROUND($D$3*E6/$E$3,2)</f>
        <v>0</v>
      </c>
      <c r="E6" s="49">
        <f>E3-E5</f>
        <v>191.05</v>
      </c>
      <c r="F6" s="1394"/>
      <c r="G6" s="2238" t="s">
        <v>1921</v>
      </c>
      <c r="H6" s="1401" t="s">
        <v>1922</v>
      </c>
      <c r="I6" s="941" t="e">
        <f>ROUND(F31/D31,2)</f>
        <v>#DIV/0!</v>
      </c>
      <c r="J6" s="1394"/>
      <c r="K6" s="1394"/>
      <c r="L6" s="1394"/>
      <c r="M6" s="1394"/>
      <c r="N6" s="1394"/>
      <c r="O6" s="1394"/>
      <c r="P6" s="1394"/>
    </row>
    <row r="7" spans="1:16" ht="15">
      <c r="A7" s="3236"/>
      <c r="B7" s="3237"/>
      <c r="C7" s="3238"/>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191.05</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191.05</v>
      </c>
      <c r="F16" s="1394"/>
      <c r="G16" s="2240"/>
      <c r="H16" s="2243" t="s">
        <v>1944</v>
      </c>
      <c r="I16" s="2244"/>
      <c r="J16" s="1394"/>
      <c r="K16" s="3233" t="s">
        <v>1944</v>
      </c>
      <c r="L16" s="3234"/>
      <c r="M16" s="3234"/>
      <c r="N16" s="3234"/>
      <c r="O16" s="3234"/>
      <c r="P16" s="3235"/>
    </row>
    <row r="17" spans="1:19" ht="15">
      <c r="A17" s="2245" t="s">
        <v>1945</v>
      </c>
      <c r="B17" s="2246" t="s">
        <v>1946</v>
      </c>
      <c r="C17" s="2247" t="s">
        <v>1947</v>
      </c>
      <c r="D17" s="2248" t="s">
        <v>1935</v>
      </c>
      <c r="E17" s="2249" t="s">
        <v>1936</v>
      </c>
      <c r="F17" s="2250"/>
      <c r="G17" s="2251"/>
      <c r="H17" s="2252" t="s">
        <v>1948</v>
      </c>
      <c r="I17" s="2253" t="s">
        <v>1933</v>
      </c>
      <c r="J17" s="1394"/>
      <c r="K17" s="3230" t="s">
        <v>1949</v>
      </c>
      <c r="L17" s="3231"/>
      <c r="M17" s="3232"/>
      <c r="N17" s="3230" t="s">
        <v>1950</v>
      </c>
      <c r="O17" s="3231"/>
      <c r="P17" s="3232"/>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191.05</v>
      </c>
      <c r="F19" s="57">
        <f>'数据-基础表'!I13</f>
        <v>191.05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191.05</v>
      </c>
    </row>
    <row r="20" spans="1:19">
      <c r="A20" s="2265"/>
      <c r="B20" s="50" t="s">
        <v>1962</v>
      </c>
      <c r="C20" s="2957"/>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957"/>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191.05</v>
      </c>
      <c r="F27" s="1395">
        <f>IF(SUM(F19:F26)=E8,SUM(F19:F26),"地上面积有误")</f>
        <v>191.05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191.05</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191.05</v>
      </c>
      <c r="F31" s="729">
        <f>F27+F30</f>
        <v>191.05</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43405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56182</v>
      </c>
      <c r="F6" s="72">
        <f>SUMIF(项目基本情况!D$12:I$12,C6,项目基本情况!D$15:I$15)</f>
        <v>35</v>
      </c>
      <c r="G6" s="73">
        <f>IF(ISERROR(ROUND(POWER(1+H6,D6-F6)*(POWER(1+H6,F6)-1)/(POWER(1+H6,D6)-1),3)),0,ROUND(POWER(1+H6,D6-F6)*(POWER(1+H6,F6)-1)/(POWER(1+H6,D6)-1),3))</f>
        <v>0.89700000000000002</v>
      </c>
      <c r="H6" s="801">
        <v>0.05</v>
      </c>
      <c r="I6" s="801">
        <v>5.5E-2</v>
      </c>
      <c r="J6" s="74">
        <v>8.5000000000000006E-2</v>
      </c>
      <c r="K6" s="1253">
        <f>SUMIF('数据-汇总表'!C$19:C$33,A6,'数据-汇总表'!E$19:E$33)</f>
        <v>191.05</v>
      </c>
      <c r="L6" s="802">
        <v>3500</v>
      </c>
      <c r="M6" s="75">
        <f t="shared" ref="M6:M14" si="0">ROUND(K6*L6/10000,0)</f>
        <v>67</v>
      </c>
      <c r="N6" s="800">
        <v>0.78</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0.78</v>
      </c>
      <c r="Z6" s="81"/>
      <c r="AA6" s="74"/>
      <c r="AB6" s="74"/>
      <c r="AC6" s="1263"/>
      <c r="AD6" s="82"/>
      <c r="AE6" s="1264">
        <f ca="1">IF(AN6="",0,SUMIF(INDIRECT("'"&amp;AN6&amp;"'"&amp;"!E:E"),$AE$5,INDIRECT("'"&amp;AN6&amp;"'"&amp;"!F:F")))</f>
        <v>35</v>
      </c>
      <c r="AF6" s="1806"/>
      <c r="AG6" s="146">
        <f>IF(AF6="",0,AE6-AF6)</f>
        <v>0</v>
      </c>
      <c r="AH6" s="83"/>
      <c r="AI6" s="85">
        <v>365</v>
      </c>
      <c r="AJ6" s="86"/>
      <c r="AK6" s="87">
        <v>0.02</v>
      </c>
      <c r="AL6" s="88">
        <v>2E-3</v>
      </c>
      <c r="AM6" s="89">
        <v>0.02</v>
      </c>
      <c r="AN6" s="2311" t="s">
        <v>3117</v>
      </c>
      <c r="AO6" s="55">
        <f ca="1">SUMIF(INDIRECT("'"&amp;AN6&amp;"'"&amp;"!A:A"),"总价",INDIRECT("'"&amp;AN6&amp;"'"&amp;"!B:B"))</f>
        <v>626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t="e">
        <f t="shared" ref="AE7:AE13" ca="1" si="6">IF(AN7="",0,SUMIF(INDIRECT("'"&amp;AN7&amp;"'"&amp;"!E:E"),$AE$5,INDIRECT("'"&amp;AN7&amp;"'"&amp;"!F:F")))</f>
        <v>#REF!</v>
      </c>
      <c r="AF7" s="1806"/>
      <c r="AG7" s="146">
        <f t="shared" ref="AG7:AG13" si="7">IF(AF7="",0,AE7-AF7)</f>
        <v>0</v>
      </c>
      <c r="AH7" s="83"/>
      <c r="AI7" s="85"/>
      <c r="AJ7" s="86"/>
      <c r="AK7" s="87"/>
      <c r="AL7" s="88"/>
      <c r="AM7" s="89"/>
      <c r="AN7" s="2311" t="s">
        <v>3323</v>
      </c>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t="e">
        <f t="shared" ca="1" si="6"/>
        <v>#REF!</v>
      </c>
      <c r="AF8" s="1806"/>
      <c r="AG8" s="146">
        <f t="shared" si="7"/>
        <v>0</v>
      </c>
      <c r="AH8" s="807"/>
      <c r="AI8" s="85"/>
      <c r="AJ8" s="86"/>
      <c r="AK8" s="808"/>
      <c r="AL8" s="809"/>
      <c r="AM8" s="810"/>
      <c r="AN8" s="2311" t="s">
        <v>3323</v>
      </c>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0.89700000000000002</v>
      </c>
      <c r="H16" s="99">
        <f>ROUND(SUMPRODUCT(H6:H13,K6:K13)/SUMPRODUCT((H6:H13&gt;0)*(K6:K13)),3)</f>
        <v>0.05</v>
      </c>
      <c r="I16" s="100"/>
      <c r="J16" s="100"/>
      <c r="K16" s="101">
        <f>SUM(K6:K15)</f>
        <v>191.05</v>
      </c>
      <c r="L16" s="102">
        <f>ROUND(M16*10000/SUM(K6:K14),0)</f>
        <v>3507</v>
      </c>
      <c r="M16" s="102">
        <f>SUM(M6:M14)</f>
        <v>67</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24</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269</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v>24</v>
      </c>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45" t="s">
        <v>2085</v>
      </c>
      <c r="B1" s="3246"/>
      <c r="C1" s="3246"/>
      <c r="D1" s="3246"/>
      <c r="E1" s="3246"/>
      <c r="F1" s="3246"/>
      <c r="G1" s="324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9" sqref="B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379.58000000000004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43405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1633</v>
      </c>
      <c r="C5" s="1745">
        <f ca="1">ROUND(B5*10000/$B$1,0)</f>
        <v>43021</v>
      </c>
      <c r="D5" s="1745" t="e">
        <f ca="1">ROUND(B5*10000/$B$2,0)</f>
        <v>#DIV/0!</v>
      </c>
      <c r="E5" s="1744"/>
      <c r="F5" s="1742"/>
      <c r="G5" s="1742"/>
    </row>
    <row r="6" spans="1:10" ht="16.5">
      <c r="A6" s="1745" t="s">
        <v>1356</v>
      </c>
      <c r="B6" s="1745">
        <f ca="1">SUM(G14:G23)</f>
        <v>1633</v>
      </c>
      <c r="C6" s="1745">
        <f ca="1">ROUND(B6*10000/$B$1,0)</f>
        <v>43021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191.05</v>
      </c>
      <c r="C14" s="1743">
        <f>'结果表（办公）'!C118</f>
        <v>0</v>
      </c>
      <c r="D14" s="1743">
        <f ca="1">'结果表（办公）'!H118</f>
        <v>822</v>
      </c>
      <c r="E14" s="1743">
        <f ca="1">ROUND(D14*10000/B14,0)</f>
        <v>43025</v>
      </c>
      <c r="F14" s="1743" t="e">
        <f ca="1">ROUND(D14*10000/C14,0)</f>
        <v>#DIV/0!</v>
      </c>
      <c r="G14" s="1743">
        <f ca="1">'结果表（办公）'!D122</f>
        <v>822</v>
      </c>
      <c r="H14" s="1743" t="str">
        <f>'结果表（办公）'!D124</f>
        <v>——</v>
      </c>
      <c r="I14" s="1743" t="str">
        <f>'结果表（办公）'!D126</f>
        <v>——</v>
      </c>
      <c r="J14" s="1742"/>
    </row>
    <row r="15" spans="1:10" ht="16.5">
      <c r="A15" s="1741" t="s">
        <v>1349</v>
      </c>
      <c r="B15" s="1748">
        <f>'典型户型修正（办公）'!B22-'典型户型修正（办公）'!B24</f>
        <v>188.53000000000003</v>
      </c>
      <c r="C15" s="1748"/>
      <c r="D15" s="1748">
        <f ca="1">'典型户型修正（办公）'!B20-'典型户型修正（办公）'!S24</f>
        <v>811</v>
      </c>
      <c r="E15" s="1743">
        <f t="shared" ref="E15:E23" ca="1" si="0">ROUND(D15*10000/B15,0)</f>
        <v>43017</v>
      </c>
      <c r="F15" s="1743" t="e">
        <f t="shared" ref="F15:F23" ca="1" si="1">ROUND(D15*10000/C15,0)</f>
        <v>#DIV/0!</v>
      </c>
      <c r="G15" s="1749">
        <f ca="1">D15</f>
        <v>811</v>
      </c>
      <c r="H15" s="1749"/>
      <c r="I15" s="1748"/>
      <c r="J15" s="1742"/>
    </row>
    <row r="16" spans="1:10" ht="16.5">
      <c r="A16" s="1741" t="s">
        <v>1348</v>
      </c>
      <c r="B16" s="1748"/>
      <c r="C16" s="1748"/>
      <c r="D16" s="1748"/>
      <c r="E16" s="1743" t="e">
        <f t="shared" si="0"/>
        <v>#DIV/0!</v>
      </c>
      <c r="F16" s="1743" t="e">
        <f t="shared" si="1"/>
        <v>#DIV/0!</v>
      </c>
      <c r="G16" s="1749">
        <f>D16</f>
        <v>0</v>
      </c>
      <c r="H16" s="1749"/>
      <c r="I16" s="1748"/>
    </row>
    <row r="17" spans="1:9" ht="16.5">
      <c r="A17" s="1741" t="s">
        <v>1347</v>
      </c>
      <c r="B17" s="1748"/>
      <c r="C17" s="1748"/>
      <c r="D17" s="1748"/>
      <c r="E17" s="1743" t="e">
        <f t="shared" si="0"/>
        <v>#DIV/0!</v>
      </c>
      <c r="F17" s="1743" t="e">
        <f t="shared" si="1"/>
        <v>#DIV/0!</v>
      </c>
      <c r="G17" s="1749">
        <f>D17</f>
        <v>0</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7" zoomScaleSheetLayoutView="100" zoomScalePageLayoutView="80" workbookViewId="0">
      <selection activeCell="F29" sqref="F29"/>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3104</v>
      </c>
      <c r="D4" s="2430" t="s">
        <v>3117</v>
      </c>
      <c r="E4" s="3277" t="s">
        <v>2127</v>
      </c>
      <c r="F4" s="3278"/>
      <c r="G4" s="3278"/>
      <c r="H4" s="3278"/>
      <c r="I4" s="3289"/>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63">
        <v>6</v>
      </c>
      <c r="D14" s="3311">
        <v>4</v>
      </c>
      <c r="E14" s="139" t="s">
        <v>2142</v>
      </c>
      <c r="F14" s="2432"/>
      <c r="G14" s="2432"/>
      <c r="H14" s="2432"/>
      <c r="I14" s="1833"/>
    </row>
    <row r="15" spans="1:12" ht="12.75">
      <c r="A15" s="3260"/>
      <c r="B15" s="3198"/>
      <c r="C15" s="3264"/>
      <c r="D15" s="3311"/>
      <c r="E15" s="139" t="s">
        <v>2143</v>
      </c>
      <c r="F15" s="2432"/>
      <c r="G15" s="2432"/>
      <c r="H15" s="2432"/>
      <c r="I15" s="1833"/>
    </row>
    <row r="16" spans="1:12" ht="12.75">
      <c r="A16" s="3260"/>
      <c r="B16" s="3198"/>
      <c r="C16" s="3265"/>
      <c r="D16" s="3311"/>
      <c r="E16" s="139" t="s">
        <v>2144</v>
      </c>
      <c r="F16" s="2432"/>
      <c r="G16" s="2432"/>
      <c r="H16" s="2432"/>
      <c r="I16" s="1833"/>
    </row>
    <row r="17" spans="1:35" ht="15">
      <c r="A17" s="2433" t="s">
        <v>2145</v>
      </c>
      <c r="B17" s="64"/>
      <c r="C17" s="140">
        <f>SUM(C5:C16)</f>
        <v>6</v>
      </c>
      <c r="D17" s="140">
        <f>SUM(D5:D16)</f>
        <v>4</v>
      </c>
      <c r="E17" s="137"/>
      <c r="F17" s="137"/>
      <c r="G17" s="137"/>
      <c r="H17" s="137"/>
      <c r="I17" s="137"/>
      <c r="K17" s="2431"/>
      <c r="L17" s="2434" t="s">
        <v>2146</v>
      </c>
      <c r="M17" s="2434" t="s">
        <v>2147</v>
      </c>
    </row>
    <row r="18" spans="1:35" ht="15.75" thickBot="1">
      <c r="A18" s="2435" t="s">
        <v>2148</v>
      </c>
      <c r="B18" s="2436"/>
      <c r="C18" s="141">
        <f>ROUND(C17/SUM(C17:D17),2)</f>
        <v>0.6</v>
      </c>
      <c r="D18" s="141">
        <f>1-C18</f>
        <v>0.4</v>
      </c>
      <c r="E18" s="137"/>
      <c r="F18" s="137"/>
      <c r="G18" s="137"/>
      <c r="H18" s="137"/>
      <c r="I18" s="137"/>
      <c r="K18" s="2431" t="s">
        <v>2149</v>
      </c>
      <c r="L18" s="2431">
        <f>IF(C1="",'数据-汇总表'!E3,SUMIF(项目类型,C1,'数据-汇总表'!E17:E26)+SUMIF(项目类型,C1,'数据-汇总表'!I17:I26))</f>
        <v>191.05</v>
      </c>
      <c r="M18" s="2431">
        <f>IF(C1="",'数据-汇总表'!E3,SUMIF(项目类型,C1,'数据-汇总表'!E17:E26))</f>
        <v>191.05</v>
      </c>
    </row>
    <row r="19" spans="1:35" ht="15">
      <c r="A19" s="2437" t="s">
        <v>2150</v>
      </c>
      <c r="B19" s="2438" t="s">
        <v>2151</v>
      </c>
      <c r="C19" s="142">
        <f ca="1">SUMIF(INDIRECT("'"&amp;C4&amp;"'"&amp;"!A:A"),'结果表（办公）'!B19,INDIRECT("'"&amp;C4&amp;"'"&amp;"!B:B"))</f>
        <v>953</v>
      </c>
      <c r="D19" s="143">
        <f ca="1">SUMIF(INDIRECT("'"&amp;D4&amp;"'"&amp;"!A:A"),'结果表（办公）'!B19,INDIRECT("'"&amp;D4&amp;"'"&amp;"!B:B"))</f>
        <v>626</v>
      </c>
      <c r="E19" s="2437" t="s">
        <v>2152</v>
      </c>
      <c r="F19" s="2438" t="s">
        <v>2151</v>
      </c>
      <c r="G19" s="144">
        <f ca="1">ROUND(C19*$C$18+D19*$D$18,0)</f>
        <v>822</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49861</v>
      </c>
      <c r="D20" s="146">
        <f ca="1">SUMIF(INDIRECT("'"&amp;D4&amp;"'"&amp;"!A:A"),'结果表（办公）'!B20,INDIRECT("'"&amp;D4&amp;"'"&amp;"!B:B"))</f>
        <v>32749</v>
      </c>
      <c r="E20" s="2440"/>
      <c r="F20" s="1249" t="s">
        <v>2155</v>
      </c>
      <c r="G20" s="147">
        <f ca="1">ROUND(C20*$C$18+D20*$D$18,0)</f>
        <v>43016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0.52236421725239612</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43016</v>
      </c>
      <c r="D32" s="2452" t="s">
        <v>3114</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f ca="1">ROUND(H101*F45,0)</f>
        <v>822</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1811">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1811">
        <v>2</v>
      </c>
      <c r="K47" s="3315" t="s">
        <v>2197</v>
      </c>
      <c r="L47" s="3315"/>
      <c r="M47" s="3336">
        <f>'数据-取费表'!B2</f>
        <v>43405</v>
      </c>
      <c r="N47" s="3336"/>
      <c r="O47" s="3336"/>
    </row>
    <row r="48" spans="1:15" ht="25.5">
      <c r="A48" s="3279" t="s">
        <v>2198</v>
      </c>
      <c r="B48" s="3262"/>
      <c r="C48" s="3262"/>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315" t="s">
        <v>2201</v>
      </c>
      <c r="L48" s="3315"/>
      <c r="M48" s="3337">
        <f ca="1">H101</f>
        <v>822</v>
      </c>
      <c r="N48" s="3337"/>
      <c r="O48" s="3337"/>
    </row>
    <row r="49" spans="1:35" ht="25.5" customHeight="1">
      <c r="A49" s="175" t="s">
        <v>2202</v>
      </c>
      <c r="B49" s="3247" t="s">
        <v>2203</v>
      </c>
      <c r="C49" s="3247"/>
      <c r="D49" s="176">
        <v>0</v>
      </c>
      <c r="E49" s="23" t="s">
        <v>2204</v>
      </c>
      <c r="F49" s="28" t="s">
        <v>34</v>
      </c>
      <c r="G49" s="3321"/>
      <c r="H49" s="137"/>
      <c r="I49" s="2486"/>
      <c r="J49" s="1811">
        <v>4</v>
      </c>
      <c r="K49" s="3315" t="str">
        <f>IF(项目基本情况!E8="房地产抵押价值","房地产抵押价值","抵押担保权已注销时的房地产抵押价值")</f>
        <v>房地产抵押价值</v>
      </c>
      <c r="L49" s="3315"/>
      <c r="M49" s="3337">
        <f ca="1">IF(项目基本情况!E8="房地产抵押价值",H107,H109)</f>
        <v>822</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2487" t="s">
        <v>2208</v>
      </c>
      <c r="K51" s="3315" t="s">
        <v>2209</v>
      </c>
      <c r="L51" s="3315"/>
      <c r="M51" s="2487" t="s">
        <v>2210</v>
      </c>
      <c r="N51" s="2487" t="s">
        <v>2211</v>
      </c>
      <c r="O51" s="2487" t="s">
        <v>2212</v>
      </c>
    </row>
    <row r="52" spans="1:35" ht="24" customHeight="1">
      <c r="A52" s="182" t="s">
        <v>2213</v>
      </c>
      <c r="B52" s="3247" t="s">
        <v>2214</v>
      </c>
      <c r="C52" s="3247"/>
      <c r="D52" s="181">
        <f ca="1">ROUND(D45*'数据-取费表'!B41/(1+'数据-取费表'!C42),0)</f>
        <v>44</v>
      </c>
      <c r="E52" s="11" t="s">
        <v>2215</v>
      </c>
      <c r="F52" s="183">
        <f>'数据-取费表'!B41</f>
        <v>5.6000000000000001E-2</v>
      </c>
      <c r="G52" s="2488"/>
      <c r="H52" s="137"/>
      <c r="I52" s="2486"/>
      <c r="J52" s="1811">
        <v>1</v>
      </c>
      <c r="K52" s="3316" t="s">
        <v>2216</v>
      </c>
      <c r="L52" s="3316"/>
      <c r="M52" s="1753">
        <f>D48</f>
        <v>0</v>
      </c>
      <c r="N52" s="1811" t="str">
        <f>E48</f>
        <v>销售额×税（费）率</v>
      </c>
      <c r="O52" s="1754" t="str">
        <f>F48</f>
        <v>免征</v>
      </c>
    </row>
    <row r="53" spans="1:35" ht="12" customHeight="1">
      <c r="A53" s="182" t="s">
        <v>2217</v>
      </c>
      <c r="B53" s="3270" t="s">
        <v>2218</v>
      </c>
      <c r="C53" s="3271"/>
      <c r="D53" s="181">
        <f ca="1">ROUND(D45*'数据-取费表'!B41/(1+'数据-取费表'!C42),0)</f>
        <v>44</v>
      </c>
      <c r="E53" s="11" t="s">
        <v>2215</v>
      </c>
      <c r="F53" s="183">
        <f>'数据-取费表'!B41</f>
        <v>5.6000000000000001E-2</v>
      </c>
      <c r="G53" s="2488"/>
      <c r="H53" s="137"/>
      <c r="I53" s="2486"/>
      <c r="J53" s="1811">
        <v>2</v>
      </c>
      <c r="K53" s="3316" t="s">
        <v>2219</v>
      </c>
      <c r="L53" s="3316"/>
      <c r="M53" s="1753">
        <f t="shared" ref="M53:O54" ca="1" si="0">D55</f>
        <v>0</v>
      </c>
      <c r="N53" s="1811" t="str">
        <f t="shared" si="0"/>
        <v>销售额×税（费）率</v>
      </c>
      <c r="O53" s="1754">
        <f t="shared" si="0"/>
        <v>5.0000000000000001E-4</v>
      </c>
    </row>
    <row r="54" spans="1:35" ht="12" customHeight="1">
      <c r="A54" s="182" t="s">
        <v>2220</v>
      </c>
      <c r="B54" s="3270" t="s">
        <v>2221</v>
      </c>
      <c r="C54" s="3271"/>
      <c r="D54" s="181">
        <f ca="1">C68</f>
        <v>44</v>
      </c>
      <c r="E54" s="30" t="s">
        <v>2222</v>
      </c>
      <c r="F54" s="183">
        <f>'数据-取费表'!B41</f>
        <v>5.6000000000000001E-2</v>
      </c>
      <c r="G54" s="2488"/>
      <c r="H54" s="2489"/>
      <c r="I54" s="2486"/>
      <c r="J54" s="1811">
        <v>3</v>
      </c>
      <c r="K54" s="3316" t="s">
        <v>2223</v>
      </c>
      <c r="L54" s="3316"/>
      <c r="M54" s="1753">
        <f t="shared" ca="1" si="0"/>
        <v>465</v>
      </c>
      <c r="N54" s="1811" t="str">
        <f t="shared" si="0"/>
        <v>增值额×税（费）率</v>
      </c>
      <c r="O54" s="1755" t="str">
        <f t="shared" si="0"/>
        <v>——</v>
      </c>
    </row>
    <row r="55" spans="1:35" ht="24" customHeight="1">
      <c r="A55" s="3261" t="s">
        <v>2224</v>
      </c>
      <c r="B55" s="3262"/>
      <c r="C55" s="3262"/>
      <c r="D55" s="184">
        <f ca="1">IF(H55="个人住宅",0,ROUND(D45*I55,0))</f>
        <v>0</v>
      </c>
      <c r="E55" s="11" t="s">
        <v>2225</v>
      </c>
      <c r="F55" s="183">
        <f>IF(H55="正常",I55,"免征")</f>
        <v>5.0000000000000001E-4</v>
      </c>
      <c r="G55" s="2488"/>
      <c r="H55" s="2485" t="s">
        <v>2226</v>
      </c>
      <c r="I55" s="185">
        <f>'数据-取费表'!B49</f>
        <v>5.0000000000000001E-4</v>
      </c>
      <c r="J55" s="1811" t="str">
        <f>IF(H59="非个人房产","",4)</f>
        <v/>
      </c>
      <c r="K55" s="3316" t="str">
        <f>IF(H59="非个人房产","——","个人所得税")</f>
        <v>——</v>
      </c>
      <c r="L55" s="3316"/>
      <c r="M55" s="1756" t="str">
        <f>D59</f>
        <v>——</v>
      </c>
      <c r="N55" s="1809" t="str">
        <f>E59</f>
        <v>——</v>
      </c>
      <c r="O55" s="1757" t="str">
        <f>F59</f>
        <v>——</v>
      </c>
    </row>
    <row r="56" spans="1:35" ht="24.75">
      <c r="A56" s="3261" t="s">
        <v>2227</v>
      </c>
      <c r="B56" s="3262"/>
      <c r="C56" s="3262"/>
      <c r="D56" s="184">
        <f ca="1">IF(H56="个人住宅",D57,D58)</f>
        <v>465</v>
      </c>
      <c r="E56" s="11" t="s">
        <v>2228</v>
      </c>
      <c r="F56" s="183" t="str">
        <f>IF(H56="正常",F58,"免征")</f>
        <v>——</v>
      </c>
      <c r="G56" s="2490" t="s">
        <v>2229</v>
      </c>
      <c r="H56" s="2491" t="s">
        <v>2226</v>
      </c>
      <c r="I56" s="2492"/>
      <c r="J56" s="1811"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IF(AND(J55="",J56=""),4,IF(项目基本情况!K6="上海银行",'结果表（办公）'!J56+1,'结果表（办公）'!J55+1))</f>
        <v>4</v>
      </c>
      <c r="K57" s="3316" t="s">
        <v>2231</v>
      </c>
      <c r="L57" s="2493" t="s">
        <v>2232</v>
      </c>
      <c r="M57" s="1758"/>
      <c r="N57" s="1759">
        <f ca="1">SUMIF(M52:M56,"&lt;9e307")</f>
        <v>465</v>
      </c>
      <c r="O57" s="2494"/>
      <c r="P57" s="1752">
        <f ca="1">N57/M49</f>
        <v>0.56569343065693434</v>
      </c>
    </row>
    <row r="58" spans="1:35" ht="24.75">
      <c r="A58" s="182" t="s">
        <v>2213</v>
      </c>
      <c r="B58" s="3277" t="s">
        <v>2233</v>
      </c>
      <c r="C58" s="3278"/>
      <c r="D58" s="184">
        <f ca="1">IF(H58="转让取得",C81,C97)</f>
        <v>465</v>
      </c>
      <c r="E58" s="11" t="s">
        <v>2228</v>
      </c>
      <c r="F58" s="24" t="s">
        <v>34</v>
      </c>
      <c r="G58" s="2488"/>
      <c r="H58" s="2491" t="s">
        <v>2234</v>
      </c>
      <c r="I58" s="2492"/>
      <c r="J58" s="3316"/>
      <c r="K58" s="3316"/>
      <c r="L58" s="2493" t="s">
        <v>2235</v>
      </c>
      <c r="M58" s="1760"/>
      <c r="N58" s="2495" t="str">
        <f ca="1">NUMBERSTRING(INT(N57*10000),2)&amp;"元整"</f>
        <v>肆佰陆拾伍万元整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1811" t="s">
        <v>2232</v>
      </c>
      <c r="M59" s="1761"/>
      <c r="N59" s="1762">
        <f ca="1">M49-N57</f>
        <v>357</v>
      </c>
      <c r="O59" s="2498"/>
    </row>
    <row r="60" spans="1:35" ht="12" customHeight="1">
      <c r="A60" s="2499"/>
      <c r="B60" s="2421"/>
      <c r="C60" s="2421"/>
      <c r="D60" s="2421"/>
      <c r="E60" s="2169"/>
      <c r="F60" s="2492"/>
      <c r="G60" s="2492"/>
      <c r="H60" s="2500"/>
      <c r="I60" s="137"/>
      <c r="J60" s="3318"/>
      <c r="K60" s="3316"/>
      <c r="L60" s="2493" t="s">
        <v>2235</v>
      </c>
      <c r="M60" s="1760"/>
      <c r="N60" s="2495" t="str">
        <f ca="1">NUMBERSTRING(INT(N59*10000),2)&amp;"元整"</f>
        <v>叁佰伍拾柒万元整</v>
      </c>
      <c r="O60" s="2496"/>
    </row>
    <row r="61" spans="1:35" ht="13.5" thickBot="1">
      <c r="A61" s="3259" t="s">
        <v>2239</v>
      </c>
      <c r="B61" s="3259"/>
      <c r="C61" s="3259"/>
      <c r="D61" s="3259"/>
      <c r="E61" s="3259"/>
      <c r="F61" s="2492"/>
      <c r="G61" s="2492"/>
      <c r="H61" s="2500"/>
      <c r="I61" s="137"/>
      <c r="J61" s="1811">
        <f>J59+1</f>
        <v>6</v>
      </c>
      <c r="K61" s="3316" t="s">
        <v>2240</v>
      </c>
      <c r="L61" s="3316"/>
      <c r="M61" s="1763"/>
      <c r="N61" s="1764">
        <f ca="1">ROUND(N59*10000/'数据-汇总表'!E3,0)</f>
        <v>18686</v>
      </c>
      <c r="O61" s="2501"/>
    </row>
    <row r="62" spans="1:35" ht="12.75">
      <c r="A62" s="3275" t="s">
        <v>2241</v>
      </c>
      <c r="B62" s="3276"/>
      <c r="C62" s="1803"/>
      <c r="D62" s="1803" t="s">
        <v>2242</v>
      </c>
      <c r="E62" s="191" t="s">
        <v>2243</v>
      </c>
      <c r="F62" s="2492"/>
      <c r="G62" s="2492"/>
      <c r="H62" s="2500"/>
      <c r="I62" s="137"/>
    </row>
    <row r="63" spans="1:35" ht="12.75">
      <c r="A63" s="202" t="s">
        <v>775</v>
      </c>
      <c r="B63" s="192" t="s">
        <v>2244</v>
      </c>
      <c r="C63" s="193">
        <f ca="1">ROUND((C64+C65)/(1+'数据-取费表'!C42),0)</f>
        <v>783</v>
      </c>
      <c r="D63" s="194"/>
      <c r="E63" s="195"/>
      <c r="F63" s="2492"/>
      <c r="G63" s="2492"/>
      <c r="H63" s="2500"/>
      <c r="I63" s="137"/>
      <c r="J63" s="3341" t="s">
        <v>2245</v>
      </c>
      <c r="K63" s="2502" t="s">
        <v>2246</v>
      </c>
      <c r="L63" s="1751">
        <f ca="1">IF(M49&gt;10000,M49*0.5%,IF(AND(M49&gt;1000,M49&lt;=10000),M49*1%,IF(AND(M49&gt;100,M49&lt;=1000),M49*3%,IF(AND(M49&gt;10,M49&lt;=100),M49*5%,M49*8%))))</f>
        <v>24.66</v>
      </c>
      <c r="M63" s="24">
        <f ca="1">ROUND(L63,1)</f>
        <v>24.7</v>
      </c>
      <c r="Z63" s="2426"/>
      <c r="AI63" s="2427"/>
    </row>
    <row r="64" spans="1:35" ht="14.25" customHeight="1">
      <c r="A64" s="196" t="s">
        <v>770</v>
      </c>
      <c r="B64" s="197" t="s">
        <v>2247</v>
      </c>
      <c r="C64" s="198">
        <f ca="1">D45</f>
        <v>822</v>
      </c>
      <c r="D64" s="199" t="s">
        <v>32</v>
      </c>
      <c r="E64" s="200"/>
      <c r="F64" s="2492"/>
      <c r="G64" s="2492"/>
      <c r="H64" s="2500"/>
      <c r="I64" s="137"/>
      <c r="J64" s="3341"/>
      <c r="K64" s="2502" t="s">
        <v>2248</v>
      </c>
      <c r="L64" s="1751">
        <f ca="1">IF(M49&gt;2000,M49*0.5%,IF(AND(M49&gt;1000,M49&lt;=2000),M49*0.6%,IF(AND(M49&gt;500,M49&lt;=1000),M49*0.7%,IF(AND(M49&gt;200,M49&lt;=500),M49*0.8%,IF(AND(M49&gt;100,M49&lt;=200),M49*0.9%,IF(AND(M49&gt;50,M49&lt;=100),M49*1%,IF(AND(M49&gt;20,M49&lt;=50),M49*1.5%,IF(AND(M49&gt;10,M49&lt;=20),M49*2%,IF(AND(M49&gt;1,M49&lt;=10),M49*2.5%)))))))))</f>
        <v>5.7539999999999996</v>
      </c>
      <c r="M64" s="24">
        <f t="shared" ref="M64:M65" ca="1" si="1">ROUND(L64,1)</f>
        <v>5.8</v>
      </c>
      <c r="N64" s="137" t="s">
        <v>2249</v>
      </c>
      <c r="Z64" s="2426"/>
      <c r="AI64" s="2427"/>
    </row>
    <row r="65" spans="1:35" ht="14.25" customHeight="1">
      <c r="A65" s="196" t="s">
        <v>771</v>
      </c>
      <c r="B65" s="197" t="s">
        <v>2250</v>
      </c>
      <c r="C65" s="201"/>
      <c r="D65" s="199"/>
      <c r="E65" s="200"/>
      <c r="F65" s="2492"/>
      <c r="G65" s="2492"/>
      <c r="H65" s="2500"/>
      <c r="I65" s="137"/>
      <c r="J65" s="3341"/>
      <c r="K65" s="2502" t="s">
        <v>2251</v>
      </c>
      <c r="L65" s="1751">
        <f ca="1">IF(M49&gt;1000,M49*0.1%,IF(AND(M49&gt;500,M49&lt;=1000),M49*0.5%,IF(AND(M49&gt;50,M49&lt;=500),M49*1%,IF(AND(M49&gt;1,M49&lt;=50),M49*1.5%))))</f>
        <v>4.1100000000000003</v>
      </c>
      <c r="M65" s="24">
        <f t="shared" ca="1" si="1"/>
        <v>4.0999999999999996</v>
      </c>
      <c r="N65" s="137" t="s">
        <v>2249</v>
      </c>
      <c r="Z65" s="2426"/>
      <c r="AI65" s="2427"/>
    </row>
    <row r="66" spans="1:35" ht="14.25" customHeight="1">
      <c r="A66" s="202" t="s">
        <v>772</v>
      </c>
      <c r="B66" s="203" t="s">
        <v>2252</v>
      </c>
      <c r="C66" s="204"/>
      <c r="D66" s="205" t="s">
        <v>32</v>
      </c>
      <c r="E66" s="1775" t="s">
        <v>1371</v>
      </c>
      <c r="F66" s="2492"/>
      <c r="G66" s="2492"/>
      <c r="H66" s="2500"/>
      <c r="I66" s="137"/>
      <c r="J66" s="3341"/>
      <c r="K66" s="2502" t="s">
        <v>2253</v>
      </c>
      <c r="L66" s="1751">
        <f ca="1">M49*0.5%</f>
        <v>4.1100000000000003</v>
      </c>
      <c r="M66" s="24">
        <f ca="1">IF(L66&gt;0.5,0.5,ROUND(L66,0))</f>
        <v>0.5</v>
      </c>
      <c r="N66" s="137" t="s">
        <v>2254</v>
      </c>
      <c r="Z66" s="2426"/>
      <c r="AI66" s="2427"/>
    </row>
    <row r="67" spans="1:35" ht="14.25" customHeight="1">
      <c r="A67" s="202" t="s">
        <v>773</v>
      </c>
      <c r="B67" s="203" t="s">
        <v>2255</v>
      </c>
      <c r="C67" s="206">
        <f ca="1">C63-C66</f>
        <v>783</v>
      </c>
      <c r="D67" s="199" t="s">
        <v>32</v>
      </c>
      <c r="E67" s="200"/>
      <c r="F67" s="2492"/>
      <c r="G67" s="2492"/>
      <c r="H67" s="2500"/>
      <c r="I67" s="137"/>
      <c r="J67" s="3341"/>
      <c r="K67" s="2502" t="s">
        <v>2256</v>
      </c>
      <c r="L67" s="1751">
        <f ca="1">IF(M49&gt;=10000,(8.25+(M49-10000)*0.01%),IF(AND(M49&gt;=8000,M49&lt;10000),(7.85+(M49-8000)*0.02%),IF(AND(M49&gt;=5000,M49&lt;8000),(6.65+(M49-5000)*0.04%),IF(AND(M49&gt;=2000,M49&lt;5000),(4.25+(PM49-2000)*0.08%),IF(AND(M49&gt;=1000,M49&lt;2000),(2.75+(M49-1000)*0.15%),IF(AND(M49&gt;=100,M49&lt;1000),(0.5+(M49-100)*0.25%),IF(AND(M49&gt;0,M49&lt;100),M49*0.5%)))))))</f>
        <v>2.3049999999999997</v>
      </c>
      <c r="M67" s="24">
        <f ca="1">ROUND(L67*0.9,1)</f>
        <v>2.1</v>
      </c>
      <c r="Z67" s="2426"/>
      <c r="AI67" s="2427"/>
    </row>
    <row r="68" spans="1:35" ht="14.25" customHeight="1" thickBot="1">
      <c r="A68" s="207" t="s">
        <v>774</v>
      </c>
      <c r="B68" s="208" t="s">
        <v>2257</v>
      </c>
      <c r="C68" s="209">
        <f ca="1">IF(C67&lt;=0,0,ROUND(C67*D68,0))</f>
        <v>44</v>
      </c>
      <c r="D68" s="210">
        <f>'数据-取费表'!B41</f>
        <v>5.6000000000000001E-2</v>
      </c>
      <c r="E68" s="211"/>
      <c r="F68" s="2492"/>
      <c r="G68" s="2492"/>
      <c r="H68" s="2500"/>
      <c r="I68" s="137"/>
      <c r="J68" s="3341"/>
      <c r="K68" s="2502" t="s">
        <v>2258</v>
      </c>
      <c r="L68" s="1751">
        <f ca="1">IF(M49&gt;10000,M49*0.5%,IF(AND(M49&gt;5000,M49&lt;=10000),M49*1%,IF(AND(M49&gt;1000,M49&lt;=5000),M49*2%,IF(AND(M49&gt;200,M49&lt;=1000),M49*3%,M49*5%))))</f>
        <v>24.66</v>
      </c>
      <c r="M68" s="24">
        <f ca="1">ROUND(L68,1)</f>
        <v>24.7</v>
      </c>
      <c r="Z68" s="2426"/>
      <c r="AI68" s="2427"/>
    </row>
    <row r="69" spans="1:35" s="2449" customFormat="1" ht="16.5" customHeight="1">
      <c r="A69" s="2503"/>
      <c r="B69" s="2504"/>
      <c r="C69" s="2505"/>
      <c r="D69" s="2506"/>
      <c r="E69" s="2507"/>
      <c r="F69" s="2169"/>
      <c r="G69" s="2169"/>
      <c r="H69" s="2168"/>
      <c r="I69" s="2421"/>
      <c r="J69" s="3341"/>
      <c r="K69" s="2502" t="s">
        <v>2259</v>
      </c>
      <c r="L69" s="2508"/>
      <c r="M69" s="24">
        <f ca="1">ROUND(SUM(M63:M68),0)</f>
        <v>62</v>
      </c>
      <c r="N69" s="1752">
        <f ca="1">M69/M49</f>
        <v>7.5425790754257913E-2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783</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5</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5</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778</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155.6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465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783</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5</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5</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778</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155.6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465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比较法-办公</v>
      </c>
      <c r="D101" s="736" t="str">
        <f>D4</f>
        <v>收益法 (办公)</v>
      </c>
      <c r="E101" s="3338" t="s">
        <v>2300</v>
      </c>
      <c r="F101" s="3291"/>
      <c r="G101" s="2523" t="s">
        <v>2301</v>
      </c>
      <c r="H101" s="1047">
        <f ca="1">H118</f>
        <v>822</v>
      </c>
      <c r="I101" s="137"/>
    </row>
    <row r="102" spans="1:35" ht="18.75" customHeight="1">
      <c r="A102" s="3293" t="s">
        <v>2302</v>
      </c>
      <c r="B102" s="2523" t="s">
        <v>2301</v>
      </c>
      <c r="C102" s="735">
        <f ca="1">C19</f>
        <v>953</v>
      </c>
      <c r="D102" s="736">
        <f ca="1">D19</f>
        <v>626</v>
      </c>
      <c r="E102" s="3338"/>
      <c r="F102" s="3291"/>
      <c r="G102" s="2523" t="s">
        <v>2303</v>
      </c>
      <c r="H102" s="370">
        <f ca="1">I118</f>
        <v>43016</v>
      </c>
      <c r="I102" s="137"/>
    </row>
    <row r="103" spans="1:35" ht="42.75" customHeight="1">
      <c r="A103" s="3293"/>
      <c r="B103" s="2523" t="s">
        <v>2303</v>
      </c>
      <c r="C103" s="737">
        <f ca="1">C20</f>
        <v>49861</v>
      </c>
      <c r="D103" s="738">
        <f ca="1">D20</f>
        <v>32749</v>
      </c>
      <c r="E103" s="3333" t="s">
        <v>2304</v>
      </c>
      <c r="F103" s="3334"/>
      <c r="G103" s="2524" t="s">
        <v>2305</v>
      </c>
      <c r="H103" s="1047">
        <f>IF(D36="正常操作",H104+H105+H106,H105+H106)</f>
        <v>0</v>
      </c>
      <c r="I103" s="137"/>
    </row>
    <row r="104" spans="1:35" ht="18.75" customHeight="1">
      <c r="A104" s="3293" t="s">
        <v>2306</v>
      </c>
      <c r="B104" s="2525" t="s">
        <v>2301</v>
      </c>
      <c r="C104" s="739">
        <f ca="1">H118</f>
        <v>822</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f ca="1">I118</f>
        <v>43016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f ca="1">IF(E107="——","——",H101-H103)</f>
        <v>822</v>
      </c>
      <c r="I107" s="137"/>
    </row>
    <row r="108" spans="1:35" ht="18.75" customHeight="1">
      <c r="A108" s="137"/>
      <c r="B108" s="137"/>
      <c r="C108" s="137"/>
      <c r="D108" s="137"/>
      <c r="E108" s="3290"/>
      <c r="F108" s="3291"/>
      <c r="G108" s="2523" t="s">
        <v>2303</v>
      </c>
      <c r="H108" s="370">
        <f ca="1">ROUND(H107*10000/'数据-汇总表'!E3,0)</f>
        <v>43025</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191.05</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822</v>
      </c>
      <c r="I118" s="1797">
        <f ca="1">ROUND(IF(D32="楼面单价",C32,H118*10000/B118),0)</f>
        <v>43016</v>
      </c>
    </row>
    <row r="119" spans="1:11" ht="18.75" customHeight="1">
      <c r="A119" s="3198" t="s">
        <v>2321</v>
      </c>
      <c r="B119" s="3198"/>
      <c r="C119" s="3198"/>
      <c r="D119" s="3301" t="e">
        <f ca="1">NUMBERSTRING(INT(D118*10000),2)&amp;"元整"</f>
        <v>#REF!</v>
      </c>
      <c r="E119" s="3303"/>
      <c r="F119" s="3301" t="e">
        <f ca="1">NUMBERSTRING(INT(F118*10000),2)&amp;"元整"</f>
        <v>#REF!</v>
      </c>
      <c r="G119" s="3303"/>
      <c r="H119" s="3301" t="str">
        <f ca="1">NUMBERSTRING(INT(H118*10000),2)&amp;"元整"</f>
        <v>捌佰贰拾贰万元整</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f ca="1">H107</f>
        <v>822</v>
      </c>
      <c r="E122" s="3331"/>
      <c r="F122" s="3331"/>
      <c r="G122" s="3331"/>
      <c r="H122" s="3331"/>
      <c r="I122" s="3332"/>
    </row>
    <row r="123" spans="1:11" ht="18.75" customHeight="1">
      <c r="A123" s="3198" t="s">
        <v>2321</v>
      </c>
      <c r="B123" s="3198"/>
      <c r="C123" s="3198"/>
      <c r="D123" s="3301" t="str">
        <f ca="1">NUMBERSTRING(INT(D122*10000),2)&amp;"元整"</f>
        <v>捌佰贰拾贰万元整</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88</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4606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191.05</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4</v>
      </c>
      <c r="D19" s="1038">
        <f ca="1">D9+D10</f>
        <v>191.05</v>
      </c>
      <c r="E19" s="254">
        <f>'数据-取费表'!B31</f>
        <v>200</v>
      </c>
      <c r="F19" s="274"/>
      <c r="G19" s="2555"/>
    </row>
    <row r="20" spans="1:7" s="257" customFormat="1" ht="13.5" customHeight="1">
      <c r="A20" s="298" t="s">
        <v>2362</v>
      </c>
      <c r="B20" s="253" t="s">
        <v>2363</v>
      </c>
      <c r="C20" s="275">
        <f ca="1">ROUND((C5+C19)*F20,0)</f>
        <v>0</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0</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0</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ROUND((C5+C19+C20)*F27*'数据-取费表'!B21/'数据-取费表'!B20,0)</f>
        <v>1</v>
      </c>
      <c r="D28" s="278"/>
      <c r="E28" s="279"/>
      <c r="F28" s="289"/>
      <c r="G28" s="290"/>
    </row>
    <row r="29" spans="1:7" s="257" customFormat="1" ht="13.5" customHeight="1">
      <c r="A29" s="953" t="s">
        <v>792</v>
      </c>
      <c r="B29" s="291" t="s">
        <v>2386</v>
      </c>
      <c r="C29" s="281">
        <f ca="1">ROUND(C21*F27*'数据-取费表'!B21/'数据-取费表'!B20,4)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74</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67</v>
      </c>
      <c r="D34" s="260"/>
      <c r="E34" s="263"/>
      <c r="F34" s="300">
        <f ca="1">IF('数据-取费表'!B24=0,1,IF(B1="",'数据-取费表'!N16,INDIRECT("'数据-取费表'!n"&amp;$G$1)))</f>
        <v>1</v>
      </c>
      <c r="G34" s="262" t="s">
        <v>2395</v>
      </c>
    </row>
    <row r="35" spans="1:7" ht="13.5" customHeight="1">
      <c r="A35" s="953" t="s">
        <v>796</v>
      </c>
      <c r="B35" s="258" t="s">
        <v>2396</v>
      </c>
      <c r="C35" s="263">
        <f ca="1">ROUND(C34*F35,0)</f>
        <v>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4</v>
      </c>
      <c r="D37" s="260">
        <f ca="1">D19</f>
        <v>191.05</v>
      </c>
      <c r="E37" s="292">
        <f>'数据-取费表'!B35</f>
        <v>200</v>
      </c>
      <c r="F37" s="302"/>
      <c r="G37" s="304" t="s">
        <v>2401</v>
      </c>
    </row>
    <row r="38" spans="1:7" ht="13.5" customHeight="1">
      <c r="A38" s="953" t="s">
        <v>799</v>
      </c>
      <c r="B38" s="258" t="s">
        <v>2402</v>
      </c>
      <c r="C38" s="263">
        <f ca="1">ROUND(C34*F38,0)</f>
        <v>1</v>
      </c>
      <c r="D38" s="263"/>
      <c r="E38" s="263"/>
      <c r="F38" s="302">
        <f>'数据-取费表'!B36</f>
        <v>1.4999999999999999E-2</v>
      </c>
      <c r="G38" s="262" t="s">
        <v>2397</v>
      </c>
    </row>
    <row r="39" spans="1:7" s="257" customFormat="1" ht="13.5" customHeight="1">
      <c r="A39" s="298" t="s">
        <v>2403</v>
      </c>
      <c r="B39" s="253" t="s">
        <v>2404</v>
      </c>
      <c r="C39" s="275">
        <f ca="1">ROUND(C33*F20,0)</f>
        <v>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v>
      </c>
      <c r="D42" s="281"/>
      <c r="E42" s="281"/>
      <c r="F42" s="282"/>
      <c r="G42" s="3344" t="s">
        <v>2413</v>
      </c>
    </row>
    <row r="43" spans="1:7" ht="13.5" customHeight="1">
      <c r="A43" s="953" t="s">
        <v>792</v>
      </c>
      <c r="B43" s="258" t="s">
        <v>2414</v>
      </c>
      <c r="C43" s="281">
        <f ca="1">ROUND(IF('数据-取费表'!B22&lt;=1,C39*F22*'数据-取费表'!B21/2,C39*(POWER((1+F22),'数据-取费表'!B21/2)-1)),0)</f>
        <v>0</v>
      </c>
      <c r="D43" s="281"/>
      <c r="E43" s="281"/>
      <c r="F43" s="282"/>
      <c r="G43" s="3345"/>
    </row>
    <row r="44" spans="1:7" ht="13.5" customHeight="1">
      <c r="A44" s="953" t="s">
        <v>793</v>
      </c>
      <c r="B44" s="258" t="s">
        <v>2415</v>
      </c>
      <c r="C44" s="281">
        <f ca="1">ROUND(IF('数据-取费表'!B22&lt;=1,C40*F22*'数据-取费表'!B21/2,C40*(POWER((1+F22),'数据-取费表'!B21/2)-1)),4)</f>
        <v>1E-3</v>
      </c>
      <c r="D44" s="281"/>
      <c r="E44" s="281"/>
      <c r="F44" s="282"/>
      <c r="G44" s="3346"/>
    </row>
    <row r="45" spans="1:7" s="257" customFormat="1" ht="13.5" customHeight="1">
      <c r="A45" s="298" t="s">
        <v>2416</v>
      </c>
      <c r="B45" s="287" t="s">
        <v>2382</v>
      </c>
      <c r="C45" s="288">
        <f ca="1">C46</f>
        <v>19</v>
      </c>
      <c r="D45" s="278">
        <f ca="1">C47</f>
        <v>5.0000000000000001E-3</v>
      </c>
      <c r="E45" s="279" t="s">
        <v>2408</v>
      </c>
      <c r="F45" s="289"/>
      <c r="G45" s="290" t="s">
        <v>2417</v>
      </c>
    </row>
    <row r="46" spans="1:7" s="257" customFormat="1" ht="13.5" customHeight="1">
      <c r="A46" s="953" t="s">
        <v>791</v>
      </c>
      <c r="B46" s="291" t="s">
        <v>2418</v>
      </c>
      <c r="C46" s="292">
        <f ca="1">ROUND((C33+C39)*F27,0)</f>
        <v>19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v>
      </c>
      <c r="D49" s="275"/>
      <c r="E49" s="275"/>
      <c r="F49" s="307"/>
      <c r="G49" s="277" t="s">
        <v>2423</v>
      </c>
    </row>
    <row r="50" spans="1:7" s="301" customFormat="1" ht="24">
      <c r="A50" s="298" t="s">
        <v>2424</v>
      </c>
      <c r="B50" s="253" t="s">
        <v>2425</v>
      </c>
      <c r="C50" s="275"/>
      <c r="D50" s="275"/>
      <c r="E50" s="275"/>
      <c r="F50" s="307">
        <f>IF('数据-取费表'!B24=0,'数据-取费表'!N16,1)</f>
        <v>0.78</v>
      </c>
      <c r="G50" s="290" t="s">
        <v>2426</v>
      </c>
    </row>
    <row r="51" spans="1:7" ht="16.5" customHeight="1">
      <c r="A51" s="298" t="s">
        <v>2427</v>
      </c>
      <c r="B51" s="253" t="s">
        <v>2428</v>
      </c>
      <c r="C51" s="275">
        <f ca="1">ROUND(C49*F50,0)</f>
        <v>83</v>
      </c>
      <c r="D51" s="275"/>
      <c r="E51" s="275"/>
      <c r="F51" s="307"/>
      <c r="G51" s="277" t="s">
        <v>2429</v>
      </c>
    </row>
    <row r="52" spans="1:7" s="251" customFormat="1" ht="16.5" thickBot="1">
      <c r="A52" s="308" t="s">
        <v>2430</v>
      </c>
      <c r="B52" s="309"/>
      <c r="C52" s="310">
        <f ca="1">C31+C51</f>
        <v>88</v>
      </c>
      <c r="D52" s="309"/>
      <c r="E52" s="309"/>
      <c r="F52" s="309"/>
      <c r="G52" s="311"/>
    </row>
    <row r="55" spans="1:7" ht="15">
      <c r="B55" s="313" t="s">
        <v>2431</v>
      </c>
      <c r="C55" s="314"/>
    </row>
    <row r="56" spans="1:7">
      <c r="B56" s="316" t="s">
        <v>1513</v>
      </c>
      <c r="C56" s="318">
        <f ca="1">1-C57</f>
        <v>5.7000000000000051E-2</v>
      </c>
    </row>
    <row r="57" spans="1:7">
      <c r="B57" s="316" t="s">
        <v>1514</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963"/>
      <c r="B4" s="3157" t="s">
        <v>1630</v>
      </c>
      <c r="C4" s="3157"/>
      <c r="D4" s="3157"/>
      <c r="E4" s="1963"/>
    </row>
    <row r="5" spans="1:5" ht="16.5" thickTop="1">
      <c r="A5" s="1961"/>
      <c r="B5" s="3155" t="s">
        <v>1622</v>
      </c>
      <c r="C5" s="1964" t="s">
        <v>1623</v>
      </c>
      <c r="D5" s="1042">
        <f ca="1">'结果表（办公）'!H101</f>
        <v>822</v>
      </c>
      <c r="E5" s="1961"/>
    </row>
    <row r="6" spans="1:5" ht="15.75">
      <c r="A6" s="1961"/>
      <c r="B6" s="3155"/>
      <c r="C6" s="1964" t="s">
        <v>1624</v>
      </c>
      <c r="D6" s="1042" t="str">
        <f ca="1">NUMBERSTRING(INT(D5*10000),2)&amp;"元整"</f>
        <v>捌佰贰拾贰万元整</v>
      </c>
      <c r="E6" s="1961"/>
    </row>
    <row r="7" spans="1:5" ht="15.75">
      <c r="A7" s="1961"/>
      <c r="B7" s="3160"/>
      <c r="C7" s="1965" t="s">
        <v>1625</v>
      </c>
      <c r="D7" s="1043">
        <f ca="1">'结果表（办公）'!H102</f>
        <v>43016</v>
      </c>
      <c r="E7" s="1961"/>
    </row>
    <row r="8" spans="1:5" ht="15.75">
      <c r="A8" s="1961"/>
      <c r="B8" s="3161" t="str">
        <f>'结果表（办公）'!E103</f>
        <v>2.估价师知悉的法定优先受偿款</v>
      </c>
      <c r="C8" s="1966" t="s">
        <v>1626</v>
      </c>
      <c r="D8" s="1043">
        <f>'结果表（办公）'!H103</f>
        <v>0</v>
      </c>
      <c r="E8" s="1961"/>
    </row>
    <row r="9" spans="1:5" ht="15.75">
      <c r="A9" s="1961"/>
      <c r="B9" s="3163"/>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54" t="str">
        <f>'结果表（办公）'!E107</f>
        <v>3.房地产抵押价值</v>
      </c>
      <c r="C13" s="1969" t="s">
        <v>1623</v>
      </c>
      <c r="D13" s="1045">
        <f ca="1">'结果表（办公）'!H107</f>
        <v>822</v>
      </c>
      <c r="E13" s="1961"/>
    </row>
    <row r="14" spans="1:5" ht="15.75">
      <c r="A14" s="1961"/>
      <c r="B14" s="3155"/>
      <c r="C14" s="1964" t="s">
        <v>1624</v>
      </c>
      <c r="D14" s="1042" t="str">
        <f ca="1">NUMBERSTRING(INT(D13*10000),2)&amp;"元整"</f>
        <v>捌佰贰拾贰万元整</v>
      </c>
      <c r="E14" s="1961"/>
    </row>
    <row r="15" spans="1:5" ht="15">
      <c r="A15" s="1961"/>
      <c r="B15" s="3160"/>
      <c r="C15" s="1965" t="s">
        <v>1634</v>
      </c>
      <c r="D15" s="1054">
        <f ca="1">'结果表（办公）'!H108</f>
        <v>43025</v>
      </c>
      <c r="E15" s="1961"/>
    </row>
    <row r="16" spans="1:5" ht="15">
      <c r="A16" s="1961"/>
      <c r="B16" s="3161" t="str">
        <f>'结果表（办公）'!E109</f>
        <v>——</v>
      </c>
      <c r="C16" s="1969" t="s">
        <v>1635</v>
      </c>
      <c r="D16" s="1970" t="str">
        <f>'结果表（办公）'!H109</f>
        <v>——</v>
      </c>
      <c r="E16" s="1961"/>
    </row>
    <row r="17" spans="1:5" ht="15.75">
      <c r="A17" s="1961"/>
      <c r="B17" s="3162"/>
      <c r="C17" s="1964" t="s">
        <v>1636</v>
      </c>
      <c r="D17" s="1042" t="e">
        <f>NUMBERSTRING(INT(D16*10000),2)&amp;"元整"</f>
        <v>#VALUE!</v>
      </c>
      <c r="E17" s="1961"/>
    </row>
    <row r="18" spans="1:5" ht="15">
      <c r="A18" s="1961"/>
      <c r="B18" s="3163"/>
      <c r="C18" s="1965" t="s">
        <v>1625</v>
      </c>
      <c r="D18" s="1054" t="str">
        <f>'结果表（办公）'!H110</f>
        <v>——</v>
      </c>
      <c r="E18" s="1961"/>
    </row>
    <row r="19" spans="1:5" ht="15.75">
      <c r="A19" s="1961"/>
      <c r="B19" s="3154" t="str">
        <f>'结果表（办公）'!E111</f>
        <v>——</v>
      </c>
      <c r="C19" s="1969" t="s">
        <v>1623</v>
      </c>
      <c r="D19" s="1043" t="str">
        <f>'结果表（办公）'!H111</f>
        <v>——</v>
      </c>
      <c r="E19" s="1961"/>
    </row>
    <row r="20" spans="1:5" ht="15.75">
      <c r="A20" s="1961"/>
      <c r="B20" s="3155"/>
      <c r="C20" s="1964" t="s">
        <v>1636</v>
      </c>
      <c r="D20" s="1042" t="e">
        <f>NUMBERSTRING(INT(D19*10000),2)&amp;"元整"</f>
        <v>#VALUE!</v>
      </c>
      <c r="E20" s="1961"/>
    </row>
    <row r="21" spans="1:5" ht="15.75" thickBot="1">
      <c r="A21" s="1961"/>
      <c r="B21" s="3156"/>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88</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4606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191.05</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38210</v>
      </c>
      <c r="D19" s="1038">
        <f ca="1">D9+D10</f>
        <v>191.05</v>
      </c>
      <c r="E19" s="254">
        <f>'数据-取费表'!B31</f>
        <v>200</v>
      </c>
      <c r="F19" s="274"/>
      <c r="G19" s="2555"/>
    </row>
    <row r="20" spans="1:7" s="257" customFormat="1" ht="13.5" customHeight="1">
      <c r="A20" s="298" t="s">
        <v>2443</v>
      </c>
      <c r="B20" s="253" t="s">
        <v>2444</v>
      </c>
      <c r="C20" s="275">
        <f ca="1">ROUND((C5+C19)*F20,0)</f>
        <v>764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3752</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3716</v>
      </c>
      <c r="D24" s="281"/>
      <c r="E24" s="281"/>
      <c r="F24" s="282"/>
      <c r="G24" s="283" t="s">
        <v>2455</v>
      </c>
    </row>
    <row r="25" spans="1:7" s="257" customFormat="1" ht="24">
      <c r="A25" s="953" t="s">
        <v>2345</v>
      </c>
      <c r="B25" s="258" t="s">
        <v>2456</v>
      </c>
      <c r="C25" s="1383">
        <f ca="1">ROUND(IF('数据-取费表'!B22&lt;=1,C20*F22*'数据-取费表'!B22/2,C20*(POWER((1+F22),'数据-取费表'!B22/2)-1)),0)</f>
        <v>36</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9744</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ROUND((C5+C19+C20)*F27,0)</f>
        <v>9744</v>
      </c>
      <c r="D28" s="278"/>
      <c r="E28" s="279"/>
      <c r="F28" s="289"/>
      <c r="G28" s="290"/>
    </row>
    <row r="29" spans="1:7" s="257" customFormat="1" ht="13.5" customHeight="1">
      <c r="A29" s="953" t="s">
        <v>792</v>
      </c>
      <c r="B29" s="291" t="s">
        <v>2386</v>
      </c>
      <c r="C29" s="281">
        <f ca="1">ROUND(C21*F27,4)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56989</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736975</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668675</v>
      </c>
      <c r="D34" s="260"/>
      <c r="E34" s="263"/>
      <c r="F34" s="300"/>
      <c r="G34" s="262"/>
    </row>
    <row r="35" spans="1:7" ht="13.5" customHeight="1">
      <c r="A35" s="953" t="s">
        <v>796</v>
      </c>
      <c r="B35" s="258" t="s">
        <v>2396</v>
      </c>
      <c r="C35" s="263">
        <f ca="1">ROUND(C34*F35,0)</f>
        <v>20060</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38210</v>
      </c>
      <c r="D37" s="260">
        <f ca="1">D19</f>
        <v>191.05</v>
      </c>
      <c r="E37" s="292">
        <f>'数据-取费表'!B35</f>
        <v>200</v>
      </c>
      <c r="F37" s="302"/>
      <c r="G37" s="304"/>
    </row>
    <row r="38" spans="1:7" ht="13.5" customHeight="1">
      <c r="A38" s="953" t="s">
        <v>799</v>
      </c>
      <c r="B38" s="258" t="s">
        <v>2402</v>
      </c>
      <c r="C38" s="263">
        <f ca="1">ROUND(C34*F38,0)</f>
        <v>10030</v>
      </c>
      <c r="D38" s="263"/>
      <c r="E38" s="263"/>
      <c r="F38" s="302">
        <f>'数据-取费表'!B36</f>
        <v>1.4999999999999999E-2</v>
      </c>
      <c r="G38" s="262" t="s">
        <v>2397</v>
      </c>
    </row>
    <row r="39" spans="1:7" s="257" customFormat="1" ht="13.5" customHeight="1">
      <c r="A39" s="298" t="s">
        <v>2403</v>
      </c>
      <c r="B39" s="253" t="s">
        <v>2404</v>
      </c>
      <c r="C39" s="275">
        <f ca="1">ROUND(C33*F20,0)</f>
        <v>14740</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35706</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35006</v>
      </c>
      <c r="D42" s="281"/>
      <c r="E42" s="281"/>
      <c r="F42" s="282"/>
      <c r="G42" s="3344" t="s">
        <v>2460</v>
      </c>
    </row>
    <row r="43" spans="1:7" ht="13.5" customHeight="1">
      <c r="A43" s="953" t="s">
        <v>792</v>
      </c>
      <c r="B43" s="258" t="s">
        <v>2414</v>
      </c>
      <c r="C43" s="281">
        <f ca="1">ROUND(IF('数据-取费表'!B22&lt;=1,C39*F22*'数据-取费表'!B20/2,C39*(POWER((1+F22),'数据-取费表'!B20/2)-1)),0)</f>
        <v>700</v>
      </c>
      <c r="D43" s="281"/>
      <c r="E43" s="281"/>
      <c r="F43" s="282"/>
      <c r="G43" s="3345"/>
    </row>
    <row r="44" spans="1:7" ht="13.5" customHeight="1">
      <c r="A44" s="953" t="s">
        <v>793</v>
      </c>
      <c r="B44" s="258" t="s">
        <v>2415</v>
      </c>
      <c r="C44" s="281">
        <f ca="1">ROUND(IF('数据-取费表'!B22&lt;=1,C40*F22*'数据-取费表'!B20/2,C40*(POWER((1+F22),'数据-取费表'!B20/2)-1)),4)</f>
        <v>1E-3</v>
      </c>
      <c r="D44" s="281"/>
      <c r="E44" s="281"/>
      <c r="F44" s="282"/>
      <c r="G44" s="3346"/>
    </row>
    <row r="45" spans="1:7" s="257" customFormat="1" ht="13.5" customHeight="1">
      <c r="A45" s="298" t="s">
        <v>2416</v>
      </c>
      <c r="B45" s="287" t="s">
        <v>2382</v>
      </c>
      <c r="C45" s="288">
        <f ca="1">C46</f>
        <v>187929</v>
      </c>
      <c r="D45" s="278">
        <f ca="1">C47</f>
        <v>5.0000000000000001E-3</v>
      </c>
      <c r="E45" s="279" t="s">
        <v>2408</v>
      </c>
      <c r="F45" s="289"/>
      <c r="G45" s="290" t="s">
        <v>2417</v>
      </c>
    </row>
    <row r="46" spans="1:7" s="257" customFormat="1" ht="13.5" customHeight="1">
      <c r="A46" s="953" t="s">
        <v>791</v>
      </c>
      <c r="B46" s="291" t="s">
        <v>2418</v>
      </c>
      <c r="C46" s="292">
        <f ca="1">ROUND((C33+C39)*F27,0)</f>
        <v>187929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1059357</v>
      </c>
      <c r="D49" s="275"/>
      <c r="E49" s="275"/>
      <c r="F49" s="307"/>
      <c r="G49" s="277" t="s">
        <v>2423</v>
      </c>
    </row>
    <row r="50" spans="1:7" s="301" customFormat="1">
      <c r="A50" s="298" t="s">
        <v>2424</v>
      </c>
      <c r="B50" s="253" t="s">
        <v>2425</v>
      </c>
      <c r="C50" s="275"/>
      <c r="D50" s="275"/>
      <c r="E50" s="275"/>
      <c r="F50" s="307">
        <f>IF('数据-取费表'!B24=0,'数据-取费表'!N16,1)</f>
        <v>0.78</v>
      </c>
      <c r="G50" s="290"/>
    </row>
    <row r="51" spans="1:7" ht="16.5" customHeight="1">
      <c r="A51" s="298" t="s">
        <v>2427</v>
      </c>
      <c r="B51" s="253" t="s">
        <v>2462</v>
      </c>
      <c r="C51" s="275">
        <f ca="1">ROUND(C49*F50,0)</f>
        <v>826298</v>
      </c>
      <c r="D51" s="275"/>
      <c r="E51" s="275"/>
      <c r="F51" s="307"/>
      <c r="G51" s="277" t="s">
        <v>2429</v>
      </c>
    </row>
    <row r="52" spans="1:7" s="251" customFormat="1" ht="16.5" thickBot="1">
      <c r="A52" s="308" t="s">
        <v>2430</v>
      </c>
      <c r="B52" s="309"/>
      <c r="C52" s="310">
        <f ca="1">C31+C51</f>
        <v>883287</v>
      </c>
      <c r="D52" s="309"/>
      <c r="E52" s="309"/>
      <c r="F52" s="309"/>
      <c r="G52" s="311"/>
    </row>
    <row r="55" spans="1:7" ht="15">
      <c r="B55" s="313" t="s">
        <v>2431</v>
      </c>
      <c r="C55" s="314"/>
    </row>
    <row r="56" spans="1:7">
      <c r="B56" s="316" t="s">
        <v>1513</v>
      </c>
      <c r="C56" s="318">
        <f ca="1">1-C57</f>
        <v>6.4999999999999947E-2</v>
      </c>
    </row>
    <row r="57" spans="1:7">
      <c r="B57" s="316" t="s">
        <v>1514</v>
      </c>
      <c r="C57" s="317">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191.05</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191.05</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191.05</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0.25</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#REF!</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349" t="s">
        <v>1403</v>
      </c>
      <c r="C6" s="1298">
        <f ca="1">ROUND(F6*F8*F7*(1-F9)/10000,0)</f>
        <v>0</v>
      </c>
      <c r="D6" s="163" t="s">
        <v>3035</v>
      </c>
      <c r="E6" s="346" t="s">
        <v>1405</v>
      </c>
      <c r="F6" s="347">
        <f ca="1">INDIRECT("'数据-取费表'!u"&amp;$G$1)</f>
        <v>0</v>
      </c>
      <c r="G6" s="1853"/>
      <c r="H6" s="1293" t="s">
        <v>1035</v>
      </c>
      <c r="I6" s="3349" t="s">
        <v>1403</v>
      </c>
      <c r="J6" s="345">
        <f ca="1">ROUND(M6*M8*M7*(1-M9)/10000,0)</f>
        <v>0</v>
      </c>
      <c r="K6" s="163" t="s">
        <v>3034</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0</v>
      </c>
      <c r="G7" s="1853"/>
      <c r="H7" s="348"/>
      <c r="I7" s="3350"/>
      <c r="J7" s="350"/>
      <c r="K7" s="351"/>
      <c r="L7" s="346" t="s">
        <v>1406</v>
      </c>
      <c r="M7" s="347">
        <f ca="1">F7</f>
        <v>0</v>
      </c>
    </row>
    <row r="8" spans="1:37" ht="18" customHeight="1">
      <c r="A8" s="348"/>
      <c r="B8" s="3350"/>
      <c r="C8" s="350"/>
      <c r="D8" s="351"/>
      <c r="E8" s="346" t="s">
        <v>1407</v>
      </c>
      <c r="F8" s="347">
        <f ca="1">INDIRECT("'数据-取费表'!ai"&amp;$G$1)</f>
        <v>0</v>
      </c>
      <c r="G8" s="1853"/>
      <c r="H8" s="348"/>
      <c r="I8" s="3350"/>
      <c r="J8" s="350"/>
      <c r="K8" s="351"/>
      <c r="L8" s="346" t="s">
        <v>1407</v>
      </c>
      <c r="M8" s="347">
        <f ca="1">INDIRECT("'数据-取费表'!ai"&amp;$G$1)</f>
        <v>0</v>
      </c>
    </row>
    <row r="9" spans="1:37" ht="18" customHeight="1">
      <c r="A9" s="348"/>
      <c r="B9" s="3351"/>
      <c r="C9" s="350"/>
      <c r="D9" s="351"/>
      <c r="E9" s="346" t="s">
        <v>1408</v>
      </c>
      <c r="F9" s="356">
        <f ca="1">INDIRECT("'数据-取费表'!w"&amp;$G$1)</f>
        <v>0</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t="e">
        <f ca="1">ROUND(J26/(1+F40)^F41,0)</f>
        <v>#REF!</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#REF!</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#REF!</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#REF!</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#REF!</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#REF!</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47" t="s">
        <v>1548</v>
      </c>
      <c r="L53" s="3348"/>
      <c r="O53" s="1886" t="s">
        <v>1046</v>
      </c>
      <c r="P53" s="1887" t="s">
        <v>1549</v>
      </c>
      <c r="Q53" s="1888" t="e">
        <f ca="1">Q47+Q48</f>
        <v>#REF!</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#REF!</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#REF!</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#REF!</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#REF!</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t="e">
        <f ca="1">F41</f>
        <v>#REF!</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#REF!</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#REF!</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#REF!</v>
      </c>
    </row>
    <row r="83" spans="2:3">
      <c r="B83" s="316" t="s">
        <v>1514</v>
      </c>
      <c r="C83" s="317" t="e">
        <f ca="1">ROUND(C13/C40,3)</f>
        <v>#REF!</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3317</v>
      </c>
      <c r="D4" s="2430" t="s">
        <v>3313</v>
      </c>
      <c r="E4" s="3277" t="s">
        <v>2127</v>
      </c>
      <c r="F4" s="3278"/>
      <c r="G4" s="3278"/>
      <c r="H4" s="3278"/>
      <c r="I4" s="3289"/>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86">
        <v>55</v>
      </c>
      <c r="D14" s="3283">
        <v>45</v>
      </c>
      <c r="E14" s="139" t="s">
        <v>2142</v>
      </c>
      <c r="F14" s="2432"/>
      <c r="G14" s="2432"/>
      <c r="H14" s="2432"/>
      <c r="I14" s="1833"/>
    </row>
    <row r="15" spans="1:12" ht="12.75">
      <c r="A15" s="3260"/>
      <c r="B15" s="3198"/>
      <c r="C15" s="3288"/>
      <c r="D15" s="3283"/>
      <c r="E15" s="139" t="s">
        <v>2143</v>
      </c>
      <c r="F15" s="2432"/>
      <c r="G15" s="2432"/>
      <c r="H15" s="2432"/>
      <c r="I15" s="1833"/>
    </row>
    <row r="16" spans="1:12" ht="12.75">
      <c r="A16" s="3260"/>
      <c r="B16" s="3198"/>
      <c r="C16" s="3287"/>
      <c r="D16" s="328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0</v>
      </c>
      <c r="D19" s="143" t="e">
        <f ca="1">SUMIF(INDIRECT("'"&amp;D4&amp;"'"&amp;"!A:A"),'结果表 (商业无租约）'!B19,INDIRECT("'"&amp;D4&amp;"'"&amp;"!B:B"))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0</v>
      </c>
      <c r="E20" s="2440"/>
      <c r="F20" s="1249" t="s">
        <v>2155</v>
      </c>
      <c r="G20" s="147">
        <f ca="1">ROUND(C20*$C$18+D20*$D$18,0)</f>
        <v>31618</v>
      </c>
      <c r="H20" s="982" t="s">
        <v>2156</v>
      </c>
      <c r="I20" s="137"/>
    </row>
    <row r="21" spans="1:35" ht="15" customHeight="1" thickBot="1">
      <c r="A21" s="1002"/>
      <c r="B21" s="2441" t="s">
        <v>2157</v>
      </c>
      <c r="C21" s="788" t="e">
        <f ca="1">ROUND(C19*10000/L19,0)</f>
        <v>#DIV/0!</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31618</v>
      </c>
      <c r="D32" s="2452" t="s">
        <v>3114</v>
      </c>
      <c r="E32" s="137"/>
      <c r="F32" s="137"/>
      <c r="G32" s="137"/>
      <c r="H32" s="137"/>
      <c r="I32" s="137"/>
    </row>
    <row r="33" spans="1:15" ht="15">
      <c r="A33" s="959" t="s">
        <v>2166</v>
      </c>
      <c r="B33" s="2453"/>
      <c r="C33" s="2454"/>
      <c r="D33" s="2455"/>
      <c r="E33" s="2456" t="s">
        <v>2167</v>
      </c>
      <c r="F33" s="3005"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f ca="1">ROUND(H101*F45,0)</f>
        <v>0</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3015">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3015">
        <v>2</v>
      </c>
      <c r="K47" s="3315" t="s">
        <v>2197</v>
      </c>
      <c r="L47" s="3315"/>
      <c r="M47" s="3336">
        <f>'数据-取费表'!B2</f>
        <v>43405</v>
      </c>
      <c r="N47" s="3336"/>
      <c r="O47" s="3336"/>
    </row>
    <row r="48" spans="1:15" ht="25.5">
      <c r="A48" s="3279" t="s">
        <v>2198</v>
      </c>
      <c r="B48" s="3262"/>
      <c r="C48" s="3262"/>
      <c r="D48" s="139">
        <f>IF(H48="情况1",0,IF(H48="情况2",D52,IF(H48="情况3",D53,IF(H48="情况4",D54))))</f>
        <v>0</v>
      </c>
      <c r="E48" s="3025" t="str">
        <f>IF(H48="情况4","(销售额-原购置价)×税（费）率","销售额×税（费）率")</f>
        <v>销售额×税（费）率</v>
      </c>
      <c r="F48" s="174" t="str">
        <f>IF(H48="情况1","免征",'数据-取费表'!B41)</f>
        <v>免征</v>
      </c>
      <c r="G48" s="2484" t="s">
        <v>2199</v>
      </c>
      <c r="H48" s="2485" t="s">
        <v>2200</v>
      </c>
      <c r="I48" s="2483"/>
      <c r="J48" s="3015">
        <v>3</v>
      </c>
      <c r="K48" s="3315" t="s">
        <v>2201</v>
      </c>
      <c r="L48" s="3315"/>
      <c r="M48" s="3337">
        <f ca="1">H101</f>
        <v>0</v>
      </c>
      <c r="N48" s="3337"/>
      <c r="O48" s="3337"/>
    </row>
    <row r="49" spans="1:35" ht="25.5" customHeight="1">
      <c r="A49" s="175" t="s">
        <v>2202</v>
      </c>
      <c r="B49" s="3247" t="s">
        <v>2203</v>
      </c>
      <c r="C49" s="3247"/>
      <c r="D49" s="176">
        <v>0</v>
      </c>
      <c r="E49" s="23" t="s">
        <v>2204</v>
      </c>
      <c r="F49" s="28" t="s">
        <v>34</v>
      </c>
      <c r="G49" s="3321"/>
      <c r="H49" s="137"/>
      <c r="I49" s="2486"/>
      <c r="J49" s="3015">
        <v>4</v>
      </c>
      <c r="K49" s="3315" t="str">
        <f>IF(项目基本情况!E8="房地产抵押价值","房地产抵押价值","抵押担保权已注销时的房地产抵押价值")</f>
        <v>房地产抵押价值</v>
      </c>
      <c r="L49" s="3315"/>
      <c r="M49" s="3337">
        <f ca="1">IF(项目基本情况!E8="房地产抵押价值",H107,H109)</f>
        <v>0</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3008" t="s">
        <v>2208</v>
      </c>
      <c r="K51" s="3315" t="s">
        <v>2209</v>
      </c>
      <c r="L51" s="3315"/>
      <c r="M51" s="3008" t="s">
        <v>2210</v>
      </c>
      <c r="N51" s="3008" t="s">
        <v>2211</v>
      </c>
      <c r="O51" s="3008" t="s">
        <v>2212</v>
      </c>
    </row>
    <row r="52" spans="1:35" ht="24" customHeight="1">
      <c r="A52" s="182" t="s">
        <v>2213</v>
      </c>
      <c r="B52" s="3247" t="s">
        <v>2214</v>
      </c>
      <c r="C52" s="3247"/>
      <c r="D52" s="181">
        <f ca="1">ROUND(D45*'数据-取费表'!B41/(1+'数据-取费表'!C42),0)</f>
        <v>0</v>
      </c>
      <c r="E52" s="11" t="s">
        <v>2215</v>
      </c>
      <c r="F52" s="183">
        <f>'数据-取费表'!B41</f>
        <v>5.6000000000000001E-2</v>
      </c>
      <c r="G52" s="2488"/>
      <c r="H52" s="137"/>
      <c r="I52" s="2486"/>
      <c r="J52" s="3015">
        <v>1</v>
      </c>
      <c r="K52" s="3316" t="s">
        <v>2216</v>
      </c>
      <c r="L52" s="3316"/>
      <c r="M52" s="1753">
        <f>D48</f>
        <v>0</v>
      </c>
      <c r="N52" s="3015" t="str">
        <f>E48</f>
        <v>销售额×税（费）率</v>
      </c>
      <c r="O52" s="1754" t="str">
        <f>F48</f>
        <v>免征</v>
      </c>
    </row>
    <row r="53" spans="1:35" ht="12" customHeight="1">
      <c r="A53" s="182" t="s">
        <v>2217</v>
      </c>
      <c r="B53" s="3270" t="s">
        <v>2218</v>
      </c>
      <c r="C53" s="3271"/>
      <c r="D53" s="181">
        <f ca="1">ROUND(D45*'数据-取费表'!B41/(1+'数据-取费表'!C42),0)</f>
        <v>0</v>
      </c>
      <c r="E53" s="11" t="s">
        <v>2215</v>
      </c>
      <c r="F53" s="183">
        <f>'数据-取费表'!B41</f>
        <v>5.6000000000000001E-2</v>
      </c>
      <c r="G53" s="2488"/>
      <c r="H53" s="137"/>
      <c r="I53" s="2486"/>
      <c r="J53" s="3015">
        <v>2</v>
      </c>
      <c r="K53" s="3316" t="s">
        <v>2219</v>
      </c>
      <c r="L53" s="3316"/>
      <c r="M53" s="1753">
        <f t="shared" ref="M53:O54" ca="1" si="0">D55</f>
        <v>0</v>
      </c>
      <c r="N53" s="3015" t="str">
        <f t="shared" si="0"/>
        <v>销售额×税（费）率</v>
      </c>
      <c r="O53" s="1754">
        <f t="shared" si="0"/>
        <v>5.0000000000000001E-4</v>
      </c>
    </row>
    <row r="54" spans="1:35" ht="12" customHeight="1">
      <c r="A54" s="182" t="s">
        <v>2220</v>
      </c>
      <c r="B54" s="3270" t="s">
        <v>2221</v>
      </c>
      <c r="C54" s="3271"/>
      <c r="D54" s="181">
        <f ca="1">C68</f>
        <v>0</v>
      </c>
      <c r="E54" s="30" t="s">
        <v>2222</v>
      </c>
      <c r="F54" s="183">
        <f>'数据-取费表'!B41</f>
        <v>5.6000000000000001E-2</v>
      </c>
      <c r="G54" s="2488"/>
      <c r="H54" s="2489"/>
      <c r="I54" s="2486"/>
      <c r="J54" s="3015">
        <v>3</v>
      </c>
      <c r="K54" s="3316" t="s">
        <v>2223</v>
      </c>
      <c r="L54" s="3316"/>
      <c r="M54" s="1753">
        <f t="shared" ca="1" si="0"/>
        <v>0</v>
      </c>
      <c r="N54" s="3015" t="str">
        <f t="shared" si="0"/>
        <v>增值额×税（费）率</v>
      </c>
      <c r="O54" s="1755" t="str">
        <f t="shared" si="0"/>
        <v>——</v>
      </c>
    </row>
    <row r="55" spans="1:35" ht="24" customHeight="1">
      <c r="A55" s="3261" t="s">
        <v>2224</v>
      </c>
      <c r="B55" s="3262"/>
      <c r="C55" s="3262"/>
      <c r="D55" s="184">
        <f ca="1">IF(H55="个人住宅",0,ROUND(D45*I55,0))</f>
        <v>0</v>
      </c>
      <c r="E55" s="11" t="s">
        <v>2225</v>
      </c>
      <c r="F55" s="183">
        <f>IF(H55="正常",I55,"免征")</f>
        <v>5.0000000000000001E-4</v>
      </c>
      <c r="G55" s="2488"/>
      <c r="H55" s="2485" t="s">
        <v>2226</v>
      </c>
      <c r="I55" s="185">
        <f>'数据-取费表'!B49</f>
        <v>5.0000000000000001E-4</v>
      </c>
      <c r="J55" s="3015" t="str">
        <f>IF(H59="非个人房产","",4)</f>
        <v/>
      </c>
      <c r="K55" s="3316" t="str">
        <f>IF(H59="非个人房产","——","个人所得税")</f>
        <v>——</v>
      </c>
      <c r="L55" s="3316"/>
      <c r="M55" s="1756" t="str">
        <f>D59</f>
        <v>——</v>
      </c>
      <c r="N55" s="3016" t="str">
        <f>E59</f>
        <v>——</v>
      </c>
      <c r="O55" s="1757" t="str">
        <f>F59</f>
        <v>——</v>
      </c>
    </row>
    <row r="56" spans="1:35" ht="24.75">
      <c r="A56" s="3261" t="s">
        <v>2227</v>
      </c>
      <c r="B56" s="3262"/>
      <c r="C56" s="3262"/>
      <c r="D56" s="184">
        <f ca="1">IF(H56="个人住宅",D57,D58)</f>
        <v>0</v>
      </c>
      <c r="E56" s="11" t="s">
        <v>2228</v>
      </c>
      <c r="F56" s="183" t="str">
        <f>IF(H56="正常",F58,"免征")</f>
        <v>——</v>
      </c>
      <c r="G56" s="2490" t="s">
        <v>2229</v>
      </c>
      <c r="H56" s="2491" t="s">
        <v>2226</v>
      </c>
      <c r="I56" s="2492"/>
      <c r="J56" s="3015"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 (商业无租约）'!J56+1,'结果表 (商业无租约）'!J55+1))</f>
        <v>4</v>
      </c>
      <c r="K57" s="3316" t="s">
        <v>2231</v>
      </c>
      <c r="L57" s="2493" t="s">
        <v>2232</v>
      </c>
      <c r="M57" s="1758"/>
      <c r="N57" s="1759">
        <f ca="1">SUMIF(M52:M56,"&lt;9e307")</f>
        <v>0</v>
      </c>
      <c r="O57" s="2494"/>
      <c r="P57" s="1752" t="e">
        <f ca="1">N57/M49</f>
        <v>#DIV/0!</v>
      </c>
    </row>
    <row r="58" spans="1:35" ht="24.75">
      <c r="A58" s="182" t="s">
        <v>2213</v>
      </c>
      <c r="B58" s="3277" t="s">
        <v>2233</v>
      </c>
      <c r="C58" s="3278"/>
      <c r="D58" s="184">
        <f ca="1">IF(H58="转让取得",C81,C97)</f>
        <v>0</v>
      </c>
      <c r="E58" s="11" t="s">
        <v>2228</v>
      </c>
      <c r="F58" s="24" t="s">
        <v>34</v>
      </c>
      <c r="G58" s="2488"/>
      <c r="H58" s="2491" t="s">
        <v>2234</v>
      </c>
      <c r="I58" s="2492"/>
      <c r="J58" s="3316"/>
      <c r="K58" s="3316"/>
      <c r="L58" s="2493" t="s">
        <v>2235</v>
      </c>
      <c r="M58" s="1760"/>
      <c r="N58" s="2495" t="str">
        <f ca="1">NUMBERSTRING(INT(N57*10000),2)&amp;"元整"</f>
        <v>零元整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3015" t="s">
        <v>2232</v>
      </c>
      <c r="M59" s="1761"/>
      <c r="N59" s="1762">
        <f ca="1">M49-N57</f>
        <v>0</v>
      </c>
      <c r="O59" s="2498"/>
    </row>
    <row r="60" spans="1:35" ht="12" customHeight="1">
      <c r="A60" s="2499"/>
      <c r="B60" s="2421"/>
      <c r="C60" s="2421"/>
      <c r="D60" s="2421"/>
      <c r="E60" s="2169"/>
      <c r="F60" s="2492"/>
      <c r="G60" s="2492"/>
      <c r="H60" s="2500"/>
      <c r="I60" s="137"/>
      <c r="J60" s="3318"/>
      <c r="K60" s="3316"/>
      <c r="L60" s="2493" t="s">
        <v>2235</v>
      </c>
      <c r="M60" s="1760"/>
      <c r="N60" s="2495" t="str">
        <f ca="1">NUMBERSTRING(INT(N59*10000),2)&amp;"元整"</f>
        <v>零元整</v>
      </c>
      <c r="O60" s="2496"/>
    </row>
    <row r="61" spans="1:35" ht="13.5" thickBot="1">
      <c r="A61" s="3259" t="s">
        <v>2239</v>
      </c>
      <c r="B61" s="3259"/>
      <c r="C61" s="3259"/>
      <c r="D61" s="3259"/>
      <c r="E61" s="3259"/>
      <c r="F61" s="2492"/>
      <c r="G61" s="2492"/>
      <c r="H61" s="2500"/>
      <c r="I61" s="137"/>
      <c r="J61" s="3015">
        <f>J59+1</f>
        <v>6</v>
      </c>
      <c r="K61" s="3316" t="s">
        <v>2240</v>
      </c>
      <c r="L61" s="3316"/>
      <c r="M61" s="1763"/>
      <c r="N61" s="1764">
        <f ca="1">ROUND(N59*10000/'数据-汇总表'!E3,0)</f>
        <v>0</v>
      </c>
      <c r="O61" s="2501"/>
    </row>
    <row r="62" spans="1:35" ht="12.75">
      <c r="A62" s="3275" t="s">
        <v>2241</v>
      </c>
      <c r="B62" s="3276"/>
      <c r="C62" s="3020"/>
      <c r="D62" s="3020"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341" t="s">
        <v>2245</v>
      </c>
      <c r="K63" s="3011"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341"/>
      <c r="K64" s="3011"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341"/>
      <c r="K65" s="3011"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341"/>
      <c r="K66" s="3011"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341"/>
      <c r="K67" s="3011"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5.6000000000000001E-2</v>
      </c>
      <c r="E68" s="211"/>
      <c r="F68" s="2492"/>
      <c r="G68" s="2492"/>
      <c r="H68" s="2500"/>
      <c r="I68" s="137"/>
      <c r="J68" s="3341"/>
      <c r="K68" s="3011"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341"/>
      <c r="K69" s="3011"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3020"/>
      <c r="D71" s="3020"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2"/>
      <c r="F72" s="3021"/>
      <c r="G72" s="3021"/>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2"/>
      <c r="F73" s="3021"/>
      <c r="G73" s="3021"/>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2"/>
      <c r="F74" s="3021"/>
      <c r="G74" s="3021"/>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2" t="s">
        <v>2271</v>
      </c>
      <c r="F77" s="223"/>
      <c r="G77" s="2516" t="s">
        <v>2272</v>
      </c>
      <c r="H77" s="302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2"/>
      <c r="F79" s="3021"/>
      <c r="G79" s="3021"/>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2" t="str">
        <f ca="1">IF(C80&gt;=200%,"增值额超过扣除项目金额200%",IF(C80&gt;=100%,"增值额超过扣除项目金额100%，未超过200%",IF(C80&gt;=50%,"增值额超过扣除项目金额50%，未超过100%",IF(C80&lt;50%,"增值额未超过扣除项目金额50%"))))</f>
        <v>增值额未超过扣除项目金额50%</v>
      </c>
      <c r="F80" s="3021"/>
      <c r="G80" s="3021"/>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3020"/>
      <c r="D84" s="3020"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2"/>
      <c r="F85" s="3021"/>
      <c r="G85" s="3021"/>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2"/>
      <c r="F86" s="3021"/>
      <c r="G86" s="3021"/>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7"/>
      <c r="F87" s="3018"/>
      <c r="G87" s="3018"/>
      <c r="H87" s="301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8"/>
      <c r="G89" s="3018"/>
      <c r="H89" s="301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8"/>
      <c r="G90" s="3018"/>
      <c r="H90" s="301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2"/>
      <c r="F95" s="3021"/>
      <c r="G95" s="3021"/>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2" t="str">
        <f ca="1">IF(C96&gt;=200%,"增值额超过扣除项目金额200%",IF(C96&gt;=100%,"增值额超过扣除项目金额100%，未超过200%",IF(C96&gt;=50%,"增值额超过扣除项目金额50%，未超过100%",IF(C96&lt;50%,"增值额未超过扣除项目金额50%"))))</f>
        <v>增值额未超过扣除项目金额50%</v>
      </c>
      <c r="F96" s="3021"/>
      <c r="G96" s="3021"/>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比较法-商业（无租约）</v>
      </c>
      <c r="D101" s="736" t="str">
        <f>D4</f>
        <v>收益法 (商业无租约)</v>
      </c>
      <c r="E101" s="3338" t="s">
        <v>2300</v>
      </c>
      <c r="F101" s="3291"/>
      <c r="G101" s="2523" t="s">
        <v>2301</v>
      </c>
      <c r="H101" s="1047">
        <f ca="1">H118</f>
        <v>0</v>
      </c>
      <c r="I101" s="137"/>
    </row>
    <row r="102" spans="1:35" ht="18.75" customHeight="1">
      <c r="A102" s="3293" t="s">
        <v>2302</v>
      </c>
      <c r="B102" s="2523" t="s">
        <v>2301</v>
      </c>
      <c r="C102" s="735">
        <f ca="1">C19</f>
        <v>0</v>
      </c>
      <c r="D102" s="736" t="e">
        <f ca="1">D19</f>
        <v>#N/A</v>
      </c>
      <c r="E102" s="3338"/>
      <c r="F102" s="3291"/>
      <c r="G102" s="2523" t="s">
        <v>2303</v>
      </c>
      <c r="H102" s="370">
        <f ca="1">I118</f>
        <v>31618</v>
      </c>
      <c r="I102" s="137"/>
    </row>
    <row r="103" spans="1:35" ht="42.75" customHeight="1">
      <c r="A103" s="3293"/>
      <c r="B103" s="2523" t="s">
        <v>2303</v>
      </c>
      <c r="C103" s="737">
        <f ca="1">C20</f>
        <v>57487</v>
      </c>
      <c r="D103" s="738">
        <f ca="1">D20</f>
        <v>0</v>
      </c>
      <c r="E103" s="3333" t="s">
        <v>2304</v>
      </c>
      <c r="F103" s="3334"/>
      <c r="G103" s="2524" t="s">
        <v>2305</v>
      </c>
      <c r="H103" s="1047">
        <f>IF(D36="正常操作",H104+H105+H106,H105+H106)</f>
        <v>0</v>
      </c>
      <c r="I103" s="137"/>
    </row>
    <row r="104" spans="1:35" ht="18.75" customHeight="1">
      <c r="A104" s="3293"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f ca="1">I118</f>
        <v>31618</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f ca="1">IF(E107="——","——",H101-H103)</f>
        <v>0</v>
      </c>
      <c r="I107" s="137"/>
    </row>
    <row r="108" spans="1:35" ht="18.75" customHeight="1">
      <c r="A108" s="137"/>
      <c r="B108" s="137"/>
      <c r="C108" s="137"/>
      <c r="D108" s="137"/>
      <c r="E108" s="3290"/>
      <c r="F108" s="3291"/>
      <c r="G108" s="2523" t="s">
        <v>2303</v>
      </c>
      <c r="H108" s="370">
        <f ca="1">ROUND(H107*10000/'数据-汇总表'!E3,0)</f>
        <v>0</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3006" t="s">
        <v>2318</v>
      </c>
      <c r="E117" s="3006" t="s">
        <v>2319</v>
      </c>
      <c r="F117" s="3006" t="s">
        <v>2318</v>
      </c>
      <c r="G117" s="3006" t="s">
        <v>2320</v>
      </c>
      <c r="H117" s="3006" t="s">
        <v>2318</v>
      </c>
      <c r="I117" s="3006" t="s">
        <v>2320</v>
      </c>
    </row>
    <row r="118" spans="1:11" ht="24.75" customHeight="1">
      <c r="A118" s="2529" t="str">
        <f>项目基本情况!S2</f>
        <v>北京市房地产</v>
      </c>
      <c r="B118" s="3006">
        <f>M18</f>
        <v>0</v>
      </c>
      <c r="C118" s="3006">
        <f>M19</f>
        <v>0</v>
      </c>
      <c r="D118" s="3006" t="e">
        <f ca="1">ROUND(IF(D32="总价",C34,E118*B118/10000),0)</f>
        <v>#REF!</v>
      </c>
      <c r="E118" s="3006" t="e">
        <f ca="1">ROUND(IF(C33="自定义",IF(D32="楼面单价",C34,D118*10000/B118),I118-G118),0)</f>
        <v>#REF!</v>
      </c>
      <c r="F118" s="3006" t="e">
        <f ca="1">ROUND(IF(D32="总价",C35,G118*B118/10000),0)</f>
        <v>#REF!</v>
      </c>
      <c r="G118" s="3006" t="e">
        <f ca="1">ROUND(IF(D32="楼面单价",C35,F118*10000/B118),0)</f>
        <v>#REF!</v>
      </c>
      <c r="H118" s="3006">
        <f ca="1">ROUND(IF(D32="总价",C32,I118*B118/10000),0)</f>
        <v>0</v>
      </c>
      <c r="I118" s="3006">
        <f ca="1">ROUND(IF(D32="楼面单价",C32,H118*10000/B118),0)</f>
        <v>31618</v>
      </c>
    </row>
    <row r="119" spans="1:11" ht="18.75" customHeight="1">
      <c r="A119" s="3198" t="s">
        <v>2321</v>
      </c>
      <c r="B119" s="3198"/>
      <c r="C119" s="3198"/>
      <c r="D119" s="3301" t="e">
        <f ca="1">NUMBERSTRING(INT(D118*10000),2)&amp;"元整"</f>
        <v>#REF!</v>
      </c>
      <c r="E119" s="3303"/>
      <c r="F119" s="3301" t="e">
        <f ca="1">NUMBERSTRING(INT(F118*10000),2)&amp;"元整"</f>
        <v>#REF!</v>
      </c>
      <c r="G119" s="3303"/>
      <c r="H119" s="3301" t="str">
        <f ca="1">NUMBERSTRING(INT(H118*10000),2)&amp;"元整"</f>
        <v>零元整</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f ca="1">H107</f>
        <v>0</v>
      </c>
      <c r="E122" s="3331"/>
      <c r="F122" s="3331"/>
      <c r="G122" s="3331"/>
      <c r="H122" s="3331"/>
      <c r="I122" s="3332"/>
    </row>
    <row r="123" spans="1:11" ht="18.75" customHeight="1">
      <c r="A123" s="3198" t="s">
        <v>2321</v>
      </c>
      <c r="B123" s="3198"/>
      <c r="C123" s="3198"/>
      <c r="D123" s="3301" t="str">
        <f ca="1">NUMBERSTRING(INT(D122*10000),2)&amp;"元整"</f>
        <v>零元整</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3316</v>
      </c>
      <c r="D4" s="2430" t="s">
        <v>3312</v>
      </c>
      <c r="E4" s="3277" t="s">
        <v>2127</v>
      </c>
      <c r="F4" s="3278"/>
      <c r="G4" s="3278"/>
      <c r="H4" s="3278"/>
      <c r="I4" s="3289"/>
      <c r="K4" s="243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43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86">
        <v>55</v>
      </c>
      <c r="D14" s="3283">
        <v>45</v>
      </c>
      <c r="E14" s="139" t="s">
        <v>2142</v>
      </c>
      <c r="F14" s="2432"/>
      <c r="G14" s="2432"/>
      <c r="H14" s="2432"/>
      <c r="I14" s="1833"/>
    </row>
    <row r="15" spans="1:12" ht="12.75">
      <c r="A15" s="3260"/>
      <c r="B15" s="3198"/>
      <c r="C15" s="3288"/>
      <c r="D15" s="3283"/>
      <c r="E15" s="139" t="s">
        <v>2143</v>
      </c>
      <c r="F15" s="2432"/>
      <c r="G15" s="2432"/>
      <c r="H15" s="2432"/>
      <c r="I15" s="1833"/>
    </row>
    <row r="16" spans="1:12" ht="12.75">
      <c r="A16" s="3260"/>
      <c r="B16" s="3198"/>
      <c r="C16" s="3287"/>
      <c r="D16" s="328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t="e">
        <f ca="1">SUMIF(INDIRECT("'"&amp;C4&amp;"'"&amp;"!A:A"),'结果表 (商业有租约)'!B19,INDIRECT("'"&amp;C4&amp;"'"&amp;"!B:B"))</f>
        <v>#N/A</v>
      </c>
      <c r="D19" s="143" t="e">
        <f ca="1">SUMIF(INDIRECT("'"&amp;D4&amp;"'"&amp;"!A:A"),'结果表 (商业有租约)'!B19,INDIRECT("'"&amp;D4&amp;"'"&amp;"!B:B"))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t="e">
        <f ca="1">SUMIF(INDIRECT("'"&amp;C4&amp;"'"&amp;"!A:A"),'结果表 (商业有租约)'!B20,INDIRECT("'"&amp;C4&amp;"'"&amp;"!B:B"))</f>
        <v>#N/A</v>
      </c>
      <c r="D20" s="146">
        <f ca="1">SUMIF(INDIRECT("'"&amp;D4&amp;"'"&amp;"!A:A"),'结果表 (商业有租约)'!B20,INDIRECT("'"&amp;D4&amp;"'"&amp;"!B:B"))</f>
        <v>0</v>
      </c>
      <c r="E20" s="2440"/>
      <c r="F20" s="1249" t="s">
        <v>2155</v>
      </c>
      <c r="G20" s="147" t="e">
        <f ca="1">ROUND(C20*$C$18+D20*$D$18,0)</f>
        <v>#N/A</v>
      </c>
      <c r="H20" s="982" t="s">
        <v>2156</v>
      </c>
      <c r="I20" s="137"/>
    </row>
    <row r="21" spans="1:35" ht="15" customHeight="1" thickBot="1">
      <c r="A21" s="1002"/>
      <c r="B21" s="2441" t="s">
        <v>2157</v>
      </c>
      <c r="C21" s="788" t="e">
        <f ca="1">ROUND(C19*10000/L19,0)</f>
        <v>#N/A</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t="e">
        <f ca="1">IF(D32="总价",G19-C24,G20-C25)</f>
        <v>#N/A</v>
      </c>
      <c r="D32" s="2452" t="s">
        <v>3114</v>
      </c>
      <c r="E32" s="137"/>
      <c r="F32" s="137"/>
      <c r="G32" s="137"/>
      <c r="H32" s="137"/>
      <c r="I32" s="137"/>
    </row>
    <row r="33" spans="1:15" ht="15">
      <c r="A33" s="959" t="s">
        <v>2166</v>
      </c>
      <c r="B33" s="2453"/>
      <c r="C33" s="2454"/>
      <c r="D33" s="2455"/>
      <c r="E33" s="2456" t="s">
        <v>2167</v>
      </c>
      <c r="F33" s="2984" t="str">
        <f>IF(D32="楼面单价","取值（单价）","取值（总价）")</f>
        <v>取值（单价）</v>
      </c>
      <c r="G33" s="137"/>
      <c r="H33" s="137"/>
      <c r="I33" s="137"/>
    </row>
    <row r="34" spans="1:15" ht="15">
      <c r="A34" s="2458"/>
      <c r="B34" s="2459" t="s">
        <v>2168</v>
      </c>
      <c r="C34" s="156" t="e">
        <f ca="1">IF(C33="自定义",F34,C32-C35)</f>
        <v>#N/A</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#N/A</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t="e">
        <f ca="1">ROUND(H101*F45,0)</f>
        <v>#N/A</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2996">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2996">
        <v>2</v>
      </c>
      <c r="K47" s="3315" t="s">
        <v>2197</v>
      </c>
      <c r="L47" s="3315"/>
      <c r="M47" s="3336">
        <f>'数据-取费表'!B2</f>
        <v>43405</v>
      </c>
      <c r="N47" s="3336"/>
      <c r="O47" s="3336"/>
    </row>
    <row r="48" spans="1:15" ht="25.5">
      <c r="A48" s="3279" t="s">
        <v>2198</v>
      </c>
      <c r="B48" s="3262"/>
      <c r="C48" s="3262"/>
      <c r="D48" s="139">
        <f>IF(H48="情况1",0,IF(H48="情况2",D52,IF(H48="情况3",D53,IF(H48="情况4",D54))))</f>
        <v>0</v>
      </c>
      <c r="E48" s="2988" t="str">
        <f>IF(H48="情况4","(销售额-原购置价)×税（费）率","销售额×税（费）率")</f>
        <v>销售额×税（费）率</v>
      </c>
      <c r="F48" s="174" t="str">
        <f>IF(H48="情况1","免征",'数据-取费表'!B41)</f>
        <v>免征</v>
      </c>
      <c r="G48" s="2484" t="s">
        <v>2199</v>
      </c>
      <c r="H48" s="2485" t="s">
        <v>2200</v>
      </c>
      <c r="I48" s="2483"/>
      <c r="J48" s="2996">
        <v>3</v>
      </c>
      <c r="K48" s="3315" t="s">
        <v>2201</v>
      </c>
      <c r="L48" s="3315"/>
      <c r="M48" s="3337" t="e">
        <f ca="1">H101</f>
        <v>#N/A</v>
      </c>
      <c r="N48" s="3337"/>
      <c r="O48" s="3337"/>
    </row>
    <row r="49" spans="1:35" ht="25.5" customHeight="1">
      <c r="A49" s="175" t="s">
        <v>2202</v>
      </c>
      <c r="B49" s="3247" t="s">
        <v>2203</v>
      </c>
      <c r="C49" s="3247"/>
      <c r="D49" s="176">
        <v>0</v>
      </c>
      <c r="E49" s="23" t="s">
        <v>2204</v>
      </c>
      <c r="F49" s="28" t="s">
        <v>34</v>
      </c>
      <c r="G49" s="3321"/>
      <c r="H49" s="137"/>
      <c r="I49" s="2486"/>
      <c r="J49" s="2996">
        <v>4</v>
      </c>
      <c r="K49" s="3315" t="str">
        <f>IF(项目基本情况!E8="房地产抵押价值","房地产抵押价值","抵押担保权已注销时的房地产抵押价值")</f>
        <v>房地产抵押价值</v>
      </c>
      <c r="L49" s="3315"/>
      <c r="M49" s="3337" t="e">
        <f ca="1">IF(项目基本情况!E8="房地产抵押价值",H107,H109)</f>
        <v>#N/A</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2995" t="s">
        <v>2208</v>
      </c>
      <c r="K51" s="3315" t="s">
        <v>2209</v>
      </c>
      <c r="L51" s="3315"/>
      <c r="M51" s="2995" t="s">
        <v>2210</v>
      </c>
      <c r="N51" s="2995" t="s">
        <v>2211</v>
      </c>
      <c r="O51" s="2995" t="s">
        <v>2212</v>
      </c>
    </row>
    <row r="52" spans="1:35" ht="24" customHeight="1">
      <c r="A52" s="182" t="s">
        <v>2213</v>
      </c>
      <c r="B52" s="3247" t="s">
        <v>2214</v>
      </c>
      <c r="C52" s="3247"/>
      <c r="D52" s="181" t="e">
        <f ca="1">ROUND(D45*'数据-取费表'!B41/(1+'数据-取费表'!C42),0)</f>
        <v>#N/A</v>
      </c>
      <c r="E52" s="11" t="s">
        <v>2215</v>
      </c>
      <c r="F52" s="183">
        <f>'数据-取费表'!B41</f>
        <v>5.6000000000000001E-2</v>
      </c>
      <c r="G52" s="2488"/>
      <c r="H52" s="137"/>
      <c r="I52" s="2486"/>
      <c r="J52" s="2996">
        <v>1</v>
      </c>
      <c r="K52" s="3316" t="s">
        <v>2216</v>
      </c>
      <c r="L52" s="3316"/>
      <c r="M52" s="1753">
        <f>D48</f>
        <v>0</v>
      </c>
      <c r="N52" s="2996" t="str">
        <f>E48</f>
        <v>销售额×税（费）率</v>
      </c>
      <c r="O52" s="1754" t="str">
        <f>F48</f>
        <v>免征</v>
      </c>
    </row>
    <row r="53" spans="1:35" ht="12" customHeight="1">
      <c r="A53" s="182" t="s">
        <v>2217</v>
      </c>
      <c r="B53" s="3270" t="s">
        <v>2218</v>
      </c>
      <c r="C53" s="3271"/>
      <c r="D53" s="181" t="e">
        <f ca="1">ROUND(D45*'数据-取费表'!B41/(1+'数据-取费表'!C42),0)</f>
        <v>#N/A</v>
      </c>
      <c r="E53" s="11" t="s">
        <v>2215</v>
      </c>
      <c r="F53" s="183">
        <f>'数据-取费表'!B41</f>
        <v>5.6000000000000001E-2</v>
      </c>
      <c r="G53" s="2488"/>
      <c r="H53" s="137"/>
      <c r="I53" s="2486"/>
      <c r="J53" s="2996">
        <v>2</v>
      </c>
      <c r="K53" s="3316" t="s">
        <v>2219</v>
      </c>
      <c r="L53" s="3316"/>
      <c r="M53" s="1753" t="e">
        <f t="shared" ref="M53:O54" ca="1" si="0">D55</f>
        <v>#N/A</v>
      </c>
      <c r="N53" s="2996" t="str">
        <f t="shared" si="0"/>
        <v>销售额×税（费）率</v>
      </c>
      <c r="O53" s="1754">
        <f t="shared" si="0"/>
        <v>5.0000000000000001E-4</v>
      </c>
    </row>
    <row r="54" spans="1:35" ht="12" customHeight="1">
      <c r="A54" s="182" t="s">
        <v>2220</v>
      </c>
      <c r="B54" s="3270" t="s">
        <v>2221</v>
      </c>
      <c r="C54" s="3271"/>
      <c r="D54" s="181" t="e">
        <f ca="1">C68</f>
        <v>#N/A</v>
      </c>
      <c r="E54" s="30" t="s">
        <v>2222</v>
      </c>
      <c r="F54" s="183">
        <f>'数据-取费表'!B41</f>
        <v>5.6000000000000001E-2</v>
      </c>
      <c r="G54" s="2488"/>
      <c r="H54" s="2489"/>
      <c r="I54" s="2486"/>
      <c r="J54" s="2996">
        <v>3</v>
      </c>
      <c r="K54" s="3316" t="s">
        <v>2223</v>
      </c>
      <c r="L54" s="3316"/>
      <c r="M54" s="1753" t="e">
        <f t="shared" ca="1" si="0"/>
        <v>#N/A</v>
      </c>
      <c r="N54" s="2996" t="str">
        <f t="shared" si="0"/>
        <v>增值额×税（费）率</v>
      </c>
      <c r="O54" s="1755" t="str">
        <f t="shared" si="0"/>
        <v>——</v>
      </c>
    </row>
    <row r="55" spans="1:35" ht="24" customHeight="1">
      <c r="A55" s="3261" t="s">
        <v>2224</v>
      </c>
      <c r="B55" s="3262"/>
      <c r="C55" s="3262"/>
      <c r="D55" s="184" t="e">
        <f ca="1">IF(H55="个人住宅",0,ROUND(D45*I55,0))</f>
        <v>#N/A</v>
      </c>
      <c r="E55" s="11" t="s">
        <v>2225</v>
      </c>
      <c r="F55" s="183">
        <f>IF(H55="正常",I55,"免征")</f>
        <v>5.0000000000000001E-4</v>
      </c>
      <c r="G55" s="2488"/>
      <c r="H55" s="2485" t="s">
        <v>2226</v>
      </c>
      <c r="I55" s="185">
        <f>'数据-取费表'!B49</f>
        <v>5.0000000000000001E-4</v>
      </c>
      <c r="J55" s="2996" t="str">
        <f>IF(H59="非个人房产","",4)</f>
        <v/>
      </c>
      <c r="K55" s="3316" t="str">
        <f>IF(H59="非个人房产","——","个人所得税")</f>
        <v>——</v>
      </c>
      <c r="L55" s="3316"/>
      <c r="M55" s="1756" t="str">
        <f>D59</f>
        <v>——</v>
      </c>
      <c r="N55" s="2997" t="str">
        <f>E59</f>
        <v>——</v>
      </c>
      <c r="O55" s="1757" t="str">
        <f>F59</f>
        <v>——</v>
      </c>
    </row>
    <row r="56" spans="1:35" ht="24.75">
      <c r="A56" s="3261" t="s">
        <v>2227</v>
      </c>
      <c r="B56" s="3262"/>
      <c r="C56" s="3262"/>
      <c r="D56" s="184" t="e">
        <f ca="1">IF(H56="个人住宅",D57,D58)</f>
        <v>#N/A</v>
      </c>
      <c r="E56" s="11" t="s">
        <v>2228</v>
      </c>
      <c r="F56" s="183" t="str">
        <f>IF(H56="正常",F58,"免征")</f>
        <v>——</v>
      </c>
      <c r="G56" s="2490" t="s">
        <v>2229</v>
      </c>
      <c r="H56" s="2491" t="s">
        <v>2226</v>
      </c>
      <c r="I56" s="2492"/>
      <c r="J56" s="2996"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 (商业有租约)'!J56+1,'结果表 (商业有租约)'!J55+1))</f>
        <v>4</v>
      </c>
      <c r="K57" s="3316" t="s">
        <v>2231</v>
      </c>
      <c r="L57" s="2493" t="s">
        <v>2232</v>
      </c>
      <c r="M57" s="1758"/>
      <c r="N57" s="1759">
        <f ca="1">SUMIF(M52:M56,"&lt;9e307")</f>
        <v>0</v>
      </c>
      <c r="O57" s="2494"/>
      <c r="P57" s="1752" t="e">
        <f ca="1">N57/M49</f>
        <v>#N/A</v>
      </c>
    </row>
    <row r="58" spans="1:35" ht="24.75">
      <c r="A58" s="182" t="s">
        <v>2213</v>
      </c>
      <c r="B58" s="3277" t="s">
        <v>2233</v>
      </c>
      <c r="C58" s="3278"/>
      <c r="D58" s="184" t="e">
        <f ca="1">IF(H58="转让取得",C81,C97)</f>
        <v>#N/A</v>
      </c>
      <c r="E58" s="11" t="s">
        <v>2228</v>
      </c>
      <c r="F58" s="24" t="s">
        <v>34</v>
      </c>
      <c r="G58" s="2488"/>
      <c r="H58" s="2491" t="s">
        <v>2234</v>
      </c>
      <c r="I58" s="2492"/>
      <c r="J58" s="3316"/>
      <c r="K58" s="3316"/>
      <c r="L58" s="2493" t="s">
        <v>2235</v>
      </c>
      <c r="M58" s="1760"/>
      <c r="N58" s="2495" t="str">
        <f ca="1">NUMBERSTRING(INT(N57*10000),2)&amp;"元整"</f>
        <v>零元整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2996" t="s">
        <v>2232</v>
      </c>
      <c r="M59" s="1761"/>
      <c r="N59" s="1762" t="e">
        <f ca="1">M49-N57</f>
        <v>#N/A</v>
      </c>
      <c r="O59" s="2498"/>
    </row>
    <row r="60" spans="1:35" ht="12" customHeight="1">
      <c r="A60" s="2499"/>
      <c r="B60" s="2421"/>
      <c r="C60" s="2421"/>
      <c r="D60" s="2421"/>
      <c r="E60" s="2169"/>
      <c r="F60" s="2492"/>
      <c r="G60" s="2492"/>
      <c r="H60" s="2500"/>
      <c r="I60" s="137"/>
      <c r="J60" s="3318"/>
      <c r="K60" s="3316"/>
      <c r="L60" s="2493" t="s">
        <v>2235</v>
      </c>
      <c r="M60" s="1760"/>
      <c r="N60" s="2495" t="e">
        <f ca="1">NUMBERSTRING(INT(N59*10000),2)&amp;"元整"</f>
        <v>#N/A</v>
      </c>
      <c r="O60" s="2496"/>
    </row>
    <row r="61" spans="1:35" ht="13.5" thickBot="1">
      <c r="A61" s="3259" t="s">
        <v>2239</v>
      </c>
      <c r="B61" s="3259"/>
      <c r="C61" s="3259"/>
      <c r="D61" s="3259"/>
      <c r="E61" s="3259"/>
      <c r="F61" s="2492"/>
      <c r="G61" s="2492"/>
      <c r="H61" s="2500"/>
      <c r="I61" s="137"/>
      <c r="J61" s="2996">
        <f>J59+1</f>
        <v>6</v>
      </c>
      <c r="K61" s="3316" t="s">
        <v>2240</v>
      </c>
      <c r="L61" s="3316"/>
      <c r="M61" s="1763"/>
      <c r="N61" s="1764" t="e">
        <f ca="1">ROUND(N59*10000/'数据-汇总表'!E3,0)</f>
        <v>#N/A</v>
      </c>
      <c r="O61" s="2501"/>
    </row>
    <row r="62" spans="1:35" ht="12.75">
      <c r="A62" s="3275" t="s">
        <v>2241</v>
      </c>
      <c r="B62" s="3276"/>
      <c r="C62" s="2991"/>
      <c r="D62" s="2991" t="s">
        <v>2242</v>
      </c>
      <c r="E62" s="191" t="s">
        <v>2243</v>
      </c>
      <c r="F62" s="2492"/>
      <c r="G62" s="2492"/>
      <c r="H62" s="2500"/>
      <c r="I62" s="137"/>
    </row>
    <row r="63" spans="1:35" ht="12.75">
      <c r="A63" s="202" t="s">
        <v>775</v>
      </c>
      <c r="B63" s="192" t="s">
        <v>2244</v>
      </c>
      <c r="C63" s="193" t="e">
        <f ca="1">ROUND((C64+C65)/(1+'数据-取费表'!C42),0)</f>
        <v>#N/A</v>
      </c>
      <c r="D63" s="194"/>
      <c r="E63" s="195"/>
      <c r="F63" s="2492"/>
      <c r="G63" s="2492"/>
      <c r="H63" s="2500"/>
      <c r="I63" s="137"/>
      <c r="J63" s="3341" t="s">
        <v>2245</v>
      </c>
      <c r="K63" s="3000" t="s">
        <v>2246</v>
      </c>
      <c r="L63" s="1751" t="e">
        <f ca="1">IF(M49&gt;10000,M49*0.5%,IF(AND(M49&gt;1000,M49&lt;=10000),M49*1%,IF(AND(M49&gt;100,M49&lt;=1000),M49*3%,IF(AND(M49&gt;10,M49&lt;=100),M49*5%,M49*8%))))</f>
        <v>#N/A</v>
      </c>
      <c r="M63" s="24" t="e">
        <f ca="1">ROUND(L63,1)</f>
        <v>#N/A</v>
      </c>
      <c r="Z63" s="2426"/>
      <c r="AI63" s="2427"/>
    </row>
    <row r="64" spans="1:35" ht="14.25" customHeight="1">
      <c r="A64" s="196" t="s">
        <v>770</v>
      </c>
      <c r="B64" s="197" t="s">
        <v>2247</v>
      </c>
      <c r="C64" s="198" t="e">
        <f ca="1">D45</f>
        <v>#N/A</v>
      </c>
      <c r="D64" s="199" t="s">
        <v>32</v>
      </c>
      <c r="E64" s="200"/>
      <c r="F64" s="2492"/>
      <c r="G64" s="2492"/>
      <c r="H64" s="2500"/>
      <c r="I64" s="137"/>
      <c r="J64" s="3341"/>
      <c r="K64" s="3000" t="s">
        <v>2248</v>
      </c>
      <c r="L64" s="1751"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6"/>
      <c r="AI64" s="2427"/>
    </row>
    <row r="65" spans="1:35" ht="14.25" customHeight="1">
      <c r="A65" s="196" t="s">
        <v>771</v>
      </c>
      <c r="B65" s="197" t="s">
        <v>2250</v>
      </c>
      <c r="C65" s="201"/>
      <c r="D65" s="199"/>
      <c r="E65" s="200"/>
      <c r="F65" s="2492"/>
      <c r="G65" s="2492"/>
      <c r="H65" s="2500"/>
      <c r="I65" s="137"/>
      <c r="J65" s="3341"/>
      <c r="K65" s="3000" t="s">
        <v>2251</v>
      </c>
      <c r="L65" s="1751" t="e">
        <f ca="1">IF(M49&gt;1000,M49*0.1%,IF(AND(M49&gt;500,M49&lt;=1000),M49*0.5%,IF(AND(M49&gt;50,M49&lt;=500),M49*1%,IF(AND(M49&gt;1,M49&lt;=50),M49*1.5%))))</f>
        <v>#N/A</v>
      </c>
      <c r="M65" s="24" t="e">
        <f t="shared" ca="1" si="1"/>
        <v>#N/A</v>
      </c>
      <c r="N65" s="137" t="s">
        <v>2249</v>
      </c>
      <c r="Z65" s="2426"/>
      <c r="AI65" s="2427"/>
    </row>
    <row r="66" spans="1:35" ht="14.25" customHeight="1">
      <c r="A66" s="202" t="s">
        <v>772</v>
      </c>
      <c r="B66" s="203" t="s">
        <v>2252</v>
      </c>
      <c r="C66" s="204"/>
      <c r="D66" s="205" t="s">
        <v>32</v>
      </c>
      <c r="E66" s="1775" t="s">
        <v>1371</v>
      </c>
      <c r="F66" s="2492"/>
      <c r="G66" s="2492"/>
      <c r="H66" s="2500"/>
      <c r="I66" s="137"/>
      <c r="J66" s="3341"/>
      <c r="K66" s="3000" t="s">
        <v>2253</v>
      </c>
      <c r="L66" s="1751" t="e">
        <f ca="1">M49*0.5%</f>
        <v>#N/A</v>
      </c>
      <c r="M66" s="24" t="e">
        <f ca="1">IF(L66&gt;0.5,0.5,ROUND(L66,0))</f>
        <v>#N/A</v>
      </c>
      <c r="N66" s="137" t="s">
        <v>2254</v>
      </c>
      <c r="Z66" s="2426"/>
      <c r="AI66" s="2427"/>
    </row>
    <row r="67" spans="1:35" ht="14.25" customHeight="1">
      <c r="A67" s="202" t="s">
        <v>773</v>
      </c>
      <c r="B67" s="203" t="s">
        <v>2255</v>
      </c>
      <c r="C67" s="206" t="e">
        <f ca="1">C63-C66</f>
        <v>#N/A</v>
      </c>
      <c r="D67" s="199" t="s">
        <v>32</v>
      </c>
      <c r="E67" s="200"/>
      <c r="F67" s="2492"/>
      <c r="G67" s="2492"/>
      <c r="H67" s="2500"/>
      <c r="I67" s="137"/>
      <c r="J67" s="3341"/>
      <c r="K67" s="3000" t="s">
        <v>2256</v>
      </c>
      <c r="L67" s="1751"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6"/>
      <c r="AI67" s="2427"/>
    </row>
    <row r="68" spans="1:35" ht="14.25" customHeight="1" thickBot="1">
      <c r="A68" s="207" t="s">
        <v>774</v>
      </c>
      <c r="B68" s="208" t="s">
        <v>2257</v>
      </c>
      <c r="C68" s="209" t="e">
        <f ca="1">IF(C67&lt;=0,0,ROUND(C67*D68,0))</f>
        <v>#N/A</v>
      </c>
      <c r="D68" s="210">
        <f>'数据-取费表'!B41</f>
        <v>5.6000000000000001E-2</v>
      </c>
      <c r="E68" s="211"/>
      <c r="F68" s="2492"/>
      <c r="G68" s="2492"/>
      <c r="H68" s="2500"/>
      <c r="I68" s="137"/>
      <c r="J68" s="3341"/>
      <c r="K68" s="3000" t="s">
        <v>2258</v>
      </c>
      <c r="L68" s="1751" t="e">
        <f ca="1">IF(M49&gt;10000,M49*0.5%,IF(AND(M49&gt;5000,M49&lt;=10000),M49*1%,IF(AND(M49&gt;1000,M49&lt;=5000),M49*2%,IF(AND(M49&gt;200,M49&lt;=1000),M49*3%,M49*5%))))</f>
        <v>#N/A</v>
      </c>
      <c r="M68" s="24" t="e">
        <f ca="1">ROUND(L68,1)</f>
        <v>#N/A</v>
      </c>
      <c r="Z68" s="2426"/>
      <c r="AI68" s="2427"/>
    </row>
    <row r="69" spans="1:35" s="2449" customFormat="1" ht="16.5" customHeight="1">
      <c r="A69" s="2503"/>
      <c r="B69" s="2504"/>
      <c r="C69" s="2505"/>
      <c r="D69" s="2506"/>
      <c r="E69" s="2507"/>
      <c r="F69" s="2169"/>
      <c r="G69" s="2169"/>
      <c r="H69" s="2168"/>
      <c r="I69" s="2421"/>
      <c r="J69" s="3341"/>
      <c r="K69" s="3000" t="s">
        <v>2259</v>
      </c>
      <c r="L69" s="2508"/>
      <c r="M69" s="24" t="e">
        <f ca="1">ROUND(SUM(M63:M68),0)</f>
        <v>#N/A</v>
      </c>
      <c r="N69" s="1752" t="e">
        <f ca="1">M69/M49</f>
        <v>#N/A</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2991"/>
      <c r="D71" s="299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t="e">
        <f ca="1">ROUND(D45/(1+'数据-取费表'!C42),0)</f>
        <v>#N/A</v>
      </c>
      <c r="D72" s="199" t="s">
        <v>32</v>
      </c>
      <c r="E72" s="2990"/>
      <c r="F72" s="2985"/>
      <c r="G72" s="2985"/>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t="e">
        <f ca="1">C74+C78</f>
        <v>#N/A</v>
      </c>
      <c r="D73" s="199" t="s">
        <v>32</v>
      </c>
      <c r="E73" s="2990"/>
      <c r="F73" s="2985"/>
      <c r="G73" s="2985"/>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0"/>
      <c r="F74" s="2985"/>
      <c r="G74" s="2985"/>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1" t="s">
        <v>2271</v>
      </c>
      <c r="F77" s="223"/>
      <c r="G77" s="2516" t="s">
        <v>2272</v>
      </c>
      <c r="H77" s="299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t="e">
        <f ca="1">ROUND(D45*D78/(1+'数据-取费表'!C42),0)</f>
        <v>#N/A</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t="e">
        <f ca="1">C72-C73</f>
        <v>#N/A</v>
      </c>
      <c r="D79" s="199" t="s">
        <v>32</v>
      </c>
      <c r="E79" s="2990"/>
      <c r="F79" s="2985"/>
      <c r="G79" s="2985"/>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t="e">
        <f ca="1">IF(C79&lt;=0,0,C79/C73)</f>
        <v>#N/A</v>
      </c>
      <c r="D80" s="199" t="s">
        <v>32</v>
      </c>
      <c r="E80" s="3001" t="e">
        <f ca="1">IF(C80&gt;=200%,"增值额超过扣除项目金额200%",IF(C80&gt;=100%,"增值额超过扣除项目金额100%，未超过200%",IF(C80&gt;=50%,"增值额超过扣除项目金额50%，未超过100%",IF(C80&lt;50%,"增值额未超过扣除项目金额50%"))))</f>
        <v>#N/A</v>
      </c>
      <c r="F80" s="2985"/>
      <c r="G80" s="2985"/>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2991"/>
      <c r="D84" s="299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t="e">
        <f ca="1">ROUND(D45/(1+'数据-取费表'!C42),0)</f>
        <v>#N/A</v>
      </c>
      <c r="D85" s="199" t="s">
        <v>32</v>
      </c>
      <c r="E85" s="2990"/>
      <c r="F85" s="2985"/>
      <c r="G85" s="2985"/>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t="e">
        <f ca="1">IF(H88="仅含出让金",C87+C90+C91+C92+C93+C94,C87+C91+C92+C93+C94)</f>
        <v>#N/A</v>
      </c>
      <c r="D86" s="234"/>
      <c r="E86" s="2990"/>
      <c r="F86" s="2985"/>
      <c r="G86" s="2985"/>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6"/>
      <c r="F87" s="2987"/>
      <c r="G87" s="2987"/>
      <c r="H87" s="298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7"/>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7"/>
      <c r="G89" s="2987"/>
      <c r="H89" s="298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7"/>
      <c r="G90" s="2987"/>
      <c r="H90" s="298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t="e">
        <f ca="1">ROUND(D45*D93/(1+'数据-取费表'!C42),0)</f>
        <v>#N/A</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t="e">
        <f ca="1">ROUND(C85-C86,0)</f>
        <v>#N/A</v>
      </c>
      <c r="D95" s="199" t="s">
        <v>32</v>
      </c>
      <c r="E95" s="2990"/>
      <c r="F95" s="2985"/>
      <c r="G95" s="2985"/>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t="e">
        <f ca="1">IF(C95&lt;=0,0,C95/C86)</f>
        <v>#N/A</v>
      </c>
      <c r="D96" s="199" t="s">
        <v>32</v>
      </c>
      <c r="E96" s="3001" t="e">
        <f ca="1">IF(C96&gt;=200%,"增值额超过扣除项目金额200%",IF(C96&gt;=100%,"增值额超过扣除项目金额100%，未超过200%",IF(C96&gt;=50%,"增值额超过扣除项目金额50%，未超过100%",IF(C96&lt;50%,"增值额未超过扣除项目金额50%"))))</f>
        <v>#N/A</v>
      </c>
      <c r="F96" s="2985"/>
      <c r="G96" s="2985"/>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比较法-商业（有租约）</v>
      </c>
      <c r="D101" s="736" t="str">
        <f>D4</f>
        <v xml:space="preserve">收益法 (商业有租约) </v>
      </c>
      <c r="E101" s="3338" t="s">
        <v>2300</v>
      </c>
      <c r="F101" s="3291"/>
      <c r="G101" s="2523" t="s">
        <v>2301</v>
      </c>
      <c r="H101" s="1047" t="e">
        <f ca="1">H118</f>
        <v>#N/A</v>
      </c>
      <c r="I101" s="137"/>
    </row>
    <row r="102" spans="1:35" ht="18.75" customHeight="1">
      <c r="A102" s="3293" t="s">
        <v>2302</v>
      </c>
      <c r="B102" s="2523" t="s">
        <v>2301</v>
      </c>
      <c r="C102" s="735" t="e">
        <f ca="1">C19</f>
        <v>#N/A</v>
      </c>
      <c r="D102" s="736" t="e">
        <f ca="1">D19</f>
        <v>#N/A</v>
      </c>
      <c r="E102" s="3338"/>
      <c r="F102" s="3291"/>
      <c r="G102" s="2523" t="s">
        <v>2303</v>
      </c>
      <c r="H102" s="370" t="e">
        <f ca="1">I118</f>
        <v>#N/A</v>
      </c>
      <c r="I102" s="137"/>
    </row>
    <row r="103" spans="1:35" ht="42.75" customHeight="1">
      <c r="A103" s="3293"/>
      <c r="B103" s="2523" t="s">
        <v>2303</v>
      </c>
      <c r="C103" s="737" t="e">
        <f ca="1">C20</f>
        <v>#N/A</v>
      </c>
      <c r="D103" s="738">
        <f ca="1">D20</f>
        <v>0</v>
      </c>
      <c r="E103" s="3333" t="s">
        <v>2304</v>
      </c>
      <c r="F103" s="3334"/>
      <c r="G103" s="2524" t="s">
        <v>2305</v>
      </c>
      <c r="H103" s="1047">
        <f>IF(D36="正常操作",H104+H105+H106,H105+H106)</f>
        <v>0</v>
      </c>
      <c r="I103" s="137"/>
    </row>
    <row r="104" spans="1:35" ht="18.75" customHeight="1">
      <c r="A104" s="3293" t="s">
        <v>2306</v>
      </c>
      <c r="B104" s="2525" t="s">
        <v>2301</v>
      </c>
      <c r="C104" s="739" t="e">
        <f ca="1">H118</f>
        <v>#N/A</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t="e">
        <f ca="1">I118</f>
        <v>#N/A</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t="e">
        <f ca="1">IF(E107="——","——",H101-H103)</f>
        <v>#N/A</v>
      </c>
      <c r="I107" s="137"/>
    </row>
    <row r="108" spans="1:35" ht="18.75" customHeight="1">
      <c r="A108" s="137"/>
      <c r="B108" s="137"/>
      <c r="C108" s="137"/>
      <c r="D108" s="137"/>
      <c r="E108" s="3290"/>
      <c r="F108" s="3291"/>
      <c r="G108" s="2523" t="s">
        <v>2303</v>
      </c>
      <c r="H108" s="370" t="e">
        <f ca="1">ROUND(H107*10000/'数据-汇总表'!E3,0)</f>
        <v>#N/A</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2983" t="s">
        <v>2318</v>
      </c>
      <c r="E117" s="2983" t="s">
        <v>2319</v>
      </c>
      <c r="F117" s="2983" t="s">
        <v>2318</v>
      </c>
      <c r="G117" s="2983" t="s">
        <v>2320</v>
      </c>
      <c r="H117" s="2983" t="s">
        <v>2318</v>
      </c>
      <c r="I117" s="2983" t="s">
        <v>2320</v>
      </c>
    </row>
    <row r="118" spans="1:11" ht="24.75" customHeight="1">
      <c r="A118" s="2529" t="str">
        <f>项目基本情况!S2</f>
        <v>北京市房地产</v>
      </c>
      <c r="B118" s="2983">
        <f>M18</f>
        <v>0</v>
      </c>
      <c r="C118" s="2983">
        <f>M19</f>
        <v>0</v>
      </c>
      <c r="D118" s="2983" t="e">
        <f ca="1">ROUND(IF(D32="总价",C34,E118*B118/10000),0)</f>
        <v>#N/A</v>
      </c>
      <c r="E118" s="2983" t="e">
        <f ca="1">ROUND(IF(C33="自定义",IF(D32="楼面单价",C34,D118*10000/B118),I118-G118),0)</f>
        <v>#N/A</v>
      </c>
      <c r="F118" s="2983" t="e">
        <f ca="1">ROUND(IF(D32="总价",C35,G118*B118/10000),0)</f>
        <v>#N/A</v>
      </c>
      <c r="G118" s="2983" t="e">
        <f ca="1">ROUND(IF(D32="楼面单价",C35,F118*10000/B118),0)</f>
        <v>#N/A</v>
      </c>
      <c r="H118" s="2983" t="e">
        <f ca="1">ROUND(IF(D32="总价",C32,I118*B118/10000),0)</f>
        <v>#N/A</v>
      </c>
      <c r="I118" s="2983" t="e">
        <f ca="1">ROUND(IF(D32="楼面单价",C32,H118*10000/B118),0)</f>
        <v>#N/A</v>
      </c>
    </row>
    <row r="119" spans="1:11" ht="18.75" customHeight="1">
      <c r="A119" s="3198" t="s">
        <v>2321</v>
      </c>
      <c r="B119" s="3198"/>
      <c r="C119" s="3198"/>
      <c r="D119" s="3301" t="e">
        <f ca="1">NUMBERSTRING(INT(D118*10000),2)&amp;"元整"</f>
        <v>#N/A</v>
      </c>
      <c r="E119" s="3303"/>
      <c r="F119" s="3301" t="e">
        <f ca="1">NUMBERSTRING(INT(F118*10000),2)&amp;"元整"</f>
        <v>#N/A</v>
      </c>
      <c r="G119" s="3303"/>
      <c r="H119" s="3301" t="e">
        <f ca="1">NUMBERSTRING(INT(H118*10000),2)&amp;"元整"</f>
        <v>#N/A</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t="e">
        <f ca="1">H107</f>
        <v>#N/A</v>
      </c>
      <c r="E122" s="3331"/>
      <c r="F122" s="3331"/>
      <c r="G122" s="3331"/>
      <c r="H122" s="3331"/>
      <c r="I122" s="3332"/>
    </row>
    <row r="123" spans="1:11" ht="18.75" customHeight="1">
      <c r="A123" s="3198" t="s">
        <v>2321</v>
      </c>
      <c r="B123" s="3198"/>
      <c r="C123" s="3198"/>
      <c r="D123" s="3301" t="e">
        <f ca="1">NUMBERSTRING(INT(D122*10000),2)&amp;"元整"</f>
        <v>#N/A</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40" zoomScale="90" zoomScaleNormal="90" workbookViewId="0">
      <selection activeCell="H19" sqref="H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3102</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953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49861</v>
      </c>
      <c r="C3" s="399" t="s">
        <v>2648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374" t="s">
        <v>2655</v>
      </c>
      <c r="Q4" s="3375"/>
      <c r="R4" s="3380" t="s">
        <v>2651</v>
      </c>
      <c r="S4" s="3381"/>
      <c r="T4" s="3380" t="s">
        <v>2652</v>
      </c>
      <c r="U4" s="3381"/>
      <c r="V4" s="3386" t="s">
        <v>2653</v>
      </c>
      <c r="W4" s="3386"/>
      <c r="X4" s="2675"/>
      <c r="Y4" s="3380" t="s">
        <v>2655</v>
      </c>
      <c r="Z4" s="3381"/>
      <c r="AA4" s="3399" t="s">
        <v>2651</v>
      </c>
      <c r="AB4" s="3399" t="s">
        <v>2652</v>
      </c>
      <c r="AC4" s="3367" t="s">
        <v>2653</v>
      </c>
    </row>
    <row r="5" spans="1:29" ht="15">
      <c r="A5" s="403"/>
      <c r="B5" s="404"/>
      <c r="C5" s="3390" t="s">
        <v>3320</v>
      </c>
      <c r="D5" s="3391"/>
      <c r="E5" s="3402" t="s">
        <v>3331</v>
      </c>
      <c r="F5" s="3403"/>
      <c r="G5" s="3390" t="s">
        <v>3333</v>
      </c>
      <c r="H5" s="3391"/>
      <c r="I5" s="3390" t="s">
        <v>3332</v>
      </c>
      <c r="J5" s="3391"/>
      <c r="K5" s="609"/>
      <c r="L5" s="1132"/>
      <c r="M5" s="1133"/>
      <c r="N5" s="1133"/>
      <c r="O5" s="1133"/>
      <c r="P5" s="3376"/>
      <c r="Q5" s="3377"/>
      <c r="R5" s="3382"/>
      <c r="S5" s="3383"/>
      <c r="T5" s="3382"/>
      <c r="U5" s="3383"/>
      <c r="V5" s="3387"/>
      <c r="W5" s="3387"/>
      <c r="X5" s="1815"/>
      <c r="Y5" s="3382"/>
      <c r="Z5" s="3383"/>
      <c r="AA5" s="3400"/>
      <c r="AB5" s="3400"/>
      <c r="AC5" s="3368"/>
    </row>
    <row r="6" spans="1:29" ht="15.75" customHeight="1" thickBot="1">
      <c r="A6" s="405"/>
      <c r="B6" s="406"/>
      <c r="C6" s="3396" t="s">
        <v>2550</v>
      </c>
      <c r="D6" s="3389"/>
      <c r="E6" s="3397"/>
      <c r="F6" s="3398"/>
      <c r="G6" s="3388"/>
      <c r="H6" s="3389"/>
      <c r="I6" s="3388"/>
      <c r="J6" s="3389"/>
      <c r="K6" s="609" t="s">
        <v>2551</v>
      </c>
      <c r="L6" s="1132"/>
      <c r="M6" s="1133"/>
      <c r="N6" s="1133"/>
      <c r="O6" s="1133"/>
      <c r="P6" s="3378"/>
      <c r="Q6" s="3379"/>
      <c r="R6" s="3382"/>
      <c r="S6" s="3383"/>
      <c r="T6" s="3384"/>
      <c r="U6" s="3385"/>
      <c r="V6" s="3387"/>
      <c r="W6" s="3387"/>
      <c r="X6" s="1815"/>
      <c r="Y6" s="3384"/>
      <c r="Z6" s="3385"/>
      <c r="AA6" s="3401"/>
      <c r="AB6" s="3401"/>
      <c r="AC6" s="3369"/>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92"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2" t="s">
        <v>2556</v>
      </c>
      <c r="Q8" s="3393"/>
      <c r="R8" s="769" t="s">
        <v>17</v>
      </c>
      <c r="S8" s="770">
        <f t="shared" si="0"/>
        <v>100</v>
      </c>
      <c r="T8" s="769" t="s">
        <v>17</v>
      </c>
      <c r="U8" s="770">
        <f t="shared" si="1"/>
        <v>100</v>
      </c>
      <c r="V8" s="769" t="s">
        <v>17</v>
      </c>
      <c r="W8" s="770">
        <f t="shared" si="2"/>
        <v>100</v>
      </c>
      <c r="X8" s="771"/>
      <c r="Y8" s="3394" t="s">
        <v>2556</v>
      </c>
      <c r="Z8" s="3393"/>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2676">
        <f t="shared" si="5"/>
        <v>1</v>
      </c>
    </row>
    <row r="10" spans="1:29" s="426" customFormat="1" ht="27">
      <c r="A10" s="420"/>
      <c r="B10" s="3150" t="s">
        <v>2561</v>
      </c>
      <c r="C10" s="422" t="s">
        <v>3337</v>
      </c>
      <c r="D10" s="135">
        <v>100</v>
      </c>
      <c r="E10" s="422" t="s">
        <v>3329</v>
      </c>
      <c r="F10" s="135">
        <f>SUMIF(66:66,E10,67:67)-SUMIF(66:66,C10,67:67)+100</f>
        <v>100</v>
      </c>
      <c r="G10" s="422" t="s">
        <v>3338</v>
      </c>
      <c r="H10" s="135">
        <f>SUMIF(66:66,G10,67:67)-SUMIF(66:66,C10,67:67)+100</f>
        <v>101</v>
      </c>
      <c r="I10" s="422" t="s">
        <v>3329</v>
      </c>
      <c r="J10" s="135">
        <f>SUMIF(66:66,I10,67:67)-SUMIF(66:66,C10,67:67)+100</f>
        <v>100</v>
      </c>
      <c r="K10" s="611">
        <v>1</v>
      </c>
      <c r="L10" s="1137"/>
      <c r="M10" s="1138"/>
      <c r="N10" s="1138"/>
      <c r="O10" s="1138"/>
      <c r="P10" s="3352"/>
      <c r="Q10" s="1797" t="str">
        <f t="shared" si="6"/>
        <v>土地使用年限（年）</v>
      </c>
      <c r="R10" s="769" t="s">
        <v>17</v>
      </c>
      <c r="S10" s="770">
        <f t="shared" si="0"/>
        <v>100</v>
      </c>
      <c r="T10" s="769" t="s">
        <v>17</v>
      </c>
      <c r="U10" s="770">
        <f t="shared" si="1"/>
        <v>101</v>
      </c>
      <c r="V10" s="769" t="s">
        <v>17</v>
      </c>
      <c r="W10" s="770">
        <f t="shared" si="2"/>
        <v>100</v>
      </c>
      <c r="X10" s="771"/>
      <c r="Y10" s="3198"/>
      <c r="Z10" s="55" t="str">
        <f t="shared" si="7"/>
        <v>土地使用年限（年）</v>
      </c>
      <c r="AA10" s="772">
        <f t="shared" si="3"/>
        <v>1</v>
      </c>
      <c r="AB10" s="772">
        <f t="shared" si="4"/>
        <v>0.99009900990099009</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52"/>
      <c r="Q11" s="1797" t="str">
        <f t="shared" si="6"/>
        <v>容积率</v>
      </c>
      <c r="R11" s="769" t="s">
        <v>17</v>
      </c>
      <c r="S11" s="770">
        <f t="shared" si="0"/>
        <v>100</v>
      </c>
      <c r="T11" s="769" t="s">
        <v>17</v>
      </c>
      <c r="U11" s="770">
        <f t="shared" si="1"/>
        <v>100</v>
      </c>
      <c r="V11" s="769" t="s">
        <v>17</v>
      </c>
      <c r="W11" s="770">
        <f t="shared" si="2"/>
        <v>100</v>
      </c>
      <c r="X11" s="771"/>
      <c r="Y11" s="3198"/>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52"/>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52"/>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52"/>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102</v>
      </c>
      <c r="G15" s="441"/>
      <c r="H15" s="440">
        <f>SUMIF(77:77,G16,78:78)-SUMIF(77:77,C16,78:78)+100</f>
        <v>102</v>
      </c>
      <c r="I15" s="441"/>
      <c r="J15" s="440">
        <f>SUMIF(77:77,I16,78:78)-SUMIF(77:77,C16,78:78)+100</f>
        <v>102</v>
      </c>
      <c r="K15" s="613">
        <v>2</v>
      </c>
      <c r="L15" s="1142"/>
      <c r="M15" s="1133"/>
      <c r="N15" s="1133"/>
      <c r="O15" s="1133"/>
      <c r="P15" s="3358" t="s">
        <v>2564</v>
      </c>
      <c r="Q15" s="1812" t="str">
        <f t="shared" si="6"/>
        <v>办公集聚程度</v>
      </c>
      <c r="R15" s="773" t="s">
        <v>17</v>
      </c>
      <c r="S15" s="774">
        <f t="shared" si="0"/>
        <v>102</v>
      </c>
      <c r="T15" s="773" t="s">
        <v>17</v>
      </c>
      <c r="U15" s="774">
        <f t="shared" si="1"/>
        <v>102</v>
      </c>
      <c r="V15" s="773" t="s">
        <v>17</v>
      </c>
      <c r="W15" s="774">
        <f t="shared" si="2"/>
        <v>102</v>
      </c>
      <c r="X15" s="1815"/>
      <c r="Y15" s="3360" t="s">
        <v>2564</v>
      </c>
      <c r="Z15" s="1816" t="str">
        <f t="shared" si="7"/>
        <v>办公集聚程度</v>
      </c>
      <c r="AA15" s="1813">
        <f t="shared" si="3"/>
        <v>0.98039215686274506</v>
      </c>
      <c r="AB15" s="1813">
        <f t="shared" si="4"/>
        <v>0.98039215686274506</v>
      </c>
      <c r="AC15" s="2679">
        <f t="shared" si="5"/>
        <v>0.98039215686274506</v>
      </c>
    </row>
    <row r="16" spans="1:29" ht="15">
      <c r="A16" s="427"/>
      <c r="B16" s="629"/>
      <c r="C16" s="2616" t="s">
        <v>3150</v>
      </c>
      <c r="D16" s="447"/>
      <c r="E16" s="2616" t="s">
        <v>3077</v>
      </c>
      <c r="F16" s="447"/>
      <c r="G16" s="2616" t="s">
        <v>3077</v>
      </c>
      <c r="H16" s="449"/>
      <c r="I16" s="2616" t="s">
        <v>3077</v>
      </c>
      <c r="J16" s="447"/>
      <c r="K16" s="614"/>
      <c r="L16" s="1142"/>
      <c r="M16" s="1133"/>
      <c r="N16" s="1133"/>
      <c r="O16" s="1133"/>
      <c r="P16" s="3359"/>
      <c r="Q16" s="1812"/>
      <c r="R16" s="773"/>
      <c r="S16" s="774"/>
      <c r="T16" s="773"/>
      <c r="U16" s="774"/>
      <c r="V16" s="773"/>
      <c r="W16" s="774"/>
      <c r="X16" s="1815"/>
      <c r="Y16" s="3361"/>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59"/>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59"/>
      <c r="Q18" s="1812"/>
      <c r="R18" s="773"/>
      <c r="S18" s="774"/>
      <c r="T18" s="773"/>
      <c r="U18" s="774"/>
      <c r="V18" s="773"/>
      <c r="W18" s="774"/>
      <c r="X18" s="1815"/>
      <c r="Y18" s="3361"/>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59"/>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59"/>
      <c r="Q20" s="1812"/>
      <c r="R20" s="773"/>
      <c r="S20" s="774"/>
      <c r="T20" s="773"/>
      <c r="U20" s="774"/>
      <c r="V20" s="773"/>
      <c r="W20" s="774"/>
      <c r="X20" s="1815"/>
      <c r="Y20" s="3361"/>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59"/>
      <c r="Q22" s="1812"/>
      <c r="R22" s="773"/>
      <c r="S22" s="774"/>
      <c r="T22" s="773"/>
      <c r="U22" s="774"/>
      <c r="V22" s="773"/>
      <c r="W22" s="774"/>
      <c r="X22" s="1815"/>
      <c r="Y22" s="3361"/>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59"/>
      <c r="Q23" s="1812" t="str">
        <f>B23</f>
        <v>环境质量</v>
      </c>
      <c r="R23" s="773" t="s">
        <v>17</v>
      </c>
      <c r="S23" s="774">
        <f>F23</f>
        <v>100</v>
      </c>
      <c r="T23" s="773" t="s">
        <v>17</v>
      </c>
      <c r="U23" s="774">
        <f>H23</f>
        <v>100</v>
      </c>
      <c r="V23" s="773" t="s">
        <v>17</v>
      </c>
      <c r="W23" s="774">
        <f>J23</f>
        <v>100</v>
      </c>
      <c r="X23" s="1815"/>
      <c r="Y23" s="3361"/>
      <c r="Z23" s="1816" t="str">
        <f>Q23</f>
        <v>环境质量</v>
      </c>
      <c r="AA23" s="1813">
        <f t="shared" si="3"/>
        <v>1</v>
      </c>
      <c r="AB23" s="1813">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59"/>
      <c r="Q24" s="1812"/>
      <c r="R24" s="773"/>
      <c r="S24" s="774"/>
      <c r="T24" s="773"/>
      <c r="U24" s="774"/>
      <c r="V24" s="773"/>
      <c r="W24" s="774"/>
      <c r="X24" s="1815"/>
      <c r="Y24" s="3361"/>
      <c r="Z24" s="1816"/>
      <c r="AA24" s="1813">
        <v>1</v>
      </c>
      <c r="AB24" s="1813">
        <v>1</v>
      </c>
      <c r="AC24" s="2679">
        <v>1</v>
      </c>
    </row>
    <row r="25" spans="1:29" ht="27">
      <c r="A25" s="403"/>
      <c r="B25" s="630" t="s">
        <v>2695</v>
      </c>
      <c r="C25" s="3151" t="s">
        <v>3327</v>
      </c>
      <c r="D25" s="434">
        <v>100</v>
      </c>
      <c r="E25" s="3147" t="s">
        <v>3335</v>
      </c>
      <c r="F25" s="434">
        <f>SUMIF(87:87,E26,88:88)-SUMIF(87:87,C26,88:88)+100</f>
        <v>98</v>
      </c>
      <c r="G25" s="3147" t="s">
        <v>3334</v>
      </c>
      <c r="H25" s="434">
        <f>SUMIF(87:87,G26,88:88)-SUMIF(87:87,C26,88:88)+100</f>
        <v>100</v>
      </c>
      <c r="I25" s="3147" t="s">
        <v>3334</v>
      </c>
      <c r="J25" s="434">
        <f>SUMIF(87:87,I26,88:88)-SUMIF(87:87,C26,88:88)+100</f>
        <v>100</v>
      </c>
      <c r="K25" s="613">
        <v>2</v>
      </c>
      <c r="L25" s="1142"/>
      <c r="M25" s="1133"/>
      <c r="N25" s="1133"/>
      <c r="O25" s="1133"/>
      <c r="P25" s="3359"/>
      <c r="Q25" s="1812" t="str">
        <f>B25</f>
        <v>毗邻道路的类型与等级</v>
      </c>
      <c r="R25" s="773" t="s">
        <v>17</v>
      </c>
      <c r="S25" s="774">
        <f>F25</f>
        <v>98</v>
      </c>
      <c r="T25" s="773" t="s">
        <v>17</v>
      </c>
      <c r="U25" s="774">
        <f>H25</f>
        <v>100</v>
      </c>
      <c r="V25" s="773" t="s">
        <v>17</v>
      </c>
      <c r="W25" s="774">
        <f>J25</f>
        <v>100</v>
      </c>
      <c r="X25" s="1815"/>
      <c r="Y25" s="3361"/>
      <c r="Z25" s="1816" t="str">
        <f>Q25</f>
        <v>毗邻道路的类型与等级</v>
      </c>
      <c r="AA25" s="1813">
        <f t="shared" si="3"/>
        <v>1.0204081632653061</v>
      </c>
      <c r="AB25" s="1813">
        <f t="shared" si="4"/>
        <v>1</v>
      </c>
      <c r="AC25" s="2679">
        <f t="shared" si="5"/>
        <v>1</v>
      </c>
    </row>
    <row r="26" spans="1:29" ht="15">
      <c r="A26" s="403"/>
      <c r="B26" s="631"/>
      <c r="C26" s="633" t="s">
        <v>3065</v>
      </c>
      <c r="D26" s="434"/>
      <c r="E26" s="633" t="s">
        <v>3087</v>
      </c>
      <c r="F26" s="434"/>
      <c r="G26" s="633" t="s">
        <v>3065</v>
      </c>
      <c r="H26" s="434"/>
      <c r="I26" s="633" t="s">
        <v>3065</v>
      </c>
      <c r="J26" s="434"/>
      <c r="K26" s="614"/>
      <c r="L26" s="1142"/>
      <c r="M26" s="1133"/>
      <c r="N26" s="1133"/>
      <c r="O26" s="1133"/>
      <c r="P26" s="3359"/>
      <c r="Q26" s="1812"/>
      <c r="R26" s="773"/>
      <c r="S26" s="774"/>
      <c r="T26" s="773"/>
      <c r="U26" s="774"/>
      <c r="V26" s="773"/>
      <c r="W26" s="774"/>
      <c r="X26" s="1815"/>
      <c r="Y26" s="3361"/>
      <c r="Z26" s="1816"/>
      <c r="AA26" s="1813">
        <v>1</v>
      </c>
      <c r="AB26" s="1813">
        <v>1</v>
      </c>
      <c r="AC26" s="2679">
        <v>1</v>
      </c>
    </row>
    <row r="27" spans="1:29" ht="15">
      <c r="A27" s="427"/>
      <c r="B27" s="631" t="s">
        <v>2663</v>
      </c>
      <c r="C27" s="633" t="s">
        <v>3066</v>
      </c>
      <c r="D27" s="434">
        <v>100</v>
      </c>
      <c r="E27" s="615" t="s">
        <v>3067</v>
      </c>
      <c r="F27" s="434">
        <f>SUMIF(89:89,E27,90:90)-SUMIF(89:89,C27,90:90)+100</f>
        <v>98</v>
      </c>
      <c r="G27" s="633" t="s">
        <v>3067</v>
      </c>
      <c r="H27" s="434">
        <f>SUMIF(89:89,G27,90:90)-SUMIF(89:89,C27,90:90)+100</f>
        <v>98</v>
      </c>
      <c r="I27" s="615" t="s">
        <v>3067</v>
      </c>
      <c r="J27" s="434">
        <f>SUMIF(89:89,I27,90:90)-SUMIF(89:89,C27,90:90)+100</f>
        <v>98</v>
      </c>
      <c r="K27" s="611">
        <v>2</v>
      </c>
      <c r="L27" s="1142"/>
      <c r="M27" s="1133"/>
      <c r="N27" s="1133"/>
      <c r="O27" s="1133"/>
      <c r="P27" s="3359"/>
      <c r="Q27" s="1812" t="str">
        <f t="shared" ref="Q27:Q47" si="11">B27</f>
        <v>楼层</v>
      </c>
      <c r="R27" s="773" t="s">
        <v>17</v>
      </c>
      <c r="S27" s="774">
        <f>F27</f>
        <v>98</v>
      </c>
      <c r="T27" s="773" t="s">
        <v>17</v>
      </c>
      <c r="U27" s="774">
        <f>H27</f>
        <v>98</v>
      </c>
      <c r="V27" s="773" t="s">
        <v>17</v>
      </c>
      <c r="W27" s="774">
        <f>J27</f>
        <v>98</v>
      </c>
      <c r="X27" s="1815"/>
      <c r="Y27" s="3361"/>
      <c r="Z27" s="1816" t="str">
        <f>Q27</f>
        <v>楼层</v>
      </c>
      <c r="AA27" s="1813">
        <f t="shared" si="3"/>
        <v>1.0204081632653061</v>
      </c>
      <c r="AB27" s="1813">
        <f t="shared" si="4"/>
        <v>1.0204081632653061</v>
      </c>
      <c r="AC27" s="2679">
        <f t="shared" si="5"/>
        <v>1.0204081632653061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9"/>
      <c r="Q28" s="1797" t="str">
        <f t="shared" si="11"/>
        <v>朝向</v>
      </c>
      <c r="R28" s="769" t="s">
        <v>17</v>
      </c>
      <c r="S28" s="770">
        <f>F28</f>
        <v>100</v>
      </c>
      <c r="T28" s="769" t="s">
        <v>17</v>
      </c>
      <c r="U28" s="770">
        <f>H28</f>
        <v>100</v>
      </c>
      <c r="V28" s="769" t="s">
        <v>17</v>
      </c>
      <c r="W28" s="770">
        <f>J28</f>
        <v>100</v>
      </c>
      <c r="X28" s="771"/>
      <c r="Y28" s="3361"/>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9"/>
      <c r="Q29" s="1812">
        <f t="shared" si="11"/>
        <v>111</v>
      </c>
      <c r="R29" s="773" t="s">
        <v>17</v>
      </c>
      <c r="S29" s="774">
        <f t="shared" ref="S29:S47" si="12">F29</f>
        <v>100</v>
      </c>
      <c r="T29" s="773" t="s">
        <v>17</v>
      </c>
      <c r="U29" s="774">
        <f t="shared" ref="U29:U47" si="13">H29</f>
        <v>100</v>
      </c>
      <c r="V29" s="773" t="s">
        <v>17</v>
      </c>
      <c r="W29" s="774">
        <f t="shared" ref="W29:W47" si="14">J29</f>
        <v>100</v>
      </c>
      <c r="X29" s="1815"/>
      <c r="Y29" s="3361"/>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9"/>
      <c r="Q30" s="1812">
        <f t="shared" si="11"/>
        <v>111</v>
      </c>
      <c r="R30" s="773" t="s">
        <v>17</v>
      </c>
      <c r="S30" s="774">
        <f t="shared" si="12"/>
        <v>100</v>
      </c>
      <c r="T30" s="773" t="s">
        <v>17</v>
      </c>
      <c r="U30" s="774">
        <f t="shared" si="13"/>
        <v>100</v>
      </c>
      <c r="V30" s="773" t="s">
        <v>17</v>
      </c>
      <c r="W30" s="774">
        <f t="shared" si="14"/>
        <v>100</v>
      </c>
      <c r="X30" s="1815"/>
      <c r="Y30" s="3361"/>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9"/>
      <c r="Q31" s="1812">
        <f t="shared" si="11"/>
        <v>111</v>
      </c>
      <c r="R31" s="773" t="s">
        <v>17</v>
      </c>
      <c r="S31" s="774">
        <f t="shared" si="12"/>
        <v>100</v>
      </c>
      <c r="T31" s="773" t="s">
        <v>17</v>
      </c>
      <c r="U31" s="774">
        <f t="shared" si="13"/>
        <v>100</v>
      </c>
      <c r="V31" s="773" t="s">
        <v>17</v>
      </c>
      <c r="W31" s="774">
        <f t="shared" si="14"/>
        <v>100</v>
      </c>
      <c r="X31" s="1815"/>
      <c r="Y31" s="3361"/>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9"/>
      <c r="Q32" s="1812">
        <f t="shared" si="11"/>
        <v>111</v>
      </c>
      <c r="R32" s="773" t="s">
        <v>17</v>
      </c>
      <c r="S32" s="774">
        <f t="shared" si="12"/>
        <v>100</v>
      </c>
      <c r="T32" s="773" t="s">
        <v>17</v>
      </c>
      <c r="U32" s="774">
        <f t="shared" si="13"/>
        <v>100</v>
      </c>
      <c r="V32" s="773" t="s">
        <v>17</v>
      </c>
      <c r="W32" s="774">
        <f t="shared" si="14"/>
        <v>100</v>
      </c>
      <c r="X32" s="1815"/>
      <c r="Y32" s="3361"/>
      <c r="Z32" s="1816">
        <f t="shared" si="15"/>
        <v>111</v>
      </c>
      <c r="AA32" s="1813">
        <f t="shared" si="3"/>
        <v>1</v>
      </c>
      <c r="AB32" s="1813">
        <f t="shared" si="4"/>
        <v>1</v>
      </c>
      <c r="AC32" s="2679">
        <f t="shared" si="5"/>
        <v>1</v>
      </c>
    </row>
    <row r="33" spans="1:29" ht="15">
      <c r="A33" s="439" t="s">
        <v>2567</v>
      </c>
      <c r="B33" s="71" t="s">
        <v>2697</v>
      </c>
      <c r="C33" s="2684" t="s">
        <v>3069</v>
      </c>
      <c r="D33" s="466">
        <v>100</v>
      </c>
      <c r="E33" s="2684" t="s">
        <v>3069</v>
      </c>
      <c r="F33" s="460">
        <f>SUMIF(101:101,E33,102:102)-SUMIF(101:101,C33,102:102)+100</f>
        <v>100</v>
      </c>
      <c r="G33" s="2684" t="s">
        <v>3069</v>
      </c>
      <c r="H33" s="434">
        <f>SUMIF(101:101,G33,102:102)-SUMIF(101:101,C33,102:102)+100</f>
        <v>100</v>
      </c>
      <c r="I33" s="2684" t="s">
        <v>3069</v>
      </c>
      <c r="J33" s="466">
        <f>SUMIF(101:101,I33,102:102)-SUMIF(101:101,C33,102:102)+100</f>
        <v>100</v>
      </c>
      <c r="K33" s="611">
        <v>1</v>
      </c>
      <c r="L33" s="1142"/>
      <c r="M33" s="1133"/>
      <c r="N33" s="1133"/>
      <c r="O33" s="1133"/>
      <c r="P33" s="3362" t="s">
        <v>2569</v>
      </c>
      <c r="Q33" s="1812" t="str">
        <f t="shared" si="11"/>
        <v>建筑类型</v>
      </c>
      <c r="R33" s="773" t="s">
        <v>17</v>
      </c>
      <c r="S33" s="774">
        <f t="shared" si="12"/>
        <v>100</v>
      </c>
      <c r="T33" s="773" t="s">
        <v>17</v>
      </c>
      <c r="U33" s="774">
        <f t="shared" si="13"/>
        <v>100</v>
      </c>
      <c r="V33" s="773" t="s">
        <v>17</v>
      </c>
      <c r="W33" s="774">
        <f t="shared" si="14"/>
        <v>100</v>
      </c>
      <c r="X33" s="1815"/>
      <c r="Y33" s="3365"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191.05</v>
      </c>
      <c r="D34" s="135">
        <v>100</v>
      </c>
      <c r="E34" s="429">
        <v>255</v>
      </c>
      <c r="F34" s="424">
        <f>LOOKUP(E34,104:104,105:105)-LOOKUP(C34,104:104,105:105)+100</f>
        <v>101</v>
      </c>
      <c r="G34" s="428">
        <v>288</v>
      </c>
      <c r="H34" s="135">
        <f>LOOKUP(G34,104:104,105:105)-LOOKUP(C34,104:104,105:105)+100</f>
        <v>101</v>
      </c>
      <c r="I34" s="428">
        <v>313</v>
      </c>
      <c r="J34" s="135">
        <f>LOOKUP(I34,104:104,105:105)-LOOKUP(C34,104:104,105:105)+100</f>
        <v>101</v>
      </c>
      <c r="K34" s="612"/>
      <c r="L34" s="1140"/>
      <c r="M34" s="1143"/>
      <c r="N34" s="1143"/>
      <c r="O34" s="1143"/>
      <c r="P34" s="3363"/>
      <c r="Q34" s="775" t="str">
        <f t="shared" si="11"/>
        <v>项目建筑规模</v>
      </c>
      <c r="R34" s="776" t="s">
        <v>17</v>
      </c>
      <c r="S34" s="777">
        <f t="shared" si="12"/>
        <v>101</v>
      </c>
      <c r="T34" s="776" t="s">
        <v>17</v>
      </c>
      <c r="U34" s="777">
        <f t="shared" si="13"/>
        <v>101</v>
      </c>
      <c r="V34" s="776" t="s">
        <v>17</v>
      </c>
      <c r="W34" s="777">
        <f t="shared" si="14"/>
        <v>101</v>
      </c>
      <c r="X34" s="778"/>
      <c r="Y34" s="3365"/>
      <c r="Z34" s="779" t="str">
        <f t="shared" si="15"/>
        <v>项目建筑规模</v>
      </c>
      <c r="AA34" s="1813">
        <f t="shared" si="3"/>
        <v>0.99009900990099009</v>
      </c>
      <c r="AB34" s="1813">
        <f t="shared" si="4"/>
        <v>0.99009900990099009</v>
      </c>
      <c r="AC34" s="2679">
        <f t="shared" si="5"/>
        <v>0.99009900990099009</v>
      </c>
    </row>
    <row r="35" spans="1:29" ht="15">
      <c r="A35" s="471"/>
      <c r="B35" s="421" t="s">
        <v>2571</v>
      </c>
      <c r="C35" s="459" t="s">
        <v>3070</v>
      </c>
      <c r="D35" s="434">
        <v>100</v>
      </c>
      <c r="E35" s="459" t="s">
        <v>3070</v>
      </c>
      <c r="F35" s="460">
        <f>SUMIF(106:106,E35,107:107)-SUMIF(106:106,C35,107:107)+100</f>
        <v>100</v>
      </c>
      <c r="G35" s="459" t="s">
        <v>3070</v>
      </c>
      <c r="H35" s="434">
        <f>SUMIF(106:106,G35,107:107)-SUMIF(106:106,C35,107:107)+100</f>
        <v>100</v>
      </c>
      <c r="I35" s="459" t="s">
        <v>3070</v>
      </c>
      <c r="J35" s="434">
        <f>SUMIF(106:106,I35,107:107)-SUMIF(106:106,C35,107:107)+100</f>
        <v>100</v>
      </c>
      <c r="K35" s="611">
        <v>1</v>
      </c>
      <c r="L35" s="1142"/>
      <c r="M35" s="1133"/>
      <c r="N35" s="1133"/>
      <c r="O35" s="1133"/>
      <c r="P35" s="3363"/>
      <c r="Q35" s="1812" t="str">
        <f t="shared" si="11"/>
        <v>建筑结构</v>
      </c>
      <c r="R35" s="773" t="s">
        <v>17</v>
      </c>
      <c r="S35" s="774">
        <f t="shared" si="12"/>
        <v>100</v>
      </c>
      <c r="T35" s="773" t="s">
        <v>17</v>
      </c>
      <c r="U35" s="774">
        <f t="shared" si="13"/>
        <v>100</v>
      </c>
      <c r="V35" s="773" t="s">
        <v>17</v>
      </c>
      <c r="W35" s="774">
        <f t="shared" si="14"/>
        <v>100</v>
      </c>
      <c r="X35" s="1815"/>
      <c r="Y35" s="3365"/>
      <c r="Z35" s="1816" t="str">
        <f t="shared" si="15"/>
        <v>建筑结构</v>
      </c>
      <c r="AA35" s="1813">
        <f t="shared" si="3"/>
        <v>1</v>
      </c>
      <c r="AB35" s="1813">
        <f t="shared" si="4"/>
        <v>1</v>
      </c>
      <c r="AC35" s="2679">
        <f t="shared" si="5"/>
        <v>1</v>
      </c>
    </row>
    <row r="36" spans="1:29" ht="15">
      <c r="A36" s="471"/>
      <c r="B36" s="421" t="s">
        <v>2665</v>
      </c>
      <c r="C36" s="459" t="s">
        <v>3071</v>
      </c>
      <c r="D36" s="434">
        <v>100</v>
      </c>
      <c r="E36" s="459" t="s">
        <v>3071</v>
      </c>
      <c r="F36" s="460">
        <f>SUMIF(108:108,E36,109:109)-SUMIF(108:108,C36,109:109)+100</f>
        <v>100</v>
      </c>
      <c r="G36" s="459" t="s">
        <v>3071</v>
      </c>
      <c r="H36" s="434">
        <f>SUMIF(108:108,G36,109:109)-SUMIF(108:108,C36,109:109)+100</f>
        <v>100</v>
      </c>
      <c r="I36" s="459" t="s">
        <v>3071</v>
      </c>
      <c r="J36" s="434">
        <f>SUMIF(108:108,I36,109:109)-SUMIF(108:108,C36,109:109)+100</f>
        <v>100</v>
      </c>
      <c r="K36" s="611">
        <v>2</v>
      </c>
      <c r="L36" s="1142"/>
      <c r="M36" s="1133"/>
      <c r="N36" s="1133"/>
      <c r="O36" s="1133"/>
      <c r="P36" s="3363"/>
      <c r="Q36" s="1812" t="str">
        <f t="shared" si="11"/>
        <v>公共部分装修</v>
      </c>
      <c r="R36" s="773" t="s">
        <v>17</v>
      </c>
      <c r="S36" s="774">
        <f t="shared" si="12"/>
        <v>100</v>
      </c>
      <c r="T36" s="773" t="s">
        <v>17</v>
      </c>
      <c r="U36" s="774">
        <f t="shared" si="13"/>
        <v>100</v>
      </c>
      <c r="V36" s="773" t="s">
        <v>17</v>
      </c>
      <c r="W36" s="774">
        <f t="shared" si="14"/>
        <v>100</v>
      </c>
      <c r="X36" s="1815"/>
      <c r="Y36" s="3365"/>
      <c r="Z36" s="1816" t="str">
        <f t="shared" si="15"/>
        <v>公共部分装修</v>
      </c>
      <c r="AA36" s="1813">
        <f t="shared" si="3"/>
        <v>1</v>
      </c>
      <c r="AB36" s="1813">
        <f t="shared" si="4"/>
        <v>1</v>
      </c>
      <c r="AC36" s="2679">
        <f t="shared" si="5"/>
        <v>1</v>
      </c>
    </row>
    <row r="37" spans="1:29" ht="15">
      <c r="A37" s="471"/>
      <c r="B37" s="421" t="s">
        <v>2666</v>
      </c>
      <c r="C37" s="473">
        <v>0.78</v>
      </c>
      <c r="D37" s="434">
        <v>100</v>
      </c>
      <c r="E37" s="473">
        <v>0.75</v>
      </c>
      <c r="F37" s="460">
        <f>LOOKUP(E37,111:111,112:112)-LOOKUP(C37,111:111,112:112)+100</f>
        <v>100</v>
      </c>
      <c r="G37" s="473">
        <v>0.85</v>
      </c>
      <c r="H37" s="460">
        <f>LOOKUP(G37,111:111,112:112)-LOOKUP(C37,111:111,112:112)+100</f>
        <v>101</v>
      </c>
      <c r="I37" s="473">
        <v>0.75</v>
      </c>
      <c r="J37" s="434">
        <f>LOOKUP(I37,111:111,112:112)-LOOKUP(C37,111:111,112:112)+100</f>
        <v>100</v>
      </c>
      <c r="K37" s="611">
        <v>1</v>
      </c>
      <c r="L37" s="1142"/>
      <c r="M37" s="1133"/>
      <c r="N37" s="1133"/>
      <c r="O37" s="1133"/>
      <c r="P37" s="3363"/>
      <c r="Q37" s="1812" t="str">
        <f t="shared" si="11"/>
        <v>成新度</v>
      </c>
      <c r="R37" s="773" t="s">
        <v>17</v>
      </c>
      <c r="S37" s="774">
        <f t="shared" si="12"/>
        <v>100</v>
      </c>
      <c r="T37" s="773" t="s">
        <v>17</v>
      </c>
      <c r="U37" s="774">
        <f t="shared" si="13"/>
        <v>101</v>
      </c>
      <c r="V37" s="773" t="s">
        <v>17</v>
      </c>
      <c r="W37" s="774">
        <f t="shared" si="14"/>
        <v>100</v>
      </c>
      <c r="X37" s="1815"/>
      <c r="Y37" s="3365"/>
      <c r="Z37" s="1816" t="str">
        <f t="shared" si="15"/>
        <v>成新度</v>
      </c>
      <c r="AA37" s="1813">
        <f t="shared" si="3"/>
        <v>1</v>
      </c>
      <c r="AB37" s="1813">
        <f t="shared" si="4"/>
        <v>0.99009900990099009</v>
      </c>
      <c r="AC37" s="2679">
        <f t="shared" si="5"/>
        <v>1</v>
      </c>
    </row>
    <row r="38" spans="1:29" s="117" customFormat="1" ht="15">
      <c r="A38" s="472"/>
      <c r="B38" s="421" t="s">
        <v>2698</v>
      </c>
      <c r="C38" s="459" t="s">
        <v>3072</v>
      </c>
      <c r="D38" s="135">
        <v>100</v>
      </c>
      <c r="E38" s="459" t="s">
        <v>3072</v>
      </c>
      <c r="F38" s="460">
        <f>SUMIF(113:113,E38,114:114)-SUMIF(113:113,C38,114:114)+100</f>
        <v>100</v>
      </c>
      <c r="G38" s="459" t="s">
        <v>3072</v>
      </c>
      <c r="H38" s="434">
        <f>SUMIF(113:113,G38,114:114)-SUMIF(113:113,C38,114:114)+100</f>
        <v>100</v>
      </c>
      <c r="I38" s="459" t="s">
        <v>3072</v>
      </c>
      <c r="J38" s="434">
        <f>SUMIF(113:113,I38,114:114)-SUMIF(113:113,C38,114:114)+100</f>
        <v>100</v>
      </c>
      <c r="K38" s="611">
        <v>2</v>
      </c>
      <c r="L38" s="1134"/>
      <c r="M38" s="1135"/>
      <c r="N38" s="1135"/>
      <c r="O38" s="1135"/>
      <c r="P38" s="3363"/>
      <c r="Q38" s="1797" t="str">
        <f t="shared" si="11"/>
        <v>写字楼等级</v>
      </c>
      <c r="R38" s="769" t="s">
        <v>17</v>
      </c>
      <c r="S38" s="770">
        <f t="shared" si="12"/>
        <v>100</v>
      </c>
      <c r="T38" s="769" t="s">
        <v>17</v>
      </c>
      <c r="U38" s="770">
        <f t="shared" si="13"/>
        <v>100</v>
      </c>
      <c r="V38" s="769" t="s">
        <v>17</v>
      </c>
      <c r="W38" s="770">
        <f t="shared" si="14"/>
        <v>100</v>
      </c>
      <c r="X38" s="771"/>
      <c r="Y38" s="3365"/>
      <c r="Z38" s="55" t="str">
        <f t="shared" si="15"/>
        <v>写字楼等级</v>
      </c>
      <c r="AA38" s="772">
        <f t="shared" si="3"/>
        <v>1</v>
      </c>
      <c r="AB38" s="772">
        <f t="shared" si="4"/>
        <v>1</v>
      </c>
      <c r="AC38" s="2676">
        <f t="shared" si="5"/>
        <v>1</v>
      </c>
    </row>
    <row r="39" spans="1:29" ht="15">
      <c r="A39" s="471"/>
      <c r="B39" s="421" t="s">
        <v>2699</v>
      </c>
      <c r="C39" s="459" t="s">
        <v>3073</v>
      </c>
      <c r="D39" s="434">
        <v>100</v>
      </c>
      <c r="E39" s="459" t="s">
        <v>3073</v>
      </c>
      <c r="F39" s="460">
        <f>SUMIF(115:115,E39,116:116)-SUMIF(115:115,C39,116:116)+100</f>
        <v>100</v>
      </c>
      <c r="G39" s="459" t="s">
        <v>3073</v>
      </c>
      <c r="H39" s="434">
        <f>SUMIF(115:115,G39,116:116)-SUMIF(115:115,C39,116:116)+100</f>
        <v>100</v>
      </c>
      <c r="I39" s="459" t="s">
        <v>3073</v>
      </c>
      <c r="J39" s="434">
        <f>SUMIF(115:115,I39,116:116)-SUMIF(115:115,C39,116:116)+100</f>
        <v>100</v>
      </c>
      <c r="K39" s="611">
        <v>2</v>
      </c>
      <c r="L39" s="1142"/>
      <c r="M39" s="1133"/>
      <c r="N39" s="1133"/>
      <c r="O39" s="1133"/>
      <c r="P39" s="3363" t="s">
        <v>2569</v>
      </c>
      <c r="Q39" s="1812" t="str">
        <f t="shared" si="11"/>
        <v>物业管理</v>
      </c>
      <c r="R39" s="773" t="s">
        <v>17</v>
      </c>
      <c r="S39" s="774">
        <f t="shared" si="12"/>
        <v>100</v>
      </c>
      <c r="T39" s="773" t="s">
        <v>17</v>
      </c>
      <c r="U39" s="774">
        <f t="shared" si="13"/>
        <v>100</v>
      </c>
      <c r="V39" s="773" t="s">
        <v>17</v>
      </c>
      <c r="W39" s="774">
        <f t="shared" si="14"/>
        <v>100</v>
      </c>
      <c r="X39" s="1815"/>
      <c r="Y39" s="3365"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3079</v>
      </c>
      <c r="F40" s="460">
        <f>SUMIF(117:117,E40,118:118)-SUMIF(117:117,C40,118:118)+100</f>
        <v>100</v>
      </c>
      <c r="G40" s="459" t="s">
        <v>3079</v>
      </c>
      <c r="H40" s="434">
        <f>SUMIF(117:117,G40,118:118)-SUMIF(117:117,C40,118:118)+100</f>
        <v>100</v>
      </c>
      <c r="I40" s="459" t="s">
        <v>3079</v>
      </c>
      <c r="J40" s="434">
        <f>SUMIF(117:117,I40,118:118)-SUMIF(117:117,C40,118:118)+100</f>
        <v>100</v>
      </c>
      <c r="K40" s="2963">
        <v>1</v>
      </c>
      <c r="L40" s="1142"/>
      <c r="M40" s="1133"/>
      <c r="N40" s="1133"/>
      <c r="O40" s="1133"/>
      <c r="P40" s="3363"/>
      <c r="Q40" s="1812" t="str">
        <f t="shared" si="11"/>
        <v>市政基础设施</v>
      </c>
      <c r="R40" s="773" t="s">
        <v>17</v>
      </c>
      <c r="S40" s="774">
        <f t="shared" si="12"/>
        <v>100</v>
      </c>
      <c r="T40" s="773" t="s">
        <v>17</v>
      </c>
      <c r="U40" s="774">
        <f t="shared" si="13"/>
        <v>100</v>
      </c>
      <c r="V40" s="773" t="s">
        <v>17</v>
      </c>
      <c r="W40" s="774">
        <f t="shared" si="14"/>
        <v>100</v>
      </c>
      <c r="X40" s="1815"/>
      <c r="Y40" s="3365"/>
      <c r="Z40" s="1816" t="str">
        <f t="shared" si="15"/>
        <v>市政基础设施</v>
      </c>
      <c r="AA40" s="1813">
        <f t="shared" si="3"/>
        <v>1</v>
      </c>
      <c r="AB40" s="1813">
        <f t="shared" si="4"/>
        <v>1</v>
      </c>
      <c r="AC40" s="2679">
        <f t="shared" si="5"/>
        <v>1</v>
      </c>
    </row>
    <row r="41" spans="1:29" ht="15">
      <c r="A41" s="471"/>
      <c r="B41" s="421" t="s">
        <v>2669</v>
      </c>
      <c r="C41" s="615" t="s">
        <v>3075</v>
      </c>
      <c r="D41" s="434">
        <v>100</v>
      </c>
      <c r="E41" s="615" t="s">
        <v>3075</v>
      </c>
      <c r="F41" s="460">
        <f>SUMIF(119:119,E41,120:120)-SUMIF(119:119,C41,120:120)+100</f>
        <v>100</v>
      </c>
      <c r="G41" s="615" t="s">
        <v>3075</v>
      </c>
      <c r="H41" s="434">
        <f>SUMIF(119:119,G41,120:120)-SUMIF(119:119,C41,120:120)+100</f>
        <v>100</v>
      </c>
      <c r="I41" s="615" t="s">
        <v>3075</v>
      </c>
      <c r="J41" s="434">
        <f>SUMIF(119:119,I41,120:120)-SUMIF(119:119,C41,120:120)+100</f>
        <v>100</v>
      </c>
      <c r="K41" s="611">
        <v>2</v>
      </c>
      <c r="L41" s="1142"/>
      <c r="M41" s="1133"/>
      <c r="N41" s="1133"/>
      <c r="O41" s="1133"/>
      <c r="P41" s="3363"/>
      <c r="Q41" s="1812" t="str">
        <f t="shared" si="11"/>
        <v>层高</v>
      </c>
      <c r="R41" s="773" t="s">
        <v>17</v>
      </c>
      <c r="S41" s="774">
        <f t="shared" si="12"/>
        <v>100</v>
      </c>
      <c r="T41" s="773" t="s">
        <v>17</v>
      </c>
      <c r="U41" s="774">
        <f t="shared" si="13"/>
        <v>100</v>
      </c>
      <c r="V41" s="773" t="s">
        <v>17</v>
      </c>
      <c r="W41" s="774">
        <f t="shared" si="14"/>
        <v>100</v>
      </c>
      <c r="X41" s="1815"/>
      <c r="Y41" s="3365"/>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63"/>
      <c r="Q42" s="775" t="str">
        <f t="shared" si="11"/>
        <v>单套建筑面积</v>
      </c>
      <c r="R42" s="776" t="s">
        <v>17</v>
      </c>
      <c r="S42" s="777">
        <f t="shared" si="12"/>
        <v>100</v>
      </c>
      <c r="T42" s="776" t="s">
        <v>17</v>
      </c>
      <c r="U42" s="777">
        <f t="shared" si="13"/>
        <v>100</v>
      </c>
      <c r="V42" s="776" t="s">
        <v>17</v>
      </c>
      <c r="W42" s="777">
        <f t="shared" si="14"/>
        <v>100</v>
      </c>
      <c r="X42" s="778"/>
      <c r="Y42" s="3365"/>
      <c r="Z42" s="779" t="str">
        <f t="shared" si="15"/>
        <v>单套建筑面积</v>
      </c>
      <c r="AA42" s="1813">
        <f t="shared" si="3"/>
        <v>1</v>
      </c>
      <c r="AB42" s="1813">
        <f t="shared" si="4"/>
        <v>1</v>
      </c>
      <c r="AC42" s="2679">
        <f t="shared" si="5"/>
        <v>1</v>
      </c>
    </row>
    <row r="43" spans="1:29" ht="15">
      <c r="A43" s="471"/>
      <c r="B43" s="421" t="s">
        <v>2672</v>
      </c>
      <c r="C43" s="459" t="s">
        <v>3071</v>
      </c>
      <c r="D43" s="434">
        <v>100</v>
      </c>
      <c r="E43" s="459" t="s">
        <v>3071</v>
      </c>
      <c r="F43" s="460">
        <f>SUMIF(123:123,E43,124:124)-SUMIF(123:123,C43,124:124)+100</f>
        <v>100</v>
      </c>
      <c r="G43" s="459" t="s">
        <v>3071</v>
      </c>
      <c r="H43" s="434">
        <f>SUMIF(123:123,G43,124:124)-SUMIF(123:123,C43,124:124)+100</f>
        <v>100</v>
      </c>
      <c r="I43" s="459" t="s">
        <v>3071</v>
      </c>
      <c r="J43" s="434">
        <f>SUMIF(123:123,I43,124:124)-SUMIF(123:123,C43,124:124)+100</f>
        <v>100</v>
      </c>
      <c r="K43" s="611">
        <v>1</v>
      </c>
      <c r="L43" s="1142"/>
      <c r="M43" s="1133"/>
      <c r="N43" s="1133"/>
      <c r="O43" s="1133"/>
      <c r="P43" s="3363"/>
      <c r="Q43" s="1812" t="str">
        <f t="shared" si="11"/>
        <v>内部装修</v>
      </c>
      <c r="R43" s="773" t="s">
        <v>17</v>
      </c>
      <c r="S43" s="774">
        <f t="shared" si="12"/>
        <v>100</v>
      </c>
      <c r="T43" s="773" t="s">
        <v>17</v>
      </c>
      <c r="U43" s="774">
        <f t="shared" si="13"/>
        <v>100</v>
      </c>
      <c r="V43" s="773" t="s">
        <v>17</v>
      </c>
      <c r="W43" s="774">
        <f t="shared" si="14"/>
        <v>100</v>
      </c>
      <c r="X43" s="1815"/>
      <c r="Y43" s="3365"/>
      <c r="Z43" s="1816" t="str">
        <f t="shared" si="15"/>
        <v>内部装修</v>
      </c>
      <c r="AA43" s="1813">
        <f t="shared" si="3"/>
        <v>1</v>
      </c>
      <c r="AB43" s="1813">
        <f t="shared" si="4"/>
        <v>1</v>
      </c>
      <c r="AC43" s="2679">
        <f t="shared" si="5"/>
        <v>1</v>
      </c>
    </row>
    <row r="44" spans="1:29" ht="15">
      <c r="A44" s="471"/>
      <c r="B44" s="421" t="s">
        <v>2580</v>
      </c>
      <c r="C44" s="459" t="s">
        <v>3077</v>
      </c>
      <c r="D44" s="434">
        <v>100</v>
      </c>
      <c r="E44" s="459" t="s">
        <v>3077</v>
      </c>
      <c r="F44" s="460">
        <f>SUMIF(125:125,E44,126:126)-SUMIF(125:125,C44,126:126)+100</f>
        <v>100</v>
      </c>
      <c r="G44" s="459" t="s">
        <v>3077</v>
      </c>
      <c r="H44" s="434">
        <f>SUMIF(125:125,G44,126:126)-SUMIF(125:125,C44,126:126)+100</f>
        <v>100</v>
      </c>
      <c r="I44" s="459" t="s">
        <v>3077</v>
      </c>
      <c r="J44" s="434">
        <f>SUMIF(125:125,I44,126:126)-SUMIF(125:125,C44,126:126)+100</f>
        <v>100</v>
      </c>
      <c r="K44" s="611">
        <v>2</v>
      </c>
      <c r="L44" s="1142"/>
      <c r="M44" s="1133"/>
      <c r="N44" s="1133"/>
      <c r="O44" s="1133"/>
      <c r="P44" s="3363"/>
      <c r="Q44" s="1812" t="str">
        <f t="shared" si="11"/>
        <v>内部装修维护情况</v>
      </c>
      <c r="R44" s="773" t="s">
        <v>17</v>
      </c>
      <c r="S44" s="774">
        <f t="shared" si="12"/>
        <v>100</v>
      </c>
      <c r="T44" s="773" t="s">
        <v>17</v>
      </c>
      <c r="U44" s="774">
        <f t="shared" si="13"/>
        <v>100</v>
      </c>
      <c r="V44" s="773" t="s">
        <v>17</v>
      </c>
      <c r="W44" s="774">
        <f t="shared" si="14"/>
        <v>100</v>
      </c>
      <c r="X44" s="1815"/>
      <c r="Y44" s="3365"/>
      <c r="Z44" s="1816" t="str">
        <f t="shared" si="15"/>
        <v>内部装修维护情况</v>
      </c>
      <c r="AA44" s="1813">
        <f t="shared" si="3"/>
        <v>1</v>
      </c>
      <c r="AB44" s="1813">
        <f t="shared" si="4"/>
        <v>1</v>
      </c>
      <c r="AC44" s="2679">
        <f t="shared" si="5"/>
        <v>1</v>
      </c>
    </row>
    <row r="45" spans="1:29" s="117" customFormat="1" ht="15">
      <c r="A45" s="472"/>
      <c r="B45" s="2962" t="s">
        <v>3082</v>
      </c>
      <c r="C45" s="2961"/>
      <c r="D45" s="135">
        <v>100</v>
      </c>
      <c r="E45" s="2961"/>
      <c r="F45" s="424">
        <f>SUMIF(127:127,E45,128:128)-SUMIF(127:127,C45,128:128)+100</f>
        <v>100</v>
      </c>
      <c r="G45" s="2961"/>
      <c r="H45" s="135">
        <f>SUMIF(127:127,G45,128:128)-SUMIF(127:127,C45,128:128)+100</f>
        <v>100</v>
      </c>
      <c r="I45" s="2961"/>
      <c r="J45" s="135">
        <f>SUMIF(127:127,I45,128:128)-SUMIF(127:127,C45,128:128)+100</f>
        <v>100</v>
      </c>
      <c r="K45" s="612"/>
      <c r="L45" s="1134"/>
      <c r="M45" s="1135"/>
      <c r="N45" s="1135"/>
      <c r="O45" s="1135"/>
      <c r="P45" s="3363"/>
      <c r="Q45" s="1797" t="str">
        <f t="shared" si="11"/>
        <v>智能环保系统</v>
      </c>
      <c r="R45" s="769" t="s">
        <v>17</v>
      </c>
      <c r="S45" s="770">
        <f t="shared" si="12"/>
        <v>100</v>
      </c>
      <c r="T45" s="769" t="s">
        <v>17</v>
      </c>
      <c r="U45" s="770">
        <f t="shared" si="13"/>
        <v>100</v>
      </c>
      <c r="V45" s="769" t="s">
        <v>17</v>
      </c>
      <c r="W45" s="770">
        <f t="shared" si="14"/>
        <v>100</v>
      </c>
      <c r="X45" s="771"/>
      <c r="Y45" s="3365"/>
      <c r="Z45" s="55" t="str">
        <f t="shared" si="15"/>
        <v>智能环保系统</v>
      </c>
      <c r="AA45" s="772">
        <f t="shared" si="3"/>
        <v>1</v>
      </c>
      <c r="AB45" s="772">
        <f t="shared" si="4"/>
        <v>1</v>
      </c>
      <c r="AC45" s="2676">
        <f t="shared" si="5"/>
        <v>1</v>
      </c>
    </row>
    <row r="46" spans="1:29" ht="15">
      <c r="A46" s="471"/>
      <c r="B46" s="2962" t="s">
        <v>3083</v>
      </c>
      <c r="C46" s="2960" t="s">
        <v>3326</v>
      </c>
      <c r="D46" s="434">
        <v>100</v>
      </c>
      <c r="E46" s="2960" t="s">
        <v>3336</v>
      </c>
      <c r="F46" s="460">
        <f>SUMIF(129:129,E46,130:130)-SUMIF(129:129,C46,130:130)+100</f>
        <v>105</v>
      </c>
      <c r="G46" s="2960" t="s">
        <v>3336</v>
      </c>
      <c r="H46" s="434">
        <f>SUMIF(129:129,G46,130:130)-SUMIF(129:129,C46,130:130)+100</f>
        <v>105</v>
      </c>
      <c r="I46" s="2960" t="s">
        <v>3336</v>
      </c>
      <c r="J46" s="434">
        <f>SUMIF(129:129,I46,130:130)-SUMIF(129:129,C46,130:130)+100</f>
        <v>105</v>
      </c>
      <c r="K46" s="612"/>
      <c r="L46" s="1142"/>
      <c r="M46" s="1133"/>
      <c r="N46" s="1133"/>
      <c r="O46" s="1133"/>
      <c r="P46" s="3363"/>
      <c r="Q46" s="1812" t="str">
        <f t="shared" si="11"/>
        <v>建筑品质</v>
      </c>
      <c r="R46" s="773" t="s">
        <v>17</v>
      </c>
      <c r="S46" s="774">
        <f t="shared" si="12"/>
        <v>105</v>
      </c>
      <c r="T46" s="773" t="s">
        <v>17</v>
      </c>
      <c r="U46" s="774">
        <f t="shared" si="13"/>
        <v>105</v>
      </c>
      <c r="V46" s="773" t="s">
        <v>17</v>
      </c>
      <c r="W46" s="774">
        <f t="shared" si="14"/>
        <v>105</v>
      </c>
      <c r="X46" s="1815"/>
      <c r="Y46" s="3365"/>
      <c r="Z46" s="1816" t="str">
        <f t="shared" si="15"/>
        <v>建筑品质</v>
      </c>
      <c r="AA46" s="1813">
        <f t="shared" si="3"/>
        <v>0.95238095238095233</v>
      </c>
      <c r="AB46" s="1813">
        <f t="shared" si="4"/>
        <v>0.95238095238095233</v>
      </c>
      <c r="AC46" s="2679">
        <f t="shared" si="5"/>
        <v>0.95238095238095233</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64"/>
      <c r="Q47" s="1812">
        <f t="shared" si="11"/>
        <v>111</v>
      </c>
      <c r="R47" s="773" t="s">
        <v>17</v>
      </c>
      <c r="S47" s="774">
        <f t="shared" si="12"/>
        <v>100</v>
      </c>
      <c r="T47" s="773" t="s">
        <v>17</v>
      </c>
      <c r="U47" s="774">
        <f t="shared" si="13"/>
        <v>100</v>
      </c>
      <c r="V47" s="773" t="s">
        <v>17</v>
      </c>
      <c r="W47" s="774">
        <f t="shared" si="14"/>
        <v>100</v>
      </c>
      <c r="X47" s="1815"/>
      <c r="Y47" s="3366"/>
      <c r="Z47" s="1816">
        <f t="shared" si="15"/>
        <v>111</v>
      </c>
      <c r="AA47" s="1813">
        <f t="shared" si="3"/>
        <v>1</v>
      </c>
      <c r="AB47" s="1813">
        <f t="shared" si="4"/>
        <v>1</v>
      </c>
      <c r="AC47" s="2679">
        <f t="shared" si="5"/>
        <v>1</v>
      </c>
    </row>
    <row r="48" spans="1:29" ht="15">
      <c r="A48" s="478" t="s">
        <v>2581</v>
      </c>
      <c r="B48" s="479"/>
      <c r="C48" s="1409" t="s">
        <v>1</v>
      </c>
      <c r="D48" s="1410"/>
      <c r="E48" s="3153">
        <v>56500</v>
      </c>
      <c r="F48" s="1412"/>
      <c r="G48" s="1413">
        <v>55000</v>
      </c>
      <c r="H48" s="1414"/>
      <c r="I48" s="1411">
        <v>47000</v>
      </c>
      <c r="J48" s="484"/>
      <c r="K48" s="782"/>
      <c r="L48" s="1145"/>
      <c r="M48" s="1133"/>
      <c r="N48" s="1133"/>
      <c r="O48" s="1133"/>
      <c r="P48" s="3352" t="str">
        <f>A48</f>
        <v>成交单价（元/平方米）</v>
      </c>
      <c r="Q48" s="3353"/>
      <c r="R48" s="3354">
        <f>E48</f>
        <v>56500</v>
      </c>
      <c r="S48" s="3354"/>
      <c r="T48" s="3354">
        <f>G48</f>
        <v>55000</v>
      </c>
      <c r="U48" s="3354"/>
      <c r="V48" s="3354">
        <f>I48</f>
        <v>47000</v>
      </c>
      <c r="W48" s="3354"/>
      <c r="X48" s="445"/>
      <c r="Y48" s="780"/>
      <c r="Z48" s="445"/>
      <c r="AA48" s="445"/>
      <c r="AB48" s="445"/>
      <c r="AC48" s="629"/>
    </row>
    <row r="49" spans="1:29" ht="15.75" thickBot="1">
      <c r="A49" s="485" t="s">
        <v>2673</v>
      </c>
      <c r="B49" s="486"/>
      <c r="C49" s="1415">
        <f>R50</f>
        <v>49861</v>
      </c>
      <c r="D49" s="1416"/>
      <c r="E49" s="1417">
        <f>R49</f>
        <v>54386</v>
      </c>
      <c r="F49" s="1417"/>
      <c r="G49" s="1415">
        <f>T49</f>
        <v>50861</v>
      </c>
      <c r="H49" s="1416"/>
      <c r="I49" s="1417">
        <f>V49</f>
        <v>44336</v>
      </c>
      <c r="J49" s="488"/>
      <c r="K49" s="783"/>
      <c r="L49" s="1145"/>
      <c r="M49" s="1133"/>
      <c r="N49" s="1133"/>
      <c r="O49" s="1133"/>
      <c r="P49" s="3352" t="str">
        <f>A49</f>
        <v>比较价值（元/平方米）</v>
      </c>
      <c r="Q49" s="3353"/>
      <c r="R49" s="3354">
        <f>IF(F1="售价",ROUND(PRODUCT(R48,AA7:AA47),0),ROUND(PRODUCT(R48,AA7:AA47),1))</f>
        <v>54386</v>
      </c>
      <c r="S49" s="3354"/>
      <c r="T49" s="3354">
        <f>IF(F1="售价",ROUND(PRODUCT(T48,AB7:AB47),0),ROUND(PRODUCT(T48,AB7:AB47),1))</f>
        <v>50861</v>
      </c>
      <c r="U49" s="3354"/>
      <c r="V49" s="3354">
        <f>IF(F1="售价",ROUND(PRODUCT(V48,AC7:AC47),0),ROUND(PRODUCT(V48,AC7:AC47),1))</f>
        <v>44336</v>
      </c>
      <c r="W49" s="3354"/>
      <c r="X49" s="445"/>
      <c r="Y49" s="445"/>
      <c r="Z49" s="445"/>
      <c r="AA49" s="445"/>
      <c r="AB49" s="445"/>
      <c r="AC49" s="629"/>
    </row>
    <row r="50" spans="1:29" ht="15.75" thickBot="1">
      <c r="A50" s="491" t="s">
        <v>2674</v>
      </c>
      <c r="B50" s="492"/>
      <c r="C50" s="1419">
        <f>R50</f>
        <v>49861</v>
      </c>
      <c r="D50" s="1419"/>
      <c r="E50" s="1419"/>
      <c r="F50" s="1419"/>
      <c r="G50" s="1419"/>
      <c r="H50" s="1419"/>
      <c r="I50" s="1419"/>
      <c r="J50" s="493"/>
      <c r="K50" s="784"/>
      <c r="L50" s="1145"/>
      <c r="M50" s="1133"/>
      <c r="N50" s="1133"/>
      <c r="O50" s="1133"/>
      <c r="P50" s="3355" t="str">
        <f>A50</f>
        <v>估价对象XX用房的比较价值（楼面单价，元/平方米）</v>
      </c>
      <c r="Q50" s="3356"/>
      <c r="R50" s="3357">
        <f>IF(F1="售价",ROUND(AVERAGE(R49:V49),0),ROUND(AVERAGE(R49:V49),1))</f>
        <v>49861</v>
      </c>
      <c r="S50" s="3357"/>
      <c r="T50" s="3357"/>
      <c r="U50" s="3357"/>
      <c r="V50" s="3357"/>
      <c r="W50" s="3357"/>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3.8870297503033946E-2</v>
      </c>
      <c r="F53" s="499" t="str">
        <f>IF(OR(E53&gt;=0.3,E53&lt;=-0.3),"超过30%","")</f>
        <v/>
      </c>
      <c r="G53" s="498">
        <f>IF(G48&lt;G49,G49/G48-1,G48/G49-1)</f>
        <v>8.137865948369094E-2</v>
      </c>
      <c r="H53" s="499" t="str">
        <f>IF(OR(G53&gt;=0.3,G53&lt;=-0.3),"超过30%","")</f>
        <v/>
      </c>
      <c r="I53" s="498">
        <f>IF(I48&lt;I49,I49/I48-1,I48/I49-1)</f>
        <v>6.0086611331649165E-2</v>
      </c>
      <c r="J53" s="499" t="str">
        <f>IF(OR(I53&gt;=0.3,I53&lt;=-0.3),"超过30%","")</f>
        <v/>
      </c>
      <c r="K53" s="1107"/>
      <c r="L53" s="1108"/>
      <c r="M53" s="1146"/>
      <c r="N53" s="1146"/>
      <c r="O53" s="1146"/>
    </row>
    <row r="54" spans="1:29" ht="13.5" customHeight="1">
      <c r="A54" s="1146"/>
      <c r="B54" s="1146"/>
      <c r="C54" s="496" t="s">
        <v>2676</v>
      </c>
      <c r="D54" s="500"/>
      <c r="E54" s="498">
        <f>IF(E49&lt;G49,G49/E49-1,E49/G49-1)</f>
        <v>6.9306541357818441E-2</v>
      </c>
      <c r="F54" s="499" t="str">
        <f>IF(OR(E54&gt;=0.2,E54&lt;=-0.2),"超过20%","")</f>
        <v/>
      </c>
      <c r="G54" s="498">
        <f>IF(G49&lt;I49,I49/G49-1,G49/I49-1)</f>
        <v>0.14717159870082996</v>
      </c>
      <c r="H54" s="499" t="str">
        <f>IF(OR(G54&gt;=0.2,G54&lt;=-0.2),"超过20%","")</f>
        <v/>
      </c>
      <c r="I54" s="498">
        <f>IF(I49&lt;E49,E49/I49-1,I49/E49-1)</f>
        <v>0.22667809455070365</v>
      </c>
      <c r="J54" s="499" t="str">
        <f>IF(OR(I54&gt;=0.2,I54&lt;=-0.2),"超过20%","")</f>
        <v>超过20%</v>
      </c>
      <c r="K54" s="1107"/>
      <c r="L54" s="1108"/>
      <c r="M54" s="1146"/>
      <c r="N54" s="1146"/>
      <c r="O54" s="1146"/>
    </row>
    <row r="55" spans="1:29" s="501" customFormat="1" ht="13.5" customHeight="1">
      <c r="A55" s="1147"/>
      <c r="B55" s="1147"/>
      <c r="C55" s="496" t="s">
        <v>2677</v>
      </c>
      <c r="D55" s="500"/>
      <c r="E55" s="498">
        <f>IF(E48&lt;G48,G48/E48-1,E48/G48-1)</f>
        <v>2.7272727272727337E-2</v>
      </c>
      <c r="F55" s="499" t="str">
        <f>IF(OR(E55&gt;=0.3,E55&lt;=-0.3),"超过30%","")</f>
        <v/>
      </c>
      <c r="G55" s="498">
        <f>IF(G48&lt;I48,I48/G48-1,G48/I48-1)</f>
        <v>0.17021276595744683</v>
      </c>
      <c r="H55" s="499" t="str">
        <f>IF(OR(G55&gt;=0.3,G55&lt;=-0.3),"超过30%","")</f>
        <v/>
      </c>
      <c r="I55" s="498">
        <f>IF(I48&lt;E48,E48/I48-1,I48/E48-1)</f>
        <v>0.2021276595744681</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95</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0" priority="16" stopIfTrue="1" operator="containsText" text="超过">
      <formula>NOT(ISERROR(SEARCH("超过",F53)))</formula>
    </cfRule>
  </conditionalFormatting>
  <conditionalFormatting sqref="H55">
    <cfRule type="containsText" dxfId="169" priority="15" stopIfTrue="1" operator="containsText" text="超过">
      <formula>NOT(ISERROR(SEARCH("超过",H55)))</formula>
    </cfRule>
  </conditionalFormatting>
  <conditionalFormatting sqref="F55">
    <cfRule type="containsText" dxfId="168" priority="14" stopIfTrue="1" operator="containsText" text="超过">
      <formula>NOT(ISERROR(SEARCH("超过",F55)))</formula>
    </cfRule>
  </conditionalFormatting>
  <conditionalFormatting sqref="F54 H54">
    <cfRule type="containsText" dxfId="167" priority="13" stopIfTrue="1" operator="containsText" text="超过">
      <formula>NOT(ISERROR(SEARCH("超过",F54)))</formula>
    </cfRule>
  </conditionalFormatting>
  <conditionalFormatting sqref="E53">
    <cfRule type="expression" dxfId="166" priority="12" stopIfTrue="1">
      <formula>$F$53="超过30%"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5">
    <cfRule type="expression" dxfId="163" priority="9" stopIfTrue="1">
      <formula>$H$55="超过30%"</formula>
    </cfRule>
  </conditionalFormatting>
  <conditionalFormatting sqref="G53">
    <cfRule type="expression" dxfId="162" priority="8" stopIfTrue="1">
      <formula>$H$53="超过30%"</formula>
    </cfRule>
  </conditionalFormatting>
  <conditionalFormatting sqref="G54">
    <cfRule type="expression" dxfId="161" priority="7" stopIfTrue="1">
      <formula>$H$54="超过20%"</formula>
    </cfRule>
  </conditionalFormatting>
  <conditionalFormatting sqref="J53">
    <cfRule type="containsText" dxfId="160" priority="6" stopIfTrue="1" operator="containsText" text="超过">
      <formula>NOT(ISERROR(SEARCH("超过",J53)))</formula>
    </cfRule>
  </conditionalFormatting>
  <conditionalFormatting sqref="J55">
    <cfRule type="containsText" dxfId="159" priority="5" stopIfTrue="1" operator="containsText" text="超过">
      <formula>NOT(ISERROR(SEARCH("超过",J55)))</formula>
    </cfRule>
  </conditionalFormatting>
  <conditionalFormatting sqref="J54">
    <cfRule type="containsText" dxfId="158" priority="4" stopIfTrue="1" operator="containsText" text="超过">
      <formula>NOT(ISERROR(SEARCH("超过",J54)))</formula>
    </cfRule>
  </conditionalFormatting>
  <conditionalFormatting sqref="I53">
    <cfRule type="expression" dxfId="157" priority="3" stopIfTrue="1">
      <formula>$J$53="超过30%"</formula>
    </cfRule>
  </conditionalFormatting>
  <conditionalFormatting sqref="I54">
    <cfRule type="expression" dxfId="156" priority="2" stopIfTrue="1">
      <formula>$J$53+$J$54="超过20%"</formula>
    </cfRule>
  </conditionalFormatting>
  <conditionalFormatting sqref="I55">
    <cfRule type="expression" dxfId="15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E135" sqref="E135:E13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3109</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70" t="s">
        <v>2540</v>
      </c>
      <c r="D4" s="3371"/>
      <c r="E4" s="3372" t="s">
        <v>2541</v>
      </c>
      <c r="F4" s="3373"/>
      <c r="G4" s="3370" t="s">
        <v>2542</v>
      </c>
      <c r="H4" s="3371"/>
      <c r="I4" s="3370" t="s">
        <v>2543</v>
      </c>
      <c r="J4" s="3371"/>
      <c r="K4" s="609" t="s">
        <v>2544</v>
      </c>
      <c r="L4" s="1132"/>
      <c r="M4" s="1133"/>
      <c r="N4" s="1133"/>
      <c r="O4" s="1133"/>
      <c r="P4" s="3374" t="s">
        <v>2545</v>
      </c>
      <c r="Q4" s="3375"/>
      <c r="R4" s="3380" t="s">
        <v>2541</v>
      </c>
      <c r="S4" s="3381"/>
      <c r="T4" s="3380" t="s">
        <v>2542</v>
      </c>
      <c r="U4" s="3381"/>
      <c r="V4" s="3386" t="s">
        <v>2543</v>
      </c>
      <c r="W4" s="3386"/>
      <c r="X4" s="2955"/>
      <c r="Y4" s="3380" t="s">
        <v>2545</v>
      </c>
      <c r="Z4" s="3381"/>
      <c r="AA4" s="3399" t="s">
        <v>2541</v>
      </c>
      <c r="AB4" s="3399" t="s">
        <v>2542</v>
      </c>
      <c r="AC4" s="3367" t="s">
        <v>2543</v>
      </c>
    </row>
    <row r="5" spans="1:29" ht="15">
      <c r="A5" s="403"/>
      <c r="B5" s="404"/>
      <c r="C5" s="3390" t="s">
        <v>3319</v>
      </c>
      <c r="D5" s="3391"/>
      <c r="E5" s="3404" t="s">
        <v>3320</v>
      </c>
      <c r="F5" s="3405"/>
      <c r="G5" s="3406" t="s">
        <v>3321</v>
      </c>
      <c r="H5" s="3407"/>
      <c r="I5" s="3406" t="s">
        <v>3322</v>
      </c>
      <c r="J5" s="3407"/>
      <c r="K5" s="609"/>
      <c r="L5" s="1132"/>
      <c r="M5" s="1133"/>
      <c r="N5" s="1133"/>
      <c r="O5" s="1133"/>
      <c r="P5" s="3376"/>
      <c r="Q5" s="3377"/>
      <c r="R5" s="3382"/>
      <c r="S5" s="3383"/>
      <c r="T5" s="3382"/>
      <c r="U5" s="3383"/>
      <c r="V5" s="3387"/>
      <c r="W5" s="3387"/>
      <c r="X5" s="2950"/>
      <c r="Y5" s="3382"/>
      <c r="Z5" s="3383"/>
      <c r="AA5" s="3400"/>
      <c r="AB5" s="3400"/>
      <c r="AC5" s="3368"/>
    </row>
    <row r="6" spans="1:29" ht="15.75" customHeight="1" thickBot="1">
      <c r="A6" s="405"/>
      <c r="B6" s="406"/>
      <c r="C6" s="3396" t="s">
        <v>2550</v>
      </c>
      <c r="D6" s="3389"/>
      <c r="E6" s="3397"/>
      <c r="F6" s="3398"/>
      <c r="G6" s="3397"/>
      <c r="H6" s="3398"/>
      <c r="I6" s="3408"/>
      <c r="J6" s="3398"/>
      <c r="K6" s="609" t="s">
        <v>2551</v>
      </c>
      <c r="L6" s="1132"/>
      <c r="M6" s="1133"/>
      <c r="N6" s="1133"/>
      <c r="O6" s="1133"/>
      <c r="P6" s="3378"/>
      <c r="Q6" s="3379"/>
      <c r="R6" s="3382"/>
      <c r="S6" s="3383"/>
      <c r="T6" s="3384"/>
      <c r="U6" s="3385"/>
      <c r="V6" s="3387"/>
      <c r="W6" s="3387"/>
      <c r="X6" s="2950"/>
      <c r="Y6" s="3384"/>
      <c r="Z6" s="3385"/>
      <c r="AA6" s="3401"/>
      <c r="AB6" s="3401"/>
      <c r="AC6" s="3369"/>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92"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2" t="s">
        <v>2556</v>
      </c>
      <c r="Q8" s="3393"/>
      <c r="R8" s="769" t="s">
        <v>17</v>
      </c>
      <c r="S8" s="770">
        <f t="shared" si="0"/>
        <v>100</v>
      </c>
      <c r="T8" s="769" t="s">
        <v>17</v>
      </c>
      <c r="U8" s="770">
        <f t="shared" si="1"/>
        <v>100</v>
      </c>
      <c r="V8" s="769" t="s">
        <v>17</v>
      </c>
      <c r="W8" s="770">
        <f t="shared" si="2"/>
        <v>100</v>
      </c>
      <c r="X8" s="771"/>
      <c r="Y8" s="3394" t="s">
        <v>2556</v>
      </c>
      <c r="Z8" s="3393"/>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52" t="s">
        <v>2559</v>
      </c>
      <c r="Q9" s="2947" t="str">
        <f t="shared" ref="Q9:Q15" si="6">B9</f>
        <v>用途</v>
      </c>
      <c r="R9" s="769" t="s">
        <v>17</v>
      </c>
      <c r="S9" s="770">
        <f t="shared" si="0"/>
        <v>100</v>
      </c>
      <c r="T9" s="769" t="s">
        <v>17</v>
      </c>
      <c r="U9" s="770">
        <f t="shared" si="1"/>
        <v>100</v>
      </c>
      <c r="V9" s="769" t="s">
        <v>17</v>
      </c>
      <c r="W9" s="770">
        <f t="shared" si="2"/>
        <v>100</v>
      </c>
      <c r="X9" s="771"/>
      <c r="Y9" s="3198" t="s">
        <v>2560</v>
      </c>
      <c r="Z9" s="2948" t="str">
        <f t="shared" ref="Z9:Z15" si="7">Q9</f>
        <v>用途</v>
      </c>
      <c r="AA9" s="772">
        <f t="shared" si="3"/>
        <v>1</v>
      </c>
      <c r="AB9" s="772">
        <f t="shared" si="4"/>
        <v>1</v>
      </c>
      <c r="AC9" s="2676">
        <f t="shared" si="5"/>
        <v>1</v>
      </c>
    </row>
    <row r="10" spans="1:29" s="426" customFormat="1" ht="27">
      <c r="A10" s="420"/>
      <c r="B10" s="3150" t="s">
        <v>2561</v>
      </c>
      <c r="C10" s="422" t="s">
        <v>3329</v>
      </c>
      <c r="D10" s="135">
        <v>100</v>
      </c>
      <c r="E10" s="422" t="s">
        <v>3329</v>
      </c>
      <c r="F10" s="135">
        <f>SUMIF(66:66,E10,67:67)-SUMIF(66:66,C10,67:67)+100</f>
        <v>100</v>
      </c>
      <c r="G10" s="422" t="s">
        <v>3329</v>
      </c>
      <c r="H10" s="135">
        <f>SUMIF(66:66,G10,67:67)-SUMIF(66:66,C10,67:67)+100</f>
        <v>100</v>
      </c>
      <c r="I10" s="422" t="s">
        <v>3064</v>
      </c>
      <c r="J10" s="135">
        <f>SUMIF(66:66,I10,67:67)-SUMIF(66:66,C10,67:67)+100</f>
        <v>101</v>
      </c>
      <c r="K10" s="611">
        <v>1</v>
      </c>
      <c r="L10" s="1137"/>
      <c r="M10" s="1138"/>
      <c r="N10" s="1138"/>
      <c r="O10" s="1138"/>
      <c r="P10" s="3352"/>
      <c r="Q10" s="2947" t="str">
        <f t="shared" si="6"/>
        <v>土地使用年限（年）</v>
      </c>
      <c r="R10" s="769" t="s">
        <v>17</v>
      </c>
      <c r="S10" s="770">
        <f t="shared" si="0"/>
        <v>100</v>
      </c>
      <c r="T10" s="769" t="s">
        <v>17</v>
      </c>
      <c r="U10" s="770">
        <f t="shared" si="1"/>
        <v>100</v>
      </c>
      <c r="V10" s="769" t="s">
        <v>17</v>
      </c>
      <c r="W10" s="770">
        <f t="shared" si="2"/>
        <v>101</v>
      </c>
      <c r="X10" s="771"/>
      <c r="Y10" s="3198"/>
      <c r="Z10" s="2948" t="str">
        <f t="shared" si="7"/>
        <v>土地使用年限（年）</v>
      </c>
      <c r="AA10" s="772">
        <f t="shared" si="3"/>
        <v>1</v>
      </c>
      <c r="AB10" s="772">
        <f t="shared" si="4"/>
        <v>1</v>
      </c>
      <c r="AC10" s="2676">
        <f t="shared" si="5"/>
        <v>0.99009900990099009</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52"/>
      <c r="Q11" s="2947" t="str">
        <f t="shared" si="6"/>
        <v>容积率</v>
      </c>
      <c r="R11" s="769" t="s">
        <v>17</v>
      </c>
      <c r="S11" s="770">
        <f t="shared" si="0"/>
        <v>100</v>
      </c>
      <c r="T11" s="769" t="s">
        <v>17</v>
      </c>
      <c r="U11" s="770">
        <f t="shared" si="1"/>
        <v>100</v>
      </c>
      <c r="V11" s="769" t="s">
        <v>17</v>
      </c>
      <c r="W11" s="770">
        <f t="shared" si="2"/>
        <v>100</v>
      </c>
      <c r="X11" s="771"/>
      <c r="Y11" s="3198"/>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52"/>
      <c r="Q12" s="2947">
        <f t="shared" si="6"/>
        <v>111</v>
      </c>
      <c r="R12" s="769" t="s">
        <v>17</v>
      </c>
      <c r="S12" s="770">
        <f t="shared" si="0"/>
        <v>100</v>
      </c>
      <c r="T12" s="769" t="s">
        <v>17</v>
      </c>
      <c r="U12" s="770">
        <f t="shared" si="1"/>
        <v>100</v>
      </c>
      <c r="V12" s="769" t="s">
        <v>17</v>
      </c>
      <c r="W12" s="770">
        <f t="shared" si="2"/>
        <v>100</v>
      </c>
      <c r="X12" s="771"/>
      <c r="Y12" s="3198"/>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52"/>
      <c r="Q13" s="2947">
        <f t="shared" si="6"/>
        <v>111</v>
      </c>
      <c r="R13" s="769" t="s">
        <v>17</v>
      </c>
      <c r="S13" s="770">
        <f t="shared" si="0"/>
        <v>100</v>
      </c>
      <c r="T13" s="769" t="s">
        <v>17</v>
      </c>
      <c r="U13" s="770">
        <f t="shared" si="1"/>
        <v>100</v>
      </c>
      <c r="V13" s="769" t="s">
        <v>17</v>
      </c>
      <c r="W13" s="770">
        <f t="shared" si="2"/>
        <v>100</v>
      </c>
      <c r="X13" s="771"/>
      <c r="Y13" s="3198"/>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52"/>
      <c r="Q14" s="2947">
        <f t="shared" si="6"/>
        <v>111</v>
      </c>
      <c r="R14" s="769" t="s">
        <v>17</v>
      </c>
      <c r="S14" s="770">
        <f t="shared" si="0"/>
        <v>100</v>
      </c>
      <c r="T14" s="769" t="s">
        <v>17</v>
      </c>
      <c r="U14" s="770">
        <f t="shared" si="1"/>
        <v>100</v>
      </c>
      <c r="V14" s="769" t="s">
        <v>17</v>
      </c>
      <c r="W14" s="770">
        <f t="shared" si="2"/>
        <v>100</v>
      </c>
      <c r="X14" s="771"/>
      <c r="Y14" s="3198"/>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58" t="s">
        <v>2564</v>
      </c>
      <c r="Q15" s="2953" t="str">
        <f t="shared" si="6"/>
        <v>办公集聚程度</v>
      </c>
      <c r="R15" s="773" t="s">
        <v>17</v>
      </c>
      <c r="S15" s="774">
        <f t="shared" si="0"/>
        <v>100</v>
      </c>
      <c r="T15" s="773" t="s">
        <v>17</v>
      </c>
      <c r="U15" s="774">
        <f t="shared" si="1"/>
        <v>100</v>
      </c>
      <c r="V15" s="773" t="s">
        <v>17</v>
      </c>
      <c r="W15" s="774">
        <f t="shared" si="2"/>
        <v>100</v>
      </c>
      <c r="X15" s="2950"/>
      <c r="Y15" s="3360" t="s">
        <v>2564</v>
      </c>
      <c r="Z15" s="2951" t="str">
        <f t="shared" si="7"/>
        <v>办公集聚程度</v>
      </c>
      <c r="AA15" s="2954">
        <f t="shared" si="3"/>
        <v>1</v>
      </c>
      <c r="AB15" s="2954">
        <f t="shared" si="4"/>
        <v>1</v>
      </c>
      <c r="AC15" s="2679">
        <f t="shared" si="5"/>
        <v>1</v>
      </c>
    </row>
    <row r="16" spans="1:29" ht="15">
      <c r="A16" s="427"/>
      <c r="B16" s="629"/>
      <c r="C16" s="2616" t="s">
        <v>3150</v>
      </c>
      <c r="D16" s="447"/>
      <c r="E16" s="2616" t="s">
        <v>3150</v>
      </c>
      <c r="F16" s="447"/>
      <c r="G16" s="2616" t="s">
        <v>3150</v>
      </c>
      <c r="H16" s="449"/>
      <c r="I16" s="2616" t="s">
        <v>3150</v>
      </c>
      <c r="J16" s="447"/>
      <c r="K16" s="614"/>
      <c r="L16" s="1142"/>
      <c r="M16" s="1133"/>
      <c r="N16" s="1133"/>
      <c r="O16" s="1133"/>
      <c r="P16" s="3359"/>
      <c r="Q16" s="2953"/>
      <c r="R16" s="773"/>
      <c r="S16" s="774"/>
      <c r="T16" s="773"/>
      <c r="U16" s="774"/>
      <c r="V16" s="773"/>
      <c r="W16" s="774"/>
      <c r="X16" s="2950"/>
      <c r="Y16" s="3361"/>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59"/>
      <c r="Q17" s="2953" t="str">
        <f>B17</f>
        <v>交通便捷度</v>
      </c>
      <c r="R17" s="773" t="s">
        <v>17</v>
      </c>
      <c r="S17" s="774">
        <f>F17</f>
        <v>100</v>
      </c>
      <c r="T17" s="773" t="s">
        <v>17</v>
      </c>
      <c r="U17" s="774">
        <f>H17</f>
        <v>100</v>
      </c>
      <c r="V17" s="773" t="s">
        <v>17</v>
      </c>
      <c r="W17" s="774">
        <f>J17</f>
        <v>100</v>
      </c>
      <c r="X17" s="2950"/>
      <c r="Y17" s="3361"/>
      <c r="Z17" s="2951" t="str">
        <f>Q17</f>
        <v>交通便捷度</v>
      </c>
      <c r="AA17" s="2954">
        <f t="shared" si="3"/>
        <v>1</v>
      </c>
      <c r="AB17" s="2954">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59"/>
      <c r="Q18" s="2953"/>
      <c r="R18" s="773"/>
      <c r="S18" s="774"/>
      <c r="T18" s="773"/>
      <c r="U18" s="774"/>
      <c r="V18" s="773"/>
      <c r="W18" s="774"/>
      <c r="X18" s="2950"/>
      <c r="Y18" s="3361"/>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59"/>
      <c r="Q19" s="2953" t="str">
        <f>B19</f>
        <v>公共配套设施</v>
      </c>
      <c r="R19" s="773" t="s">
        <v>17</v>
      </c>
      <c r="S19" s="774">
        <f>F19</f>
        <v>100</v>
      </c>
      <c r="T19" s="773" t="s">
        <v>17</v>
      </c>
      <c r="U19" s="774">
        <f>H19</f>
        <v>100</v>
      </c>
      <c r="V19" s="773" t="s">
        <v>17</v>
      </c>
      <c r="W19" s="774">
        <f>J19</f>
        <v>100</v>
      </c>
      <c r="X19" s="2950"/>
      <c r="Y19" s="3361"/>
      <c r="Z19" s="2951" t="str">
        <f>Q19</f>
        <v>公共配套设施</v>
      </c>
      <c r="AA19" s="2954">
        <f t="shared" si="3"/>
        <v>1</v>
      </c>
      <c r="AB19" s="2954">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59"/>
      <c r="Q20" s="2953"/>
      <c r="R20" s="773"/>
      <c r="S20" s="774"/>
      <c r="T20" s="773"/>
      <c r="U20" s="774"/>
      <c r="V20" s="773"/>
      <c r="W20" s="774"/>
      <c r="X20" s="2950"/>
      <c r="Y20" s="3361"/>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59"/>
      <c r="Q21" s="2953" t="str">
        <f>B21</f>
        <v>基础设施水平</v>
      </c>
      <c r="R21" s="773" t="s">
        <v>17</v>
      </c>
      <c r="S21" s="774">
        <f>F21</f>
        <v>100</v>
      </c>
      <c r="T21" s="773" t="s">
        <v>17</v>
      </c>
      <c r="U21" s="774">
        <f>H21</f>
        <v>100</v>
      </c>
      <c r="V21" s="773" t="s">
        <v>17</v>
      </c>
      <c r="W21" s="774">
        <f>J21</f>
        <v>100</v>
      </c>
      <c r="X21" s="2950"/>
      <c r="Y21" s="3361"/>
      <c r="Z21" s="2951" t="str">
        <f>Q21</f>
        <v>基础设施水平</v>
      </c>
      <c r="AA21" s="2954">
        <f t="shared" ref="AA21" si="8">D21/F21</f>
        <v>1</v>
      </c>
      <c r="AB21" s="2954">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59"/>
      <c r="Q22" s="2953"/>
      <c r="R22" s="773"/>
      <c r="S22" s="774"/>
      <c r="T22" s="773"/>
      <c r="U22" s="774"/>
      <c r="V22" s="773"/>
      <c r="W22" s="774"/>
      <c r="X22" s="2950"/>
      <c r="Y22" s="3361"/>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59"/>
      <c r="Q23" s="2953" t="str">
        <f>B23</f>
        <v>环境质量</v>
      </c>
      <c r="R23" s="773" t="s">
        <v>17</v>
      </c>
      <c r="S23" s="774">
        <f>F23</f>
        <v>100</v>
      </c>
      <c r="T23" s="773" t="s">
        <v>17</v>
      </c>
      <c r="U23" s="774">
        <f>H23</f>
        <v>100</v>
      </c>
      <c r="V23" s="773" t="s">
        <v>17</v>
      </c>
      <c r="W23" s="774">
        <f>J23</f>
        <v>100</v>
      </c>
      <c r="X23" s="2950"/>
      <c r="Y23" s="3361"/>
      <c r="Z23" s="2951" t="str">
        <f>Q23</f>
        <v>环境质量</v>
      </c>
      <c r="AA23" s="2954">
        <f t="shared" si="3"/>
        <v>1</v>
      </c>
      <c r="AB23" s="2954">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59"/>
      <c r="Q24" s="2953"/>
      <c r="R24" s="773"/>
      <c r="S24" s="774"/>
      <c r="T24" s="773"/>
      <c r="U24" s="774"/>
      <c r="V24" s="773"/>
      <c r="W24" s="774"/>
      <c r="X24" s="2950"/>
      <c r="Y24" s="3361"/>
      <c r="Z24" s="2951"/>
      <c r="AA24" s="2954">
        <v>1</v>
      </c>
      <c r="AB24" s="2954">
        <v>1</v>
      </c>
      <c r="AC24" s="2679">
        <v>1</v>
      </c>
    </row>
    <row r="25" spans="1:29" ht="27">
      <c r="A25" s="403"/>
      <c r="B25" s="630" t="s">
        <v>2695</v>
      </c>
      <c r="C25" s="3151" t="s">
        <v>3328</v>
      </c>
      <c r="D25" s="434">
        <v>100</v>
      </c>
      <c r="E25" s="3146" t="s">
        <v>3330</v>
      </c>
      <c r="F25" s="434">
        <f>SUMIF(87:87,E26,88:88)-SUMIF(87:87,C26,88:88)+100</f>
        <v>100</v>
      </c>
      <c r="G25" s="3146" t="s">
        <v>3324</v>
      </c>
      <c r="H25" s="434">
        <f>SUMIF(87:87,G26,88:88)-SUMIF(87:87,C26,88:88)+100</f>
        <v>100</v>
      </c>
      <c r="I25" s="3146" t="s">
        <v>3325</v>
      </c>
      <c r="J25" s="434">
        <f>SUMIF(87:87,I26,88:88)-SUMIF(87:87,C26,88:88)+100</f>
        <v>100</v>
      </c>
      <c r="K25" s="613">
        <v>2</v>
      </c>
      <c r="L25" s="1142"/>
      <c r="M25" s="1133"/>
      <c r="N25" s="1133"/>
      <c r="O25" s="1133"/>
      <c r="P25" s="3359"/>
      <c r="Q25" s="2953" t="str">
        <f>B25</f>
        <v>毗邻道路的类型与等级</v>
      </c>
      <c r="R25" s="773" t="s">
        <v>17</v>
      </c>
      <c r="S25" s="774">
        <f>F25</f>
        <v>100</v>
      </c>
      <c r="T25" s="773" t="s">
        <v>17</v>
      </c>
      <c r="U25" s="774">
        <f>H25</f>
        <v>100</v>
      </c>
      <c r="V25" s="773" t="s">
        <v>17</v>
      </c>
      <c r="W25" s="774">
        <f>J25</f>
        <v>100</v>
      </c>
      <c r="X25" s="2950"/>
      <c r="Y25" s="3361"/>
      <c r="Z25" s="2951" t="str">
        <f>Q25</f>
        <v>毗邻道路的类型与等级</v>
      </c>
      <c r="AA25" s="2954">
        <f t="shared" si="3"/>
        <v>1</v>
      </c>
      <c r="AB25" s="2954">
        <f t="shared" si="4"/>
        <v>1</v>
      </c>
      <c r="AC25" s="2679">
        <f t="shared" si="5"/>
        <v>1</v>
      </c>
    </row>
    <row r="26" spans="1:29" ht="15">
      <c r="A26" s="403"/>
      <c r="B26" s="631"/>
      <c r="C26" s="633" t="s">
        <v>3065</v>
      </c>
      <c r="D26" s="434"/>
      <c r="E26" s="2964" t="s">
        <v>3065</v>
      </c>
      <c r="F26" s="434"/>
      <c r="G26" s="2965" t="s">
        <v>3065</v>
      </c>
      <c r="H26" s="434"/>
      <c r="I26" s="2964" t="s">
        <v>3065</v>
      </c>
      <c r="J26" s="434"/>
      <c r="K26" s="614"/>
      <c r="L26" s="1142"/>
      <c r="M26" s="1133"/>
      <c r="N26" s="1133"/>
      <c r="O26" s="1133"/>
      <c r="P26" s="3359"/>
      <c r="Q26" s="2953"/>
      <c r="R26" s="773"/>
      <c r="S26" s="774"/>
      <c r="T26" s="773"/>
      <c r="U26" s="774"/>
      <c r="V26" s="773"/>
      <c r="W26" s="774"/>
      <c r="X26" s="2950"/>
      <c r="Y26" s="3361"/>
      <c r="Z26" s="2951"/>
      <c r="AA26" s="2954">
        <v>1</v>
      </c>
      <c r="AB26" s="2954">
        <v>1</v>
      </c>
      <c r="AC26" s="2679">
        <v>1</v>
      </c>
    </row>
    <row r="27" spans="1:29" ht="15">
      <c r="A27" s="427"/>
      <c r="B27" s="631" t="s">
        <v>2663</v>
      </c>
      <c r="C27" s="633" t="s">
        <v>3066</v>
      </c>
      <c r="D27" s="434">
        <v>100</v>
      </c>
      <c r="E27" s="2964" t="s">
        <v>3067</v>
      </c>
      <c r="F27" s="434">
        <f>SUMIF(89:89,E27,90:90)-SUMIF(89:89,C27,90:90)+100</f>
        <v>98</v>
      </c>
      <c r="G27" s="2965" t="s">
        <v>3066</v>
      </c>
      <c r="H27" s="434">
        <f>SUMIF(89:89,G27,90:90)-SUMIF(89:89,C27,90:90)+100</f>
        <v>100</v>
      </c>
      <c r="I27" s="2964" t="s">
        <v>3066</v>
      </c>
      <c r="J27" s="434">
        <f>SUMIF(89:89,I27,90:90)-SUMIF(89:89,C27,90:90)+100</f>
        <v>100</v>
      </c>
      <c r="K27" s="611">
        <v>2</v>
      </c>
      <c r="L27" s="1142"/>
      <c r="M27" s="1133"/>
      <c r="N27" s="1133"/>
      <c r="O27" s="1133"/>
      <c r="P27" s="3359"/>
      <c r="Q27" s="2953" t="str">
        <f t="shared" ref="Q27:Q47" si="11">B27</f>
        <v>楼层</v>
      </c>
      <c r="R27" s="773" t="s">
        <v>17</v>
      </c>
      <c r="S27" s="774">
        <f>F27</f>
        <v>98</v>
      </c>
      <c r="T27" s="773" t="s">
        <v>17</v>
      </c>
      <c r="U27" s="774">
        <f>H27</f>
        <v>100</v>
      </c>
      <c r="V27" s="773" t="s">
        <v>17</v>
      </c>
      <c r="W27" s="774">
        <f>J27</f>
        <v>100</v>
      </c>
      <c r="X27" s="2950"/>
      <c r="Y27" s="3361"/>
      <c r="Z27" s="2951" t="str">
        <f>Q27</f>
        <v>楼层</v>
      </c>
      <c r="AA27" s="2954">
        <f t="shared" si="3"/>
        <v>1.0204081632653061</v>
      </c>
      <c r="AB27" s="2954">
        <f t="shared" si="4"/>
        <v>1</v>
      </c>
      <c r="AC27" s="2679">
        <f t="shared" si="5"/>
        <v>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9"/>
      <c r="Q28" s="2947" t="str">
        <f t="shared" si="11"/>
        <v>朝向</v>
      </c>
      <c r="R28" s="769" t="s">
        <v>17</v>
      </c>
      <c r="S28" s="770">
        <f>F28</f>
        <v>100</v>
      </c>
      <c r="T28" s="769" t="s">
        <v>17</v>
      </c>
      <c r="U28" s="770">
        <f>H28</f>
        <v>100</v>
      </c>
      <c r="V28" s="769" t="s">
        <v>17</v>
      </c>
      <c r="W28" s="770">
        <f>J28</f>
        <v>100</v>
      </c>
      <c r="X28" s="771"/>
      <c r="Y28" s="3361"/>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9"/>
      <c r="Q29" s="2953">
        <f t="shared" si="11"/>
        <v>111</v>
      </c>
      <c r="R29" s="773" t="s">
        <v>17</v>
      </c>
      <c r="S29" s="774">
        <f t="shared" ref="S29:S47" si="12">F29</f>
        <v>100</v>
      </c>
      <c r="T29" s="773" t="s">
        <v>17</v>
      </c>
      <c r="U29" s="774">
        <f t="shared" ref="U29:U47" si="13">H29</f>
        <v>100</v>
      </c>
      <c r="V29" s="773" t="s">
        <v>17</v>
      </c>
      <c r="W29" s="774">
        <f t="shared" ref="W29:W47" si="14">J29</f>
        <v>100</v>
      </c>
      <c r="X29" s="2950"/>
      <c r="Y29" s="3361"/>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9"/>
      <c r="Q30" s="2953">
        <f t="shared" si="11"/>
        <v>111</v>
      </c>
      <c r="R30" s="773" t="s">
        <v>17</v>
      </c>
      <c r="S30" s="774">
        <f t="shared" si="12"/>
        <v>100</v>
      </c>
      <c r="T30" s="773" t="s">
        <v>17</v>
      </c>
      <c r="U30" s="774">
        <f t="shared" si="13"/>
        <v>100</v>
      </c>
      <c r="V30" s="773" t="s">
        <v>17</v>
      </c>
      <c r="W30" s="774">
        <f t="shared" si="14"/>
        <v>100</v>
      </c>
      <c r="X30" s="2950"/>
      <c r="Y30" s="3361"/>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9"/>
      <c r="Q31" s="2953">
        <f t="shared" si="11"/>
        <v>111</v>
      </c>
      <c r="R31" s="773" t="s">
        <v>17</v>
      </c>
      <c r="S31" s="774">
        <f t="shared" si="12"/>
        <v>100</v>
      </c>
      <c r="T31" s="773" t="s">
        <v>17</v>
      </c>
      <c r="U31" s="774">
        <f t="shared" si="13"/>
        <v>100</v>
      </c>
      <c r="V31" s="773" t="s">
        <v>17</v>
      </c>
      <c r="W31" s="774">
        <f t="shared" si="14"/>
        <v>100</v>
      </c>
      <c r="X31" s="2950"/>
      <c r="Y31" s="3361"/>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9"/>
      <c r="Q32" s="2953">
        <f t="shared" si="11"/>
        <v>111</v>
      </c>
      <c r="R32" s="773" t="s">
        <v>17</v>
      </c>
      <c r="S32" s="774">
        <f t="shared" si="12"/>
        <v>100</v>
      </c>
      <c r="T32" s="773" t="s">
        <v>17</v>
      </c>
      <c r="U32" s="774">
        <f t="shared" si="13"/>
        <v>100</v>
      </c>
      <c r="V32" s="773" t="s">
        <v>17</v>
      </c>
      <c r="W32" s="774">
        <f t="shared" si="14"/>
        <v>100</v>
      </c>
      <c r="X32" s="2950"/>
      <c r="Y32" s="3361"/>
      <c r="Z32" s="2951">
        <f t="shared" si="15"/>
        <v>111</v>
      </c>
      <c r="AA32" s="2954">
        <f t="shared" si="3"/>
        <v>1</v>
      </c>
      <c r="AB32" s="2954">
        <f t="shared" si="4"/>
        <v>1</v>
      </c>
      <c r="AC32" s="2679">
        <f t="shared" si="5"/>
        <v>1</v>
      </c>
    </row>
    <row r="33" spans="1:29" ht="15">
      <c r="A33" s="439" t="s">
        <v>2567</v>
      </c>
      <c r="B33" s="71" t="s">
        <v>2697</v>
      </c>
      <c r="C33" s="2684" t="s">
        <v>3069</v>
      </c>
      <c r="D33" s="466">
        <v>100</v>
      </c>
      <c r="E33" s="2966" t="s">
        <v>3069</v>
      </c>
      <c r="F33" s="460">
        <f>SUMIF(101:101,E33,102:102)-SUMIF(101:101,C33,102:102)+100</f>
        <v>100</v>
      </c>
      <c r="G33" s="2966" t="s">
        <v>3069</v>
      </c>
      <c r="H33" s="434">
        <f>SUMIF(101:101,G33,102:102)-SUMIF(101:101,C33,102:102)+100</f>
        <v>100</v>
      </c>
      <c r="I33" s="2966" t="s">
        <v>3069</v>
      </c>
      <c r="J33" s="466">
        <f>SUMIF(101:101,I33,102:102)-SUMIF(101:101,C33,102:102)+100</f>
        <v>100</v>
      </c>
      <c r="K33" s="611">
        <v>1</v>
      </c>
      <c r="L33" s="1142"/>
      <c r="M33" s="1133"/>
      <c r="N33" s="1133"/>
      <c r="O33" s="1133"/>
      <c r="P33" s="3362" t="s">
        <v>2569</v>
      </c>
      <c r="Q33" s="2953" t="str">
        <f t="shared" si="11"/>
        <v>建筑类型</v>
      </c>
      <c r="R33" s="773" t="s">
        <v>17</v>
      </c>
      <c r="S33" s="774">
        <f t="shared" si="12"/>
        <v>100</v>
      </c>
      <c r="T33" s="773" t="s">
        <v>17</v>
      </c>
      <c r="U33" s="774">
        <f t="shared" si="13"/>
        <v>100</v>
      </c>
      <c r="V33" s="773" t="s">
        <v>17</v>
      </c>
      <c r="W33" s="774">
        <f t="shared" si="14"/>
        <v>100</v>
      </c>
      <c r="X33" s="2950"/>
      <c r="Y33" s="3365"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191.05</v>
      </c>
      <c r="D34" s="135">
        <v>100</v>
      </c>
      <c r="E34" s="2967">
        <v>340</v>
      </c>
      <c r="F34" s="424">
        <f>LOOKUP(E34,104:104,105:105)-LOOKUP(C34,104:104,105:105)+100</f>
        <v>101</v>
      </c>
      <c r="G34" s="2974">
        <v>230</v>
      </c>
      <c r="H34" s="135">
        <f>LOOKUP(G34,104:104,105:105)-LOOKUP(C34,104:104,105:105)+100</f>
        <v>101</v>
      </c>
      <c r="I34" s="2974">
        <v>1200</v>
      </c>
      <c r="J34" s="135">
        <f>LOOKUP(I34,104:104,105:105)-LOOKUP(C34,104:104,105:105)+100</f>
        <v>99</v>
      </c>
      <c r="K34" s="612"/>
      <c r="L34" s="1140"/>
      <c r="M34" s="1143"/>
      <c r="N34" s="1143"/>
      <c r="O34" s="1143"/>
      <c r="P34" s="3363"/>
      <c r="Q34" s="775" t="str">
        <f t="shared" si="11"/>
        <v>项目建筑规模</v>
      </c>
      <c r="R34" s="776" t="s">
        <v>17</v>
      </c>
      <c r="S34" s="777">
        <f t="shared" si="12"/>
        <v>101</v>
      </c>
      <c r="T34" s="776" t="s">
        <v>17</v>
      </c>
      <c r="U34" s="777">
        <f t="shared" si="13"/>
        <v>101</v>
      </c>
      <c r="V34" s="776" t="s">
        <v>17</v>
      </c>
      <c r="W34" s="777">
        <f t="shared" si="14"/>
        <v>99</v>
      </c>
      <c r="X34" s="778"/>
      <c r="Y34" s="3365"/>
      <c r="Z34" s="779" t="str">
        <f t="shared" si="15"/>
        <v>项目建筑规模</v>
      </c>
      <c r="AA34" s="2954">
        <f t="shared" si="3"/>
        <v>0.99009900990099009</v>
      </c>
      <c r="AB34" s="2954">
        <f t="shared" si="4"/>
        <v>0.99009900990099009</v>
      </c>
      <c r="AC34" s="2679">
        <f t="shared" si="5"/>
        <v>1.0101010101010102</v>
      </c>
    </row>
    <row r="35" spans="1:29" ht="15">
      <c r="A35" s="471"/>
      <c r="B35" s="2949" t="s">
        <v>2571</v>
      </c>
      <c r="C35" s="459" t="s">
        <v>3070</v>
      </c>
      <c r="D35" s="434">
        <v>100</v>
      </c>
      <c r="E35" s="2968" t="s">
        <v>3070</v>
      </c>
      <c r="F35" s="460">
        <f>SUMIF(106:106,E35,107:107)-SUMIF(106:106,C35,107:107)+100</f>
        <v>100</v>
      </c>
      <c r="G35" s="2968" t="s">
        <v>3070</v>
      </c>
      <c r="H35" s="434">
        <f>SUMIF(106:106,G35,107:107)-SUMIF(106:106,C35,107:107)+100</f>
        <v>100</v>
      </c>
      <c r="I35" s="2968" t="s">
        <v>3070</v>
      </c>
      <c r="J35" s="434">
        <f>SUMIF(106:106,I35,107:107)-SUMIF(106:106,C35,107:107)+100</f>
        <v>100</v>
      </c>
      <c r="K35" s="611">
        <v>1</v>
      </c>
      <c r="L35" s="1142"/>
      <c r="M35" s="1133"/>
      <c r="N35" s="1133"/>
      <c r="O35" s="1133"/>
      <c r="P35" s="3363"/>
      <c r="Q35" s="2953" t="str">
        <f t="shared" si="11"/>
        <v>建筑结构</v>
      </c>
      <c r="R35" s="773" t="s">
        <v>17</v>
      </c>
      <c r="S35" s="774">
        <f t="shared" si="12"/>
        <v>100</v>
      </c>
      <c r="T35" s="773" t="s">
        <v>17</v>
      </c>
      <c r="U35" s="774">
        <f t="shared" si="13"/>
        <v>100</v>
      </c>
      <c r="V35" s="773" t="s">
        <v>17</v>
      </c>
      <c r="W35" s="774">
        <f t="shared" si="14"/>
        <v>100</v>
      </c>
      <c r="X35" s="2950"/>
      <c r="Y35" s="3365"/>
      <c r="Z35" s="2951" t="str">
        <f t="shared" si="15"/>
        <v>建筑结构</v>
      </c>
      <c r="AA35" s="2954">
        <f t="shared" si="3"/>
        <v>1</v>
      </c>
      <c r="AB35" s="2954">
        <f t="shared" si="4"/>
        <v>1</v>
      </c>
      <c r="AC35" s="2679">
        <f t="shared" si="5"/>
        <v>1</v>
      </c>
    </row>
    <row r="36" spans="1:29" ht="15">
      <c r="A36" s="471"/>
      <c r="B36" s="2949" t="s">
        <v>2665</v>
      </c>
      <c r="C36" s="459" t="s">
        <v>3071</v>
      </c>
      <c r="D36" s="434">
        <v>100</v>
      </c>
      <c r="E36" s="2968" t="s">
        <v>3071</v>
      </c>
      <c r="F36" s="460">
        <f>SUMIF(108:108,E36,109:109)-SUMIF(108:108,C36,109:109)+100</f>
        <v>100</v>
      </c>
      <c r="G36" s="2968" t="s">
        <v>3071</v>
      </c>
      <c r="H36" s="434">
        <f>SUMIF(108:108,G36,109:109)-SUMIF(108:108,C36,109:109)+100</f>
        <v>100</v>
      </c>
      <c r="I36" s="2968" t="s">
        <v>3071</v>
      </c>
      <c r="J36" s="434">
        <f>SUMIF(108:108,I36,109:109)-SUMIF(108:108,C36,109:109)+100</f>
        <v>100</v>
      </c>
      <c r="K36" s="611">
        <v>2</v>
      </c>
      <c r="L36" s="1142"/>
      <c r="M36" s="1133"/>
      <c r="N36" s="1133"/>
      <c r="O36" s="1133"/>
      <c r="P36" s="3363"/>
      <c r="Q36" s="2953" t="str">
        <f t="shared" si="11"/>
        <v>公共部分装修</v>
      </c>
      <c r="R36" s="773" t="s">
        <v>17</v>
      </c>
      <c r="S36" s="774">
        <f t="shared" si="12"/>
        <v>100</v>
      </c>
      <c r="T36" s="773" t="s">
        <v>17</v>
      </c>
      <c r="U36" s="774">
        <f t="shared" si="13"/>
        <v>100</v>
      </c>
      <c r="V36" s="773" t="s">
        <v>17</v>
      </c>
      <c r="W36" s="774">
        <f t="shared" si="14"/>
        <v>100</v>
      </c>
      <c r="X36" s="2950"/>
      <c r="Y36" s="3365"/>
      <c r="Z36" s="2951" t="str">
        <f t="shared" si="15"/>
        <v>公共部分装修</v>
      </c>
      <c r="AA36" s="2954">
        <f t="shared" si="3"/>
        <v>1</v>
      </c>
      <c r="AB36" s="2954">
        <f t="shared" si="4"/>
        <v>1</v>
      </c>
      <c r="AC36" s="2679">
        <f t="shared" si="5"/>
        <v>1</v>
      </c>
    </row>
    <row r="37" spans="1:29" ht="15">
      <c r="A37" s="471"/>
      <c r="B37" s="2949" t="s">
        <v>2666</v>
      </c>
      <c r="C37" s="473">
        <v>0.78</v>
      </c>
      <c r="D37" s="434">
        <v>100</v>
      </c>
      <c r="E37" s="2969">
        <v>0.78</v>
      </c>
      <c r="F37" s="460">
        <f>LOOKUP(E37,111:111,112:112)-LOOKUP(C37,111:111,112:112)+100</f>
        <v>100</v>
      </c>
      <c r="G37" s="2969">
        <v>0.72</v>
      </c>
      <c r="H37" s="460">
        <f>LOOKUP(G37,111:111,112:112)-LOOKUP(C37,111:111,112:112)+100</f>
        <v>100</v>
      </c>
      <c r="I37" s="2969">
        <v>0.82</v>
      </c>
      <c r="J37" s="434">
        <f>LOOKUP(I37,111:111,112:112)-LOOKUP(C37,111:111,112:112)+100</f>
        <v>101</v>
      </c>
      <c r="K37" s="3152">
        <v>1</v>
      </c>
      <c r="L37" s="1142"/>
      <c r="M37" s="1133"/>
      <c r="N37" s="1133"/>
      <c r="O37" s="1133"/>
      <c r="P37" s="3363"/>
      <c r="Q37" s="2953" t="str">
        <f t="shared" si="11"/>
        <v>成新度</v>
      </c>
      <c r="R37" s="773" t="s">
        <v>17</v>
      </c>
      <c r="S37" s="774">
        <f t="shared" si="12"/>
        <v>100</v>
      </c>
      <c r="T37" s="773" t="s">
        <v>17</v>
      </c>
      <c r="U37" s="774">
        <f t="shared" si="13"/>
        <v>100</v>
      </c>
      <c r="V37" s="773" t="s">
        <v>17</v>
      </c>
      <c r="W37" s="774">
        <f t="shared" si="14"/>
        <v>101</v>
      </c>
      <c r="X37" s="2950"/>
      <c r="Y37" s="3365"/>
      <c r="Z37" s="2951" t="str">
        <f t="shared" si="15"/>
        <v>成新度</v>
      </c>
      <c r="AA37" s="2954">
        <f t="shared" si="3"/>
        <v>1</v>
      </c>
      <c r="AB37" s="2954">
        <f t="shared" si="4"/>
        <v>1</v>
      </c>
      <c r="AC37" s="2679">
        <f t="shared" si="5"/>
        <v>0.99009900990099009</v>
      </c>
    </row>
    <row r="38" spans="1:29" s="117" customFormat="1" ht="15">
      <c r="A38" s="472"/>
      <c r="B38" s="2949" t="s">
        <v>2698</v>
      </c>
      <c r="C38" s="459" t="s">
        <v>3072</v>
      </c>
      <c r="D38" s="135">
        <v>100</v>
      </c>
      <c r="E38" s="2968" t="s">
        <v>3072</v>
      </c>
      <c r="F38" s="460">
        <f>SUMIF(113:113,E38,114:114)-SUMIF(113:113,C38,114:114)+100</f>
        <v>100</v>
      </c>
      <c r="G38" s="2968" t="s">
        <v>3072</v>
      </c>
      <c r="H38" s="434">
        <f>SUMIF(113:113,G38,114:114)-SUMIF(113:113,C38,114:114)+100</f>
        <v>100</v>
      </c>
      <c r="I38" s="2968" t="s">
        <v>3072</v>
      </c>
      <c r="J38" s="434">
        <f>SUMIF(113:113,I38,114:114)-SUMIF(113:113,C38,114:114)+100</f>
        <v>100</v>
      </c>
      <c r="K38" s="611">
        <v>2</v>
      </c>
      <c r="L38" s="1134"/>
      <c r="M38" s="1135"/>
      <c r="N38" s="1135"/>
      <c r="O38" s="1135"/>
      <c r="P38" s="3363"/>
      <c r="Q38" s="2947" t="str">
        <f t="shared" si="11"/>
        <v>写字楼等级</v>
      </c>
      <c r="R38" s="769" t="s">
        <v>17</v>
      </c>
      <c r="S38" s="770">
        <f t="shared" si="12"/>
        <v>100</v>
      </c>
      <c r="T38" s="769" t="s">
        <v>17</v>
      </c>
      <c r="U38" s="770">
        <f t="shared" si="13"/>
        <v>100</v>
      </c>
      <c r="V38" s="769" t="s">
        <v>17</v>
      </c>
      <c r="W38" s="770">
        <f t="shared" si="14"/>
        <v>100</v>
      </c>
      <c r="X38" s="771"/>
      <c r="Y38" s="3365"/>
      <c r="Z38" s="2948" t="str">
        <f t="shared" si="15"/>
        <v>写字楼等级</v>
      </c>
      <c r="AA38" s="772">
        <f t="shared" si="3"/>
        <v>1</v>
      </c>
      <c r="AB38" s="772">
        <f t="shared" si="4"/>
        <v>1</v>
      </c>
      <c r="AC38" s="2676">
        <f t="shared" si="5"/>
        <v>1</v>
      </c>
    </row>
    <row r="39" spans="1:29" ht="15">
      <c r="A39" s="471"/>
      <c r="B39" s="2949" t="s">
        <v>2699</v>
      </c>
      <c r="C39" s="459" t="s">
        <v>3073</v>
      </c>
      <c r="D39" s="434">
        <v>100</v>
      </c>
      <c r="E39" s="2968" t="s">
        <v>3073</v>
      </c>
      <c r="F39" s="460">
        <f>SUMIF(115:115,E39,116:116)-SUMIF(115:115,C39,116:116)+100</f>
        <v>100</v>
      </c>
      <c r="G39" s="2968" t="s">
        <v>3073</v>
      </c>
      <c r="H39" s="434">
        <f>SUMIF(115:115,G39,116:116)-SUMIF(115:115,C39,116:116)+100</f>
        <v>100</v>
      </c>
      <c r="I39" s="2968" t="s">
        <v>3073</v>
      </c>
      <c r="J39" s="434">
        <f>SUMIF(115:115,I39,116:116)-SUMIF(115:115,C39,116:116)+100</f>
        <v>100</v>
      </c>
      <c r="K39" s="611">
        <v>2</v>
      </c>
      <c r="L39" s="1142"/>
      <c r="M39" s="1133"/>
      <c r="N39" s="1133"/>
      <c r="O39" s="1133"/>
      <c r="P39" s="3363" t="s">
        <v>2569</v>
      </c>
      <c r="Q39" s="2953" t="str">
        <f t="shared" si="11"/>
        <v>物业管理</v>
      </c>
      <c r="R39" s="773" t="s">
        <v>17</v>
      </c>
      <c r="S39" s="774">
        <f t="shared" si="12"/>
        <v>100</v>
      </c>
      <c r="T39" s="773" t="s">
        <v>17</v>
      </c>
      <c r="U39" s="774">
        <f t="shared" si="13"/>
        <v>100</v>
      </c>
      <c r="V39" s="773" t="s">
        <v>17</v>
      </c>
      <c r="W39" s="774">
        <f t="shared" si="14"/>
        <v>100</v>
      </c>
      <c r="X39" s="2950"/>
      <c r="Y39" s="3365"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8" t="s">
        <v>3079</v>
      </c>
      <c r="F40" s="460">
        <f>SUMIF(117:117,E40,118:118)-SUMIF(117:117,C40,118:118)+100</f>
        <v>100</v>
      </c>
      <c r="G40" s="2968" t="s">
        <v>3079</v>
      </c>
      <c r="H40" s="434">
        <f>SUMIF(117:117,G40,118:118)-SUMIF(117:117,C40,118:118)+100</f>
        <v>100</v>
      </c>
      <c r="I40" s="2968" t="s">
        <v>3079</v>
      </c>
      <c r="J40" s="434">
        <f>SUMIF(117:117,I40,118:118)-SUMIF(117:117,C40,118:118)+100</f>
        <v>100</v>
      </c>
      <c r="K40" s="2963">
        <v>1</v>
      </c>
      <c r="L40" s="1142"/>
      <c r="M40" s="1133"/>
      <c r="N40" s="1133"/>
      <c r="O40" s="1133"/>
      <c r="P40" s="3363"/>
      <c r="Q40" s="2953" t="str">
        <f t="shared" si="11"/>
        <v>市政基础设施</v>
      </c>
      <c r="R40" s="773" t="s">
        <v>17</v>
      </c>
      <c r="S40" s="774">
        <f t="shared" si="12"/>
        <v>100</v>
      </c>
      <c r="T40" s="773" t="s">
        <v>17</v>
      </c>
      <c r="U40" s="774">
        <f t="shared" si="13"/>
        <v>100</v>
      </c>
      <c r="V40" s="773" t="s">
        <v>17</v>
      </c>
      <c r="W40" s="774">
        <f t="shared" si="14"/>
        <v>100</v>
      </c>
      <c r="X40" s="2950"/>
      <c r="Y40" s="3365"/>
      <c r="Z40" s="2951" t="str">
        <f t="shared" si="15"/>
        <v>市政基础设施</v>
      </c>
      <c r="AA40" s="2954">
        <f t="shared" si="3"/>
        <v>1</v>
      </c>
      <c r="AB40" s="2954">
        <f t="shared" si="4"/>
        <v>1</v>
      </c>
      <c r="AC40" s="2679">
        <f t="shared" si="5"/>
        <v>1</v>
      </c>
    </row>
    <row r="41" spans="1:29" ht="15">
      <c r="A41" s="471"/>
      <c r="B41" s="2949" t="s">
        <v>2669</v>
      </c>
      <c r="C41" s="615" t="s">
        <v>3075</v>
      </c>
      <c r="D41" s="434">
        <v>100</v>
      </c>
      <c r="E41" s="2964" t="s">
        <v>3075</v>
      </c>
      <c r="F41" s="460">
        <f>SUMIF(119:119,E41,120:120)-SUMIF(119:119,C41,120:120)+100</f>
        <v>100</v>
      </c>
      <c r="G41" s="2964" t="s">
        <v>3075</v>
      </c>
      <c r="H41" s="434">
        <f>SUMIF(119:119,G41,120:120)-SUMIF(119:119,C41,120:120)+100</f>
        <v>100</v>
      </c>
      <c r="I41" s="2964" t="s">
        <v>3075</v>
      </c>
      <c r="J41" s="434">
        <f>SUMIF(119:119,I41,120:120)-SUMIF(119:119,C41,120:120)+100</f>
        <v>100</v>
      </c>
      <c r="K41" s="611">
        <v>2</v>
      </c>
      <c r="L41" s="1142"/>
      <c r="M41" s="1133"/>
      <c r="N41" s="1133"/>
      <c r="O41" s="1133"/>
      <c r="P41" s="3363"/>
      <c r="Q41" s="2953" t="str">
        <f t="shared" si="11"/>
        <v>层高</v>
      </c>
      <c r="R41" s="773" t="s">
        <v>17</v>
      </c>
      <c r="S41" s="774">
        <f t="shared" si="12"/>
        <v>100</v>
      </c>
      <c r="T41" s="773" t="s">
        <v>17</v>
      </c>
      <c r="U41" s="774">
        <f t="shared" si="13"/>
        <v>100</v>
      </c>
      <c r="V41" s="773" t="s">
        <v>17</v>
      </c>
      <c r="W41" s="774">
        <f t="shared" si="14"/>
        <v>100</v>
      </c>
      <c r="X41" s="2950"/>
      <c r="Y41" s="3365"/>
      <c r="Z41" s="2951" t="str">
        <f t="shared" si="15"/>
        <v>层高</v>
      </c>
      <c r="AA41" s="2954">
        <f t="shared" si="3"/>
        <v>1</v>
      </c>
      <c r="AB41" s="2954">
        <f t="shared" si="4"/>
        <v>1</v>
      </c>
      <c r="AC41" s="2679">
        <f t="shared" si="5"/>
        <v>1</v>
      </c>
    </row>
    <row r="42" spans="1:29" s="470" customFormat="1" ht="15">
      <c r="A42" s="467"/>
      <c r="B42" s="2952" t="s">
        <v>2700</v>
      </c>
      <c r="C42" s="433"/>
      <c r="D42" s="434">
        <v>100</v>
      </c>
      <c r="E42" s="2970"/>
      <c r="F42" s="460">
        <f>SUMIF(121:121,E42,122:122)-SUMIF(121:121,C42,122:122)+100</f>
        <v>100</v>
      </c>
      <c r="G42" s="2970"/>
      <c r="H42" s="434">
        <f>SUMIF(121:121,G42,122:122)-SUMIF(121:121,C42,122:122)+100</f>
        <v>100</v>
      </c>
      <c r="I42" s="2970"/>
      <c r="J42" s="434">
        <f>SUMIF(121:121,I42,122:122)-SUMIF(121:121,C42,122:122)+100</f>
        <v>100</v>
      </c>
      <c r="K42" s="612"/>
      <c r="L42" s="1140"/>
      <c r="M42" s="1143"/>
      <c r="N42" s="1143"/>
      <c r="O42" s="1143"/>
      <c r="P42" s="3363"/>
      <c r="Q42" s="775" t="str">
        <f t="shared" si="11"/>
        <v>单套建筑面积</v>
      </c>
      <c r="R42" s="776" t="s">
        <v>17</v>
      </c>
      <c r="S42" s="777">
        <f t="shared" si="12"/>
        <v>100</v>
      </c>
      <c r="T42" s="776" t="s">
        <v>17</v>
      </c>
      <c r="U42" s="777">
        <f t="shared" si="13"/>
        <v>100</v>
      </c>
      <c r="V42" s="776" t="s">
        <v>17</v>
      </c>
      <c r="W42" s="777">
        <f t="shared" si="14"/>
        <v>100</v>
      </c>
      <c r="X42" s="778"/>
      <c r="Y42" s="3365"/>
      <c r="Z42" s="779" t="str">
        <f t="shared" si="15"/>
        <v>单套建筑面积</v>
      </c>
      <c r="AA42" s="2954">
        <f t="shared" si="3"/>
        <v>1</v>
      </c>
      <c r="AB42" s="2954">
        <f t="shared" si="4"/>
        <v>1</v>
      </c>
      <c r="AC42" s="2679">
        <f t="shared" si="5"/>
        <v>1</v>
      </c>
    </row>
    <row r="43" spans="1:29" ht="15">
      <c r="A43" s="471"/>
      <c r="B43" s="2949" t="s">
        <v>2672</v>
      </c>
      <c r="C43" s="459" t="s">
        <v>3071</v>
      </c>
      <c r="D43" s="434">
        <v>100</v>
      </c>
      <c r="E43" s="2968" t="s">
        <v>3071</v>
      </c>
      <c r="F43" s="460">
        <f>SUMIF(123:123,E43,124:124)-SUMIF(123:123,C43,124:124)+100</f>
        <v>100</v>
      </c>
      <c r="G43" s="2968" t="s">
        <v>3071</v>
      </c>
      <c r="H43" s="434">
        <f>SUMIF(123:123,G43,124:124)-SUMIF(123:123,C43,124:124)+100</f>
        <v>100</v>
      </c>
      <c r="I43" s="2968" t="s">
        <v>3071</v>
      </c>
      <c r="J43" s="434">
        <f>SUMIF(123:123,I43,124:124)-SUMIF(123:123,C43,124:124)+100</f>
        <v>100</v>
      </c>
      <c r="K43" s="611">
        <v>1</v>
      </c>
      <c r="L43" s="1142"/>
      <c r="M43" s="1133"/>
      <c r="N43" s="1133"/>
      <c r="O43" s="1133"/>
      <c r="P43" s="3363"/>
      <c r="Q43" s="2953" t="str">
        <f t="shared" si="11"/>
        <v>内部装修</v>
      </c>
      <c r="R43" s="773" t="s">
        <v>17</v>
      </c>
      <c r="S43" s="774">
        <f t="shared" si="12"/>
        <v>100</v>
      </c>
      <c r="T43" s="773" t="s">
        <v>17</v>
      </c>
      <c r="U43" s="774">
        <f t="shared" si="13"/>
        <v>100</v>
      </c>
      <c r="V43" s="773" t="s">
        <v>17</v>
      </c>
      <c r="W43" s="774">
        <f t="shared" si="14"/>
        <v>100</v>
      </c>
      <c r="X43" s="2950"/>
      <c r="Y43" s="3365"/>
      <c r="Z43" s="2951" t="str">
        <f t="shared" si="15"/>
        <v>内部装修</v>
      </c>
      <c r="AA43" s="2954">
        <f t="shared" si="3"/>
        <v>1</v>
      </c>
      <c r="AB43" s="2954">
        <f t="shared" si="4"/>
        <v>1</v>
      </c>
      <c r="AC43" s="2679">
        <f t="shared" si="5"/>
        <v>1</v>
      </c>
    </row>
    <row r="44" spans="1:29" ht="15">
      <c r="A44" s="471"/>
      <c r="B44" s="2949" t="s">
        <v>2580</v>
      </c>
      <c r="C44" s="459" t="s">
        <v>3077</v>
      </c>
      <c r="D44" s="434">
        <v>100</v>
      </c>
      <c r="E44" s="2971" t="s">
        <v>3101</v>
      </c>
      <c r="F44" s="460">
        <f>SUMIF(125:125,E44,126:126)-SUMIF(125:125,C44,126:126)+100</f>
        <v>100</v>
      </c>
      <c r="G44" s="2971" t="s">
        <v>3101</v>
      </c>
      <c r="H44" s="434">
        <f>SUMIF(125:125,G44,126:126)-SUMIF(125:125,C44,126:126)+100</f>
        <v>100</v>
      </c>
      <c r="I44" s="2971" t="s">
        <v>3101</v>
      </c>
      <c r="J44" s="434">
        <f>SUMIF(125:125,I44,126:126)-SUMIF(125:125,C44,126:126)+100</f>
        <v>100</v>
      </c>
      <c r="K44" s="611">
        <v>2</v>
      </c>
      <c r="L44" s="1142"/>
      <c r="M44" s="1133"/>
      <c r="N44" s="1133"/>
      <c r="O44" s="1133"/>
      <c r="P44" s="3363"/>
      <c r="Q44" s="2953" t="str">
        <f t="shared" si="11"/>
        <v>内部装修维护情况</v>
      </c>
      <c r="R44" s="773" t="s">
        <v>17</v>
      </c>
      <c r="S44" s="774">
        <f t="shared" si="12"/>
        <v>100</v>
      </c>
      <c r="T44" s="773" t="s">
        <v>17</v>
      </c>
      <c r="U44" s="774">
        <f t="shared" si="13"/>
        <v>100</v>
      </c>
      <c r="V44" s="773" t="s">
        <v>17</v>
      </c>
      <c r="W44" s="774">
        <f t="shared" si="14"/>
        <v>100</v>
      </c>
      <c r="X44" s="2950"/>
      <c r="Y44" s="3365"/>
      <c r="Z44" s="2951" t="str">
        <f t="shared" si="15"/>
        <v>内部装修维护情况</v>
      </c>
      <c r="AA44" s="2954">
        <f t="shared" si="3"/>
        <v>1</v>
      </c>
      <c r="AB44" s="2954">
        <f t="shared" si="4"/>
        <v>1</v>
      </c>
      <c r="AC44" s="2679">
        <f t="shared" si="5"/>
        <v>1</v>
      </c>
    </row>
    <row r="45" spans="1:29" s="117" customFormat="1" ht="15">
      <c r="A45" s="472"/>
      <c r="B45" s="2962" t="s">
        <v>3082</v>
      </c>
      <c r="C45" s="468"/>
      <c r="D45" s="135">
        <v>100</v>
      </c>
      <c r="E45" s="2972"/>
      <c r="F45" s="424">
        <f>SUMIF(127:127,E45,128:128)-SUMIF(127:127,C45,128:128)+100</f>
        <v>100</v>
      </c>
      <c r="G45" s="2972"/>
      <c r="H45" s="135">
        <f>SUMIF(127:127,G45,128:128)-SUMIF(127:127,C45,128:128)+100</f>
        <v>100</v>
      </c>
      <c r="I45" s="2972"/>
      <c r="J45" s="135">
        <f>SUMIF(127:127,I45,128:128)-SUMIF(127:127,C45,128:128)+100</f>
        <v>100</v>
      </c>
      <c r="K45" s="612"/>
      <c r="L45" s="1134"/>
      <c r="M45" s="1135"/>
      <c r="N45" s="1135"/>
      <c r="O45" s="1135"/>
      <c r="P45" s="3363"/>
      <c r="Q45" s="2947" t="str">
        <f t="shared" si="11"/>
        <v>智能环保系统</v>
      </c>
      <c r="R45" s="769" t="s">
        <v>17</v>
      </c>
      <c r="S45" s="770">
        <f t="shared" si="12"/>
        <v>100</v>
      </c>
      <c r="T45" s="769" t="s">
        <v>17</v>
      </c>
      <c r="U45" s="770">
        <f t="shared" si="13"/>
        <v>100</v>
      </c>
      <c r="V45" s="769" t="s">
        <v>17</v>
      </c>
      <c r="W45" s="770">
        <f t="shared" si="14"/>
        <v>100</v>
      </c>
      <c r="X45" s="771"/>
      <c r="Y45" s="3365"/>
      <c r="Z45" s="2948" t="str">
        <f t="shared" si="15"/>
        <v>智能环保系统</v>
      </c>
      <c r="AA45" s="772">
        <f t="shared" si="3"/>
        <v>1</v>
      </c>
      <c r="AB45" s="772">
        <f t="shared" si="4"/>
        <v>1</v>
      </c>
      <c r="AC45" s="2676">
        <f t="shared" si="5"/>
        <v>1</v>
      </c>
    </row>
    <row r="46" spans="1:29" ht="15">
      <c r="A46" s="471"/>
      <c r="B46" s="2962" t="s">
        <v>3083</v>
      </c>
      <c r="C46" s="2960" t="s">
        <v>3326</v>
      </c>
      <c r="D46" s="434">
        <v>100</v>
      </c>
      <c r="E46" s="2973" t="s">
        <v>3081</v>
      </c>
      <c r="F46" s="460">
        <f>SUMIF(129:129,E46,130:130)-SUMIF(129:129,C46,130:130)+100</f>
        <v>100</v>
      </c>
      <c r="G46" s="2973" t="s">
        <v>3326</v>
      </c>
      <c r="H46" s="434">
        <f>SUMIF(129:129,G46,130:130)-SUMIF(129:129,C46,130:130)+100</f>
        <v>100</v>
      </c>
      <c r="I46" s="2973" t="s">
        <v>3081</v>
      </c>
      <c r="J46" s="434">
        <f>SUMIF(129:129,I46,130:130)-SUMIF(129:129,C46,130:130)+100</f>
        <v>100</v>
      </c>
      <c r="K46" s="612"/>
      <c r="L46" s="1142"/>
      <c r="M46" s="1133"/>
      <c r="N46" s="1133"/>
      <c r="O46" s="1133"/>
      <c r="P46" s="3363"/>
      <c r="Q46" s="2953" t="str">
        <f t="shared" si="11"/>
        <v>建筑品质</v>
      </c>
      <c r="R46" s="773" t="s">
        <v>17</v>
      </c>
      <c r="S46" s="774">
        <f t="shared" si="12"/>
        <v>100</v>
      </c>
      <c r="T46" s="773" t="s">
        <v>17</v>
      </c>
      <c r="U46" s="774">
        <f t="shared" si="13"/>
        <v>100</v>
      </c>
      <c r="V46" s="773" t="s">
        <v>17</v>
      </c>
      <c r="W46" s="774">
        <f t="shared" si="14"/>
        <v>100</v>
      </c>
      <c r="X46" s="2950"/>
      <c r="Y46" s="3365"/>
      <c r="Z46" s="2951" t="str">
        <f t="shared" si="15"/>
        <v>建筑品质</v>
      </c>
      <c r="AA46" s="2954">
        <f t="shared" si="3"/>
        <v>1</v>
      </c>
      <c r="AB46" s="295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64"/>
      <c r="Q47" s="2953">
        <f t="shared" si="11"/>
        <v>111</v>
      </c>
      <c r="R47" s="773" t="s">
        <v>17</v>
      </c>
      <c r="S47" s="774">
        <f t="shared" si="12"/>
        <v>100</v>
      </c>
      <c r="T47" s="773" t="s">
        <v>17</v>
      </c>
      <c r="U47" s="774">
        <f t="shared" si="13"/>
        <v>100</v>
      </c>
      <c r="V47" s="773" t="s">
        <v>17</v>
      </c>
      <c r="W47" s="774">
        <f t="shared" si="14"/>
        <v>100</v>
      </c>
      <c r="X47" s="2950"/>
      <c r="Y47" s="3366"/>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6</v>
      </c>
      <c r="J48" s="484"/>
      <c r="K48" s="782"/>
      <c r="L48" s="1145"/>
      <c r="M48" s="1133"/>
      <c r="N48" s="1133"/>
      <c r="O48" s="1133"/>
      <c r="P48" s="3352" t="str">
        <f>A48</f>
        <v>成交单价（元/平方米）</v>
      </c>
      <c r="Q48" s="3353"/>
      <c r="R48" s="3354">
        <f>E48</f>
        <v>5</v>
      </c>
      <c r="S48" s="3354"/>
      <c r="T48" s="3354">
        <f>G48</f>
        <v>5.5</v>
      </c>
      <c r="U48" s="3354"/>
      <c r="V48" s="3354">
        <f>I48</f>
        <v>6</v>
      </c>
      <c r="W48" s="3354"/>
      <c r="X48" s="445"/>
      <c r="Y48" s="780"/>
      <c r="Z48" s="445"/>
      <c r="AA48" s="445"/>
      <c r="AB48" s="445"/>
      <c r="AC48" s="629"/>
    </row>
    <row r="49" spans="1:29" ht="15.75" thickBot="1">
      <c r="A49" s="485" t="s">
        <v>2582</v>
      </c>
      <c r="B49" s="486"/>
      <c r="C49" s="1415">
        <f>R50</f>
        <v>5.5</v>
      </c>
      <c r="D49" s="1416"/>
      <c r="E49" s="1417">
        <f>R49</f>
        <v>5.0999999999999996</v>
      </c>
      <c r="F49" s="1417"/>
      <c r="G49" s="1415">
        <f>T49</f>
        <v>5.4</v>
      </c>
      <c r="H49" s="1416"/>
      <c r="I49" s="1417">
        <f>V49</f>
        <v>5.9</v>
      </c>
      <c r="J49" s="488"/>
      <c r="K49" s="783"/>
      <c r="L49" s="1145"/>
      <c r="M49" s="1133"/>
      <c r="N49" s="1133"/>
      <c r="O49" s="1133"/>
      <c r="P49" s="3352" t="str">
        <f>A49</f>
        <v>比较价值（元/平方米）</v>
      </c>
      <c r="Q49" s="3353"/>
      <c r="R49" s="3354">
        <f>IF(F1="售价",ROUND(PRODUCT(R48,AA7:AA47),0),ROUND(PRODUCT(R48,AA7:AA47),1))</f>
        <v>5.0999999999999996</v>
      </c>
      <c r="S49" s="3354"/>
      <c r="T49" s="3354">
        <f>IF(F1="售价",ROUND(PRODUCT(T48,AB7:AB47),0),ROUND(PRODUCT(T48,AB7:AB47),1))</f>
        <v>5.4</v>
      </c>
      <c r="U49" s="3354"/>
      <c r="V49" s="3354">
        <f>IF(F1="售价",ROUND(PRODUCT(V48,AC7:AC47),0),ROUND(PRODUCT(V48,AC7:AC47),1))</f>
        <v>5.9</v>
      </c>
      <c r="W49" s="3354"/>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355" t="str">
        <f>A50</f>
        <v>估价对象XX用房的比较价值（楼面单价，元/平方米）</v>
      </c>
      <c r="Q50" s="3356"/>
      <c r="R50" s="3357">
        <f>IF(F1="售价",ROUND(AVERAGE(R49:V49),0),ROUND(AVERAGE(R49:V49),1))</f>
        <v>5.5</v>
      </c>
      <c r="S50" s="3357"/>
      <c r="T50" s="3357"/>
      <c r="U50" s="3357"/>
      <c r="V50" s="3357"/>
      <c r="W50" s="3357"/>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2.0000000000000018E-2</v>
      </c>
      <c r="F53" s="499" t="str">
        <f>IF(OR(E53&gt;=0.3,E53&lt;=-0.3),"超过30%","")</f>
        <v/>
      </c>
      <c r="G53" s="498">
        <f>IF(G48&lt;G49,G49/G48-1,G48/G49-1)</f>
        <v>1.8518518518518379E-2</v>
      </c>
      <c r="H53" s="499" t="str">
        <f>IF(OR(G53&gt;=0.3,G53&lt;=-0.3),"超过30%","")</f>
        <v/>
      </c>
      <c r="I53" s="498">
        <f>IF(I48&lt;I49,I49/I48-1,I48/I49-1)</f>
        <v>1.6949152542372836E-2</v>
      </c>
      <c r="J53" s="499" t="str">
        <f>IF(OR(I53&gt;=0.3,I53&lt;=-0.3),"超过30%","")</f>
        <v/>
      </c>
      <c r="K53" s="1107"/>
      <c r="L53" s="1108"/>
      <c r="M53" s="1146"/>
      <c r="N53" s="1146"/>
      <c r="O53" s="1146"/>
    </row>
    <row r="54" spans="1:29" ht="13.5" customHeight="1">
      <c r="A54" s="1146"/>
      <c r="B54" s="1146"/>
      <c r="C54" s="496" t="s">
        <v>2585</v>
      </c>
      <c r="D54" s="500"/>
      <c r="E54" s="498">
        <f>IF(E49&lt;G49,G49/E49-1,E49/G49-1)</f>
        <v>5.8823529411764941E-2</v>
      </c>
      <c r="F54" s="499" t="str">
        <f>IF(OR(E54&gt;=0.2,E54&lt;=-0.2),"超过20%","")</f>
        <v/>
      </c>
      <c r="G54" s="498">
        <f>IF(G49&lt;I49,I49/G49-1,G49/I49-1)</f>
        <v>9.259259259259256E-2</v>
      </c>
      <c r="H54" s="499" t="str">
        <f>IF(OR(G54&gt;=0.2,G54&lt;=-0.2),"超过20%","")</f>
        <v/>
      </c>
      <c r="I54" s="498">
        <f>IF(I49&lt;E49,E49/I49-1,I49/E49-1)</f>
        <v>0.15686274509803932</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9.0909090909090828E-2</v>
      </c>
      <c r="H55" s="499" t="str">
        <f>IF(OR(G55&gt;=0.3,G55&lt;=-0.3),"超过30%","")</f>
        <v/>
      </c>
      <c r="I55" s="498">
        <f>IF(I48&lt;E48,E48/I48-1,I48/E48-1)</f>
        <v>0.19999999999999996</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95</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626</v>
      </c>
      <c r="C2" s="2571" t="s">
        <v>2523</v>
      </c>
      <c r="D2" s="2572" t="s">
        <v>2524</v>
      </c>
      <c r="E2" s="2573">
        <f>SUM(E6:E13)</f>
        <v>191.05</v>
      </c>
    </row>
    <row r="3" spans="1:6" ht="15.75">
      <c r="A3" s="2569" t="s">
        <v>1395</v>
      </c>
      <c r="B3" s="2570">
        <f ca="1">ROUND(B2*10000/E2,0)</f>
        <v>32766</v>
      </c>
      <c r="C3" s="2571" t="s">
        <v>2531</v>
      </c>
      <c r="D3" s="2574"/>
      <c r="E3" s="2575"/>
    </row>
    <row r="4" spans="1:6" ht="15.75">
      <c r="A4" s="2576"/>
      <c r="B4" s="2574"/>
      <c r="C4" s="2574"/>
      <c r="D4" s="2574"/>
      <c r="E4" s="2575"/>
    </row>
    <row r="5" spans="1:6" ht="15">
      <c r="A5" s="2577" t="s">
        <v>2525</v>
      </c>
      <c r="B5" s="3409" t="s">
        <v>2526</v>
      </c>
      <c r="C5" s="3409"/>
      <c r="D5" s="2578"/>
      <c r="E5" s="2579" t="s">
        <v>2527</v>
      </c>
      <c r="F5" s="2580" t="s">
        <v>2528</v>
      </c>
    </row>
    <row r="6" spans="1:6">
      <c r="A6" s="2581" t="str">
        <f>'数据-取费表'!AN6</f>
        <v>收益法 (办公)</v>
      </c>
      <c r="B6" s="2580">
        <f ca="1">IF(F6="是",'数据-取费表'!AO6,0)</f>
        <v>626</v>
      </c>
      <c r="C6" s="2571" t="s">
        <v>2523</v>
      </c>
      <c r="D6" s="2574"/>
      <c r="E6" s="2582">
        <f>IF(OR(A6=0,F6="否"),0,'数据-取费表'!K6+'数据-取费表'!S6)</f>
        <v>191.05</v>
      </c>
      <c r="F6" s="2583" t="s">
        <v>2529</v>
      </c>
    </row>
    <row r="7" spans="1:6">
      <c r="A7" s="2581" t="str">
        <f>'数据-取费表'!AN7</f>
        <v>*</v>
      </c>
      <c r="B7" s="2580" t="e">
        <f ca="1">IF(F7="是",'数据-取费表'!AO7,0)</f>
        <v>#REF!</v>
      </c>
      <c r="C7" s="2571" t="s">
        <v>2523</v>
      </c>
      <c r="D7" s="2574"/>
      <c r="E7" s="2582">
        <f>IF(OR(A7=0,F7="否"),0,'数据-取费表'!K7+'数据-取费表'!S7)</f>
        <v>0</v>
      </c>
      <c r="F7" s="2583" t="s">
        <v>2529</v>
      </c>
    </row>
    <row r="8" spans="1:6">
      <c r="A8" s="2581" t="str">
        <f>'数据-取费表'!AN8</f>
        <v>*</v>
      </c>
      <c r="B8" s="2580" t="e">
        <f ca="1">IF(F8="是",'数据-取费表'!AO8,0)</f>
        <v>#REF!</v>
      </c>
      <c r="C8" s="2571" t="s">
        <v>2523</v>
      </c>
      <c r="D8" s="2574"/>
      <c r="E8" s="2582">
        <f>IF(OR(A8=0,F8="否"),0,'数据-取费表'!K8+'数据-取费表'!S8)</f>
        <v>0</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6" t="s">
        <v>1076</v>
      </c>
      <c r="B1" s="3427"/>
      <c r="C1" s="3428"/>
      <c r="D1" s="3429">
        <f>SUM(I10,I15,I20,I21,I23)</f>
        <v>0</v>
      </c>
      <c r="E1" s="3429"/>
      <c r="F1" s="3429"/>
      <c r="G1" s="3429"/>
      <c r="H1" s="3429"/>
      <c r="I1" s="3430"/>
    </row>
    <row r="2" spans="1:9">
      <c r="A2" s="3416" t="s">
        <v>1077</v>
      </c>
      <c r="B2" s="3417" t="s">
        <v>1078</v>
      </c>
      <c r="C2" s="3417"/>
      <c r="D2" s="1303" t="s">
        <v>1079</v>
      </c>
      <c r="E2" s="1303" t="s">
        <v>1080</v>
      </c>
      <c r="F2" s="1303" t="s">
        <v>1081</v>
      </c>
      <c r="G2" s="1303" t="s">
        <v>1082</v>
      </c>
      <c r="H2" s="1303" t="s">
        <v>1083</v>
      </c>
      <c r="I2" s="1304" t="s">
        <v>1084</v>
      </c>
    </row>
    <row r="3" spans="1:9">
      <c r="A3" s="3416"/>
      <c r="B3" s="3417" t="s">
        <v>1085</v>
      </c>
      <c r="C3" s="3417"/>
      <c r="D3" s="1305"/>
      <c r="E3" s="1303"/>
      <c r="F3" s="1306"/>
      <c r="G3" s="1306"/>
      <c r="H3" s="1307"/>
      <c r="I3" s="1308">
        <f>ROUND(D3*E3*F3*G3*H3/10000,0)</f>
        <v>0</v>
      </c>
    </row>
    <row r="4" spans="1:9">
      <c r="A4" s="3416"/>
      <c r="B4" s="3417" t="s">
        <v>1086</v>
      </c>
      <c r="C4" s="3417"/>
      <c r="D4" s="1305"/>
      <c r="E4" s="1303"/>
      <c r="F4" s="1306"/>
      <c r="G4" s="1306"/>
      <c r="H4" s="1307"/>
      <c r="I4" s="1308">
        <f t="shared" ref="I4:I9" si="0">ROUND(D4*E4*F4*G4*H4/10000,0)</f>
        <v>0</v>
      </c>
    </row>
    <row r="5" spans="1:9">
      <c r="A5" s="3416"/>
      <c r="B5" s="3417" t="s">
        <v>1087</v>
      </c>
      <c r="C5" s="3417"/>
      <c r="D5" s="1305"/>
      <c r="E5" s="1303"/>
      <c r="F5" s="1306"/>
      <c r="G5" s="1306"/>
      <c r="H5" s="1307"/>
      <c r="I5" s="1308">
        <f t="shared" si="0"/>
        <v>0</v>
      </c>
    </row>
    <row r="6" spans="1:9">
      <c r="A6" s="3416"/>
      <c r="B6" s="3417" t="s">
        <v>1088</v>
      </c>
      <c r="C6" s="3417"/>
      <c r="D6" s="1305"/>
      <c r="E6" s="1303"/>
      <c r="F6" s="1306"/>
      <c r="G6" s="1306"/>
      <c r="H6" s="1307"/>
      <c r="I6" s="1308">
        <f t="shared" si="0"/>
        <v>0</v>
      </c>
    </row>
    <row r="7" spans="1:9">
      <c r="A7" s="3416"/>
      <c r="B7" s="3417" t="s">
        <v>1089</v>
      </c>
      <c r="C7" s="3417"/>
      <c r="D7" s="1305"/>
      <c r="E7" s="1303"/>
      <c r="F7" s="1306"/>
      <c r="G7" s="1306"/>
      <c r="H7" s="1307"/>
      <c r="I7" s="1308">
        <f t="shared" si="0"/>
        <v>0</v>
      </c>
    </row>
    <row r="8" spans="1:9">
      <c r="A8" s="3416"/>
      <c r="B8" s="3417" t="s">
        <v>1090</v>
      </c>
      <c r="C8" s="3417"/>
      <c r="D8" s="1305"/>
      <c r="E8" s="1303"/>
      <c r="F8" s="1306"/>
      <c r="G8" s="1306"/>
      <c r="H8" s="1307"/>
      <c r="I8" s="1308">
        <f t="shared" si="0"/>
        <v>0</v>
      </c>
    </row>
    <row r="9" spans="1:9">
      <c r="A9" s="3416"/>
      <c r="B9" s="3417" t="s">
        <v>1091</v>
      </c>
      <c r="C9" s="3417"/>
      <c r="D9" s="1305"/>
      <c r="E9" s="1303"/>
      <c r="F9" s="1306"/>
      <c r="G9" s="1306"/>
      <c r="H9" s="1307"/>
      <c r="I9" s="1308">
        <f t="shared" si="0"/>
        <v>0</v>
      </c>
    </row>
    <row r="10" spans="1:9">
      <c r="A10" s="3416"/>
      <c r="B10" s="3418" t="s">
        <v>1092</v>
      </c>
      <c r="C10" s="3418"/>
      <c r="D10" s="1309"/>
      <c r="E10" s="1309" t="e">
        <f>ROUND(D1*10000/D10/H9,0)</f>
        <v>#DIV/0!</v>
      </c>
      <c r="F10" s="1310"/>
      <c r="G10" s="1310"/>
      <c r="H10" s="1311"/>
      <c r="I10" s="1312">
        <f>SUM(I3:I9)</f>
        <v>0</v>
      </c>
    </row>
    <row r="11" spans="1:9" ht="14.25">
      <c r="A11" s="3416" t="s">
        <v>1093</v>
      </c>
      <c r="B11" s="3417" t="s">
        <v>1094</v>
      </c>
      <c r="C11" s="3417"/>
      <c r="D11" s="1305" t="s">
        <v>1095</v>
      </c>
      <c r="E11" s="1305" t="s">
        <v>1096</v>
      </c>
      <c r="F11" s="1306" t="s">
        <v>1097</v>
      </c>
      <c r="G11" s="1306" t="s">
        <v>1083</v>
      </c>
      <c r="H11" s="1313" t="s">
        <v>1098</v>
      </c>
      <c r="I11" s="1304" t="s">
        <v>1084</v>
      </c>
    </row>
    <row r="12" spans="1:9">
      <c r="A12" s="3416"/>
      <c r="B12" s="3417" t="s">
        <v>1099</v>
      </c>
      <c r="C12" s="3417"/>
      <c r="D12" s="1305"/>
      <c r="E12" s="1305"/>
      <c r="F12" s="1306"/>
      <c r="G12" s="1307"/>
      <c r="H12" s="1314"/>
      <c r="I12" s="1304">
        <f>ROUND(D12*E12*F12*G12/10000,0)</f>
        <v>0</v>
      </c>
    </row>
    <row r="13" spans="1:9">
      <c r="A13" s="3416"/>
      <c r="B13" s="3417" t="s">
        <v>1100</v>
      </c>
      <c r="C13" s="3417"/>
      <c r="D13" s="1305"/>
      <c r="E13" s="1305"/>
      <c r="F13" s="1306"/>
      <c r="G13" s="1307"/>
      <c r="H13" s="1314"/>
      <c r="I13" s="1304">
        <f>ROUND(D13*E13*F13*G13/10000,0)</f>
        <v>0</v>
      </c>
    </row>
    <row r="14" spans="1:9">
      <c r="A14" s="3416"/>
      <c r="B14" s="3417" t="s">
        <v>1101</v>
      </c>
      <c r="C14" s="3417"/>
      <c r="D14" s="1305"/>
      <c r="E14" s="1305"/>
      <c r="F14" s="1306"/>
      <c r="G14" s="1307"/>
      <c r="H14" s="1314"/>
      <c r="I14" s="1304">
        <f>ROUND(D14*E14*F14*G14/10000,0)</f>
        <v>0</v>
      </c>
    </row>
    <row r="15" spans="1:9">
      <c r="A15" s="3416"/>
      <c r="B15" s="3418" t="s">
        <v>1092</v>
      </c>
      <c r="C15" s="3418"/>
      <c r="D15" s="1309"/>
      <c r="E15" s="1309">
        <f>SUM(E12:E14)</f>
        <v>0</v>
      </c>
      <c r="F15" s="1310"/>
      <c r="G15" s="1307"/>
      <c r="H15" s="1314"/>
      <c r="I15" s="1315">
        <f>SUM(I12:I14)</f>
        <v>0</v>
      </c>
    </row>
    <row r="16" spans="1:9" ht="24">
      <c r="A16" s="3416" t="s">
        <v>1102</v>
      </c>
      <c r="B16" s="3417" t="s">
        <v>1103</v>
      </c>
      <c r="C16" s="3417"/>
      <c r="D16" s="1305" t="s">
        <v>1079</v>
      </c>
      <c r="E16" s="1316" t="s">
        <v>1104</v>
      </c>
      <c r="F16" s="1306" t="s">
        <v>1105</v>
      </c>
      <c r="G16" s="1307" t="s">
        <v>1083</v>
      </c>
      <c r="H16" s="1313" t="s">
        <v>1098</v>
      </c>
      <c r="I16" s="1304" t="s">
        <v>1084</v>
      </c>
    </row>
    <row r="17" spans="1:9" ht="14.25">
      <c r="A17" s="3416"/>
      <c r="B17" s="3417" t="s">
        <v>1106</v>
      </c>
      <c r="C17" s="3417"/>
      <c r="D17" s="1305"/>
      <c r="E17" s="1305"/>
      <c r="F17" s="1306"/>
      <c r="G17" s="1307"/>
      <c r="H17" s="1317"/>
      <c r="I17" s="1318">
        <f>ROUND(D17*E17*F17*G17/10000,0)</f>
        <v>0</v>
      </c>
    </row>
    <row r="18" spans="1:9" ht="14.25">
      <c r="A18" s="3416"/>
      <c r="B18" s="3417" t="s">
        <v>1107</v>
      </c>
      <c r="C18" s="3417"/>
      <c r="D18" s="1305"/>
      <c r="E18" s="1305"/>
      <c r="F18" s="1306"/>
      <c r="G18" s="1307"/>
      <c r="H18" s="1317"/>
      <c r="I18" s="1318">
        <f>ROUND(D18*E18*F18*G18/10000,0)</f>
        <v>0</v>
      </c>
    </row>
    <row r="19" spans="1:9" ht="14.25">
      <c r="A19" s="3416"/>
      <c r="B19" s="3417" t="s">
        <v>1108</v>
      </c>
      <c r="C19" s="3417"/>
      <c r="D19" s="1305"/>
      <c r="E19" s="1305"/>
      <c r="F19" s="1306"/>
      <c r="G19" s="1307"/>
      <c r="H19" s="1317"/>
      <c r="I19" s="1318">
        <f>ROUND(D19*E19*F19*G19/10000,0)</f>
        <v>0</v>
      </c>
    </row>
    <row r="20" spans="1:9">
      <c r="A20" s="3416"/>
      <c r="B20" s="3418" t="s">
        <v>1092</v>
      </c>
      <c r="C20" s="3418"/>
      <c r="D20" s="1309">
        <f>SUM(D17:D19)</f>
        <v>0</v>
      </c>
      <c r="E20" s="1309"/>
      <c r="F20" s="1310"/>
      <c r="G20" s="1307"/>
      <c r="H20" s="1314"/>
      <c r="I20" s="1315">
        <f>SUM(I17:I19)</f>
        <v>0</v>
      </c>
    </row>
    <row r="21" spans="1:9">
      <c r="A21" s="3416" t="s">
        <v>1109</v>
      </c>
      <c r="B21" s="3419"/>
      <c r="C21" s="3419"/>
      <c r="D21" s="3419"/>
      <c r="E21" s="3419"/>
      <c r="F21" s="3419"/>
      <c r="G21" s="3419"/>
      <c r="H21" s="1767">
        <v>0.1</v>
      </c>
      <c r="I21" s="1312">
        <f>ROUND(I10*H21,0)</f>
        <v>0</v>
      </c>
    </row>
    <row r="22" spans="1:9" ht="14.25">
      <c r="A22" s="3420" t="s">
        <v>1110</v>
      </c>
      <c r="B22" s="3421"/>
      <c r="C22" s="3422"/>
      <c r="D22" s="1319" t="s">
        <v>1111</v>
      </c>
      <c r="E22" s="1319" t="s">
        <v>1112</v>
      </c>
      <c r="F22" s="1320" t="s">
        <v>1113</v>
      </c>
      <c r="G22" s="1320" t="s">
        <v>1114</v>
      </c>
      <c r="H22" s="1313" t="s">
        <v>1115</v>
      </c>
      <c r="I22" s="1304" t="s">
        <v>1116</v>
      </c>
    </row>
    <row r="23" spans="1:9" ht="14.25" thickBot="1">
      <c r="A23" s="3423"/>
      <c r="B23" s="3424"/>
      <c r="C23" s="3425"/>
      <c r="D23" s="1321"/>
      <c r="E23" s="1321"/>
      <c r="F23" s="1321"/>
      <c r="G23" s="1322"/>
      <c r="H23" s="1323"/>
      <c r="I23" s="1324">
        <f>ROUND(E23*D23*F23*(1-G23)/10000,0)</f>
        <v>0</v>
      </c>
    </row>
    <row r="26" spans="1:9">
      <c r="A26" s="1325" t="s">
        <v>1117</v>
      </c>
      <c r="B26" s="1325"/>
      <c r="C26" s="1325"/>
      <c r="D26" s="1325"/>
      <c r="E26" s="3413">
        <f>C27-C30-C31-C32</f>
        <v>0</v>
      </c>
      <c r="F26" s="3413"/>
      <c r="G26" s="3413"/>
      <c r="H26" s="1739" t="s">
        <v>1340</v>
      </c>
    </row>
    <row r="27" spans="1:9">
      <c r="A27" s="1326">
        <v>1</v>
      </c>
      <c r="B27" s="1327" t="s">
        <v>1118</v>
      </c>
      <c r="C27" s="1327">
        <f>C28+C29</f>
        <v>0</v>
      </c>
      <c r="D27" s="1327"/>
      <c r="E27" s="3414"/>
      <c r="F27" s="3414"/>
      <c r="G27" s="3414"/>
    </row>
    <row r="28" spans="1:9">
      <c r="A28" s="1328" t="s">
        <v>1119</v>
      </c>
      <c r="B28" s="1327" t="s">
        <v>1120</v>
      </c>
      <c r="C28" s="1327"/>
      <c r="D28" s="1327"/>
      <c r="E28" s="3414"/>
      <c r="F28" s="3414"/>
      <c r="G28" s="341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15"/>
      <c r="F32" s="3415"/>
      <c r="G32" s="3415"/>
    </row>
    <row r="33" spans="1:7" hidden="1">
      <c r="A33" s="3410" t="s">
        <v>1129</v>
      </c>
      <c r="B33" s="3411"/>
      <c r="C33" s="3411"/>
      <c r="D33" s="3412"/>
      <c r="E33" s="3413"/>
      <c r="F33" s="3413"/>
      <c r="G33" s="3413"/>
    </row>
    <row r="34" spans="1:7" hidden="1">
      <c r="A34" s="1330">
        <v>1</v>
      </c>
      <c r="B34" s="1327" t="s">
        <v>1130</v>
      </c>
      <c r="C34" s="1327"/>
      <c r="D34" s="1327"/>
      <c r="E34" s="3414"/>
      <c r="F34" s="3414"/>
      <c r="G34" s="3414"/>
    </row>
    <row r="35" spans="1:7" hidden="1">
      <c r="A35" s="1330">
        <v>2</v>
      </c>
      <c r="B35" s="1327" t="s">
        <v>1131</v>
      </c>
      <c r="C35" s="1327"/>
      <c r="D35" s="1327"/>
      <c r="E35" s="3414"/>
      <c r="F35" s="3414"/>
      <c r="G35" s="3414"/>
    </row>
    <row r="36" spans="1:7" hidden="1">
      <c r="A36" s="1330">
        <v>3</v>
      </c>
      <c r="B36" s="1327" t="s">
        <v>1132</v>
      </c>
      <c r="C36" s="1327"/>
      <c r="D36" s="1327"/>
      <c r="E36" s="3414"/>
      <c r="F36" s="3414"/>
      <c r="G36" s="3414"/>
    </row>
    <row r="37" spans="1:7" hidden="1">
      <c r="A37" s="1330">
        <v>4</v>
      </c>
      <c r="B37" s="1327" t="s">
        <v>1133</v>
      </c>
      <c r="C37" s="1327"/>
      <c r="D37" s="1327"/>
      <c r="E37" s="3414"/>
      <c r="F37" s="3414"/>
      <c r="G37" s="3414"/>
    </row>
    <row r="38" spans="1:7" hidden="1">
      <c r="A38" s="3410" t="s">
        <v>1134</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191.05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70" t="s">
        <v>2540</v>
      </c>
      <c r="D4" s="3371"/>
      <c r="E4" s="3372" t="s">
        <v>2541</v>
      </c>
      <c r="F4" s="3373"/>
      <c r="G4" s="3370" t="s">
        <v>2542</v>
      </c>
      <c r="H4" s="3371"/>
      <c r="I4" s="3370" t="s">
        <v>2543</v>
      </c>
      <c r="J4" s="3371"/>
      <c r="K4" s="2601" t="s">
        <v>2544</v>
      </c>
      <c r="L4" s="1132"/>
      <c r="M4" s="1133"/>
      <c r="N4" s="1133"/>
      <c r="O4" s="1133"/>
      <c r="P4" s="3435" t="s">
        <v>2545</v>
      </c>
      <c r="Q4" s="3436"/>
      <c r="R4" s="3439" t="s">
        <v>2541</v>
      </c>
      <c r="S4" s="3440"/>
      <c r="T4" s="3439" t="s">
        <v>2542</v>
      </c>
      <c r="U4" s="3440"/>
      <c r="V4" s="3387" t="s">
        <v>2543</v>
      </c>
      <c r="W4" s="3387"/>
      <c r="X4" s="1815"/>
      <c r="Y4" s="3439" t="s">
        <v>2545</v>
      </c>
      <c r="Z4" s="3440"/>
      <c r="AA4" s="3434" t="s">
        <v>2541</v>
      </c>
      <c r="AB4" s="3434" t="s">
        <v>2542</v>
      </c>
      <c r="AC4" s="3434" t="s">
        <v>2543</v>
      </c>
    </row>
    <row r="5" spans="1:29" ht="15">
      <c r="A5" s="403"/>
      <c r="B5" s="404"/>
      <c r="C5" s="3441" t="s">
        <v>2546</v>
      </c>
      <c r="D5" s="3391"/>
      <c r="E5" s="3444" t="s">
        <v>2547</v>
      </c>
      <c r="F5" s="3403"/>
      <c r="G5" s="3441" t="s">
        <v>2548</v>
      </c>
      <c r="H5" s="3391"/>
      <c r="I5" s="3441" t="s">
        <v>2549</v>
      </c>
      <c r="J5" s="3391"/>
      <c r="K5" s="2602"/>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2602"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94" t="s">
        <v>2553</v>
      </c>
      <c r="Q7" s="3395"/>
      <c r="R7" s="769" t="s">
        <v>23</v>
      </c>
      <c r="S7" s="770">
        <f t="shared" ref="S7:S15" si="0">F7</f>
        <v>0</v>
      </c>
      <c r="T7" s="769" t="s">
        <v>23</v>
      </c>
      <c r="U7" s="770">
        <f t="shared" ref="U7:U15" si="1">H7</f>
        <v>0</v>
      </c>
      <c r="V7" s="769" t="s">
        <v>23</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94" t="s">
        <v>2556</v>
      </c>
      <c r="Q8" s="3393"/>
      <c r="R8" s="769" t="s">
        <v>23</v>
      </c>
      <c r="S8" s="770">
        <f t="shared" si="0"/>
        <v>0</v>
      </c>
      <c r="T8" s="769" t="s">
        <v>23</v>
      </c>
      <c r="U8" s="770">
        <f t="shared" si="1"/>
        <v>0</v>
      </c>
      <c r="V8" s="769" t="s">
        <v>23</v>
      </c>
      <c r="W8" s="770">
        <f t="shared" si="2"/>
        <v>0</v>
      </c>
      <c r="X8" s="771"/>
      <c r="Y8" s="3394" t="s">
        <v>2556</v>
      </c>
      <c r="Z8" s="3393"/>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52"/>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52"/>
      <c r="Q11" s="1797" t="str">
        <f t="shared" si="6"/>
        <v>容积率</v>
      </c>
      <c r="R11" s="769" t="s">
        <v>21</v>
      </c>
      <c r="S11" s="770" t="e">
        <f t="shared" si="0"/>
        <v>#N/A</v>
      </c>
      <c r="T11" s="769" t="s">
        <v>21</v>
      </c>
      <c r="U11" s="770" t="e">
        <f t="shared" si="1"/>
        <v>#N/A</v>
      </c>
      <c r="V11" s="769" t="s">
        <v>21</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52"/>
      <c r="Q12" s="1797">
        <f t="shared" si="6"/>
        <v>111</v>
      </c>
      <c r="R12" s="769" t="s">
        <v>21</v>
      </c>
      <c r="S12" s="770">
        <f t="shared" si="0"/>
        <v>100</v>
      </c>
      <c r="T12" s="769" t="s">
        <v>21</v>
      </c>
      <c r="U12" s="770">
        <f t="shared" si="1"/>
        <v>100</v>
      </c>
      <c r="V12" s="769" t="s">
        <v>21</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52"/>
      <c r="Q13" s="1797">
        <f t="shared" si="6"/>
        <v>111</v>
      </c>
      <c r="R13" s="769" t="s">
        <v>21</v>
      </c>
      <c r="S13" s="770">
        <f t="shared" si="0"/>
        <v>100</v>
      </c>
      <c r="T13" s="769" t="s">
        <v>21</v>
      </c>
      <c r="U13" s="770">
        <f t="shared" si="1"/>
        <v>100</v>
      </c>
      <c r="V13" s="769" t="s">
        <v>21</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52"/>
      <c r="Q14" s="1797">
        <f t="shared" si="6"/>
        <v>111</v>
      </c>
      <c r="R14" s="769" t="s">
        <v>21</v>
      </c>
      <c r="S14" s="770">
        <f t="shared" si="0"/>
        <v>100</v>
      </c>
      <c r="T14" s="769" t="s">
        <v>21</v>
      </c>
      <c r="U14" s="770">
        <f t="shared" si="1"/>
        <v>100</v>
      </c>
      <c r="V14" s="769" t="s">
        <v>21</v>
      </c>
      <c r="W14" s="770">
        <f t="shared" si="2"/>
        <v>100</v>
      </c>
      <c r="X14" s="771"/>
      <c r="Y14" s="3198"/>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58" t="s">
        <v>2564</v>
      </c>
      <c r="Q15" s="1812" t="str">
        <f t="shared" si="6"/>
        <v>居住社区成熟度</v>
      </c>
      <c r="R15" s="773" t="s">
        <v>21</v>
      </c>
      <c r="S15" s="774">
        <f t="shared" si="0"/>
        <v>100</v>
      </c>
      <c r="T15" s="773" t="s">
        <v>21</v>
      </c>
      <c r="U15" s="774">
        <f t="shared" si="1"/>
        <v>100</v>
      </c>
      <c r="V15" s="773" t="s">
        <v>21</v>
      </c>
      <c r="W15" s="774">
        <f t="shared" si="2"/>
        <v>100</v>
      </c>
      <c r="X15" s="1815"/>
      <c r="Y15" s="3360"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59"/>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59"/>
      <c r="Q17" s="1812" t="str">
        <f>B17</f>
        <v>交通便捷度</v>
      </c>
      <c r="R17" s="773" t="s">
        <v>21</v>
      </c>
      <c r="S17" s="774">
        <f>F17</f>
        <v>100</v>
      </c>
      <c r="T17" s="773" t="s">
        <v>21</v>
      </c>
      <c r="U17" s="774">
        <f>H17</f>
        <v>100</v>
      </c>
      <c r="V17" s="773" t="s">
        <v>21</v>
      </c>
      <c r="W17" s="774">
        <f>J17</f>
        <v>100</v>
      </c>
      <c r="X17" s="1815"/>
      <c r="Y17" s="3361"/>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59"/>
      <c r="Q18" s="1812"/>
      <c r="R18" s="773"/>
      <c r="S18" s="774"/>
      <c r="T18" s="773"/>
      <c r="U18" s="774"/>
      <c r="V18" s="773"/>
      <c r="W18" s="774"/>
      <c r="X18" s="1815"/>
      <c r="Y18" s="3361"/>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59"/>
      <c r="Q19" s="1812" t="str">
        <f>B19</f>
        <v>公共配套设施</v>
      </c>
      <c r="R19" s="773" t="s">
        <v>21</v>
      </c>
      <c r="S19" s="774">
        <f>F19</f>
        <v>100</v>
      </c>
      <c r="T19" s="773" t="s">
        <v>21</v>
      </c>
      <c r="U19" s="774">
        <f>H19</f>
        <v>100</v>
      </c>
      <c r="V19" s="773" t="s">
        <v>21</v>
      </c>
      <c r="W19" s="774">
        <f>J19</f>
        <v>100</v>
      </c>
      <c r="X19" s="1815"/>
      <c r="Y19" s="3361"/>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59"/>
      <c r="Q20" s="1812"/>
      <c r="R20" s="773"/>
      <c r="S20" s="774"/>
      <c r="T20" s="773"/>
      <c r="U20" s="774"/>
      <c r="V20" s="773"/>
      <c r="W20" s="774"/>
      <c r="X20" s="1815"/>
      <c r="Y20" s="3361"/>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59"/>
      <c r="Q22" s="1812"/>
      <c r="R22" s="773"/>
      <c r="S22" s="774"/>
      <c r="T22" s="773"/>
      <c r="U22" s="774"/>
      <c r="V22" s="773"/>
      <c r="W22" s="774"/>
      <c r="X22" s="1815"/>
      <c r="Y22" s="3361"/>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59"/>
      <c r="Q23" s="1812" t="str">
        <f>B23</f>
        <v>自然及人文环境</v>
      </c>
      <c r="R23" s="773" t="s">
        <v>21</v>
      </c>
      <c r="S23" s="774">
        <f>F23</f>
        <v>100</v>
      </c>
      <c r="T23" s="773" t="s">
        <v>21</v>
      </c>
      <c r="U23" s="774">
        <f>H23</f>
        <v>100</v>
      </c>
      <c r="V23" s="773" t="s">
        <v>21</v>
      </c>
      <c r="W23" s="774">
        <f>J23</f>
        <v>100</v>
      </c>
      <c r="X23" s="1815"/>
      <c r="Y23" s="3361"/>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59"/>
      <c r="Q24" s="1812"/>
      <c r="R24" s="773"/>
      <c r="S24" s="774"/>
      <c r="T24" s="773"/>
      <c r="U24" s="774"/>
      <c r="V24" s="773"/>
      <c r="W24" s="774"/>
      <c r="X24" s="1815"/>
      <c r="Y24" s="3361"/>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5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61"/>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59"/>
      <c r="Q26" s="1812" t="str">
        <f t="shared" si="11"/>
        <v>朝向</v>
      </c>
      <c r="R26" s="773" t="s">
        <v>21</v>
      </c>
      <c r="S26" s="774">
        <f t="shared" si="12"/>
        <v>100</v>
      </c>
      <c r="T26" s="773" t="s">
        <v>21</v>
      </c>
      <c r="U26" s="774">
        <f t="shared" si="13"/>
        <v>100</v>
      </c>
      <c r="V26" s="773" t="s">
        <v>21</v>
      </c>
      <c r="W26" s="774">
        <f t="shared" si="14"/>
        <v>100</v>
      </c>
      <c r="X26" s="1815"/>
      <c r="Y26" s="336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59"/>
      <c r="Q27" s="1797">
        <f t="shared" si="11"/>
        <v>111</v>
      </c>
      <c r="R27" s="769" t="s">
        <v>21</v>
      </c>
      <c r="S27" s="770">
        <f t="shared" si="12"/>
        <v>100</v>
      </c>
      <c r="T27" s="769" t="s">
        <v>21</v>
      </c>
      <c r="U27" s="770">
        <f t="shared" si="13"/>
        <v>100</v>
      </c>
      <c r="V27" s="769" t="s">
        <v>21</v>
      </c>
      <c r="W27" s="770">
        <f t="shared" si="14"/>
        <v>100</v>
      </c>
      <c r="X27" s="771"/>
      <c r="Y27" s="336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59"/>
      <c r="Q28" s="1812">
        <f t="shared" si="11"/>
        <v>111</v>
      </c>
      <c r="R28" s="773" t="s">
        <v>21</v>
      </c>
      <c r="S28" s="774">
        <f t="shared" si="12"/>
        <v>100</v>
      </c>
      <c r="T28" s="773" t="s">
        <v>21</v>
      </c>
      <c r="U28" s="774">
        <f t="shared" si="13"/>
        <v>100</v>
      </c>
      <c r="V28" s="773" t="s">
        <v>21</v>
      </c>
      <c r="W28" s="774">
        <f t="shared" si="14"/>
        <v>100</v>
      </c>
      <c r="X28" s="1815"/>
      <c r="Y28" s="336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59"/>
      <c r="Q29" s="1812">
        <f t="shared" si="11"/>
        <v>111</v>
      </c>
      <c r="R29" s="773" t="s">
        <v>21</v>
      </c>
      <c r="S29" s="774">
        <f t="shared" si="12"/>
        <v>100</v>
      </c>
      <c r="T29" s="773" t="s">
        <v>21</v>
      </c>
      <c r="U29" s="774">
        <f t="shared" si="13"/>
        <v>100</v>
      </c>
      <c r="V29" s="773" t="s">
        <v>21</v>
      </c>
      <c r="W29" s="774">
        <f t="shared" si="14"/>
        <v>100</v>
      </c>
      <c r="X29" s="1815"/>
      <c r="Y29" s="336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59"/>
      <c r="Q30" s="1812">
        <f t="shared" si="11"/>
        <v>111</v>
      </c>
      <c r="R30" s="773" t="s">
        <v>21</v>
      </c>
      <c r="S30" s="774">
        <f t="shared" si="12"/>
        <v>100</v>
      </c>
      <c r="T30" s="773" t="s">
        <v>21</v>
      </c>
      <c r="U30" s="774">
        <f t="shared" si="13"/>
        <v>100</v>
      </c>
      <c r="V30" s="773" t="s">
        <v>21</v>
      </c>
      <c r="W30" s="774">
        <f t="shared" si="14"/>
        <v>100</v>
      </c>
      <c r="X30" s="1815"/>
      <c r="Y30" s="336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59"/>
      <c r="Q31" s="1812">
        <f t="shared" si="11"/>
        <v>111</v>
      </c>
      <c r="R31" s="773" t="s">
        <v>21</v>
      </c>
      <c r="S31" s="774">
        <f t="shared" si="12"/>
        <v>100</v>
      </c>
      <c r="T31" s="773" t="s">
        <v>21</v>
      </c>
      <c r="U31" s="774">
        <f t="shared" si="13"/>
        <v>100</v>
      </c>
      <c r="V31" s="773" t="s">
        <v>21</v>
      </c>
      <c r="W31" s="774">
        <f t="shared" si="14"/>
        <v>100</v>
      </c>
      <c r="X31" s="1815"/>
      <c r="Y31" s="3361"/>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62" t="s">
        <v>2569</v>
      </c>
      <c r="Q32" s="1812" t="str">
        <f t="shared" si="11"/>
        <v>建筑类型</v>
      </c>
      <c r="R32" s="773" t="s">
        <v>21</v>
      </c>
      <c r="S32" s="774">
        <f t="shared" si="12"/>
        <v>100</v>
      </c>
      <c r="T32" s="773" t="s">
        <v>21</v>
      </c>
      <c r="U32" s="774">
        <f t="shared" si="13"/>
        <v>100</v>
      </c>
      <c r="V32" s="773" t="s">
        <v>21</v>
      </c>
      <c r="W32" s="774">
        <f t="shared" si="14"/>
        <v>100</v>
      </c>
      <c r="X32" s="1815"/>
      <c r="Y32" s="3365"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63"/>
      <c r="Q33" s="775" t="str">
        <f t="shared" si="11"/>
        <v>项目建筑规模</v>
      </c>
      <c r="R33" s="776" t="s">
        <v>21</v>
      </c>
      <c r="S33" s="777" t="e">
        <f t="shared" si="12"/>
        <v>#N/A</v>
      </c>
      <c r="T33" s="776" t="s">
        <v>21</v>
      </c>
      <c r="U33" s="777" t="e">
        <f t="shared" si="13"/>
        <v>#N/A</v>
      </c>
      <c r="V33" s="776" t="s">
        <v>21</v>
      </c>
      <c r="W33" s="777" t="e">
        <f t="shared" si="14"/>
        <v>#N/A</v>
      </c>
      <c r="X33" s="778"/>
      <c r="Y33" s="3365"/>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63"/>
      <c r="Q34" s="1812" t="str">
        <f t="shared" si="11"/>
        <v>建筑结构</v>
      </c>
      <c r="R34" s="773" t="s">
        <v>21</v>
      </c>
      <c r="S34" s="774">
        <f t="shared" si="12"/>
        <v>100</v>
      </c>
      <c r="T34" s="773" t="s">
        <v>21</v>
      </c>
      <c r="U34" s="774">
        <f t="shared" si="13"/>
        <v>100</v>
      </c>
      <c r="V34" s="773" t="s">
        <v>21</v>
      </c>
      <c r="W34" s="774">
        <f t="shared" si="14"/>
        <v>100</v>
      </c>
      <c r="X34" s="1815"/>
      <c r="Y34" s="3365"/>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63"/>
      <c r="Q35" s="1812" t="str">
        <f t="shared" si="11"/>
        <v>建筑品质</v>
      </c>
      <c r="R35" s="773" t="s">
        <v>21</v>
      </c>
      <c r="S35" s="774">
        <f t="shared" si="12"/>
        <v>100</v>
      </c>
      <c r="T35" s="773" t="s">
        <v>21</v>
      </c>
      <c r="U35" s="774">
        <f t="shared" si="13"/>
        <v>100</v>
      </c>
      <c r="V35" s="773" t="s">
        <v>21</v>
      </c>
      <c r="W35" s="774">
        <f t="shared" si="14"/>
        <v>100</v>
      </c>
      <c r="X35" s="1815"/>
      <c r="Y35" s="3365"/>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63"/>
      <c r="Q36" s="1812" t="str">
        <f t="shared" si="11"/>
        <v>公共部分装修</v>
      </c>
      <c r="R36" s="773" t="s">
        <v>21</v>
      </c>
      <c r="S36" s="774">
        <f t="shared" si="12"/>
        <v>100</v>
      </c>
      <c r="T36" s="773" t="s">
        <v>21</v>
      </c>
      <c r="U36" s="774">
        <f t="shared" si="13"/>
        <v>100</v>
      </c>
      <c r="V36" s="773" t="s">
        <v>21</v>
      </c>
      <c r="W36" s="774">
        <f t="shared" si="14"/>
        <v>100</v>
      </c>
      <c r="X36" s="1815"/>
      <c r="Y36" s="3365"/>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63"/>
      <c r="Q37" s="1797" t="str">
        <f t="shared" si="11"/>
        <v>成新度</v>
      </c>
      <c r="R37" s="769" t="s">
        <v>21</v>
      </c>
      <c r="S37" s="770" t="e">
        <f t="shared" si="12"/>
        <v>#N/A</v>
      </c>
      <c r="T37" s="769" t="s">
        <v>21</v>
      </c>
      <c r="U37" s="770" t="e">
        <f t="shared" si="13"/>
        <v>#N/A</v>
      </c>
      <c r="V37" s="769" t="s">
        <v>21</v>
      </c>
      <c r="W37" s="770" t="e">
        <f t="shared" si="14"/>
        <v>#N/A</v>
      </c>
      <c r="X37" s="771"/>
      <c r="Y37" s="3365"/>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63" t="s">
        <v>2569</v>
      </c>
      <c r="Q38" s="1812" t="str">
        <f t="shared" si="11"/>
        <v>物业管理</v>
      </c>
      <c r="R38" s="773" t="s">
        <v>21</v>
      </c>
      <c r="S38" s="774">
        <f t="shared" si="12"/>
        <v>100</v>
      </c>
      <c r="T38" s="773" t="s">
        <v>21</v>
      </c>
      <c r="U38" s="774">
        <f t="shared" si="13"/>
        <v>100</v>
      </c>
      <c r="V38" s="773" t="s">
        <v>21</v>
      </c>
      <c r="W38" s="774">
        <f t="shared" si="14"/>
        <v>100</v>
      </c>
      <c r="X38" s="1815"/>
      <c r="Y38" s="3365"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63"/>
      <c r="Q39" s="1812" t="str">
        <f t="shared" si="11"/>
        <v>市政基础设施</v>
      </c>
      <c r="R39" s="773" t="s">
        <v>21</v>
      </c>
      <c r="S39" s="774">
        <f t="shared" si="12"/>
        <v>100</v>
      </c>
      <c r="T39" s="773" t="s">
        <v>21</v>
      </c>
      <c r="U39" s="774">
        <f t="shared" si="13"/>
        <v>100</v>
      </c>
      <c r="V39" s="773" t="s">
        <v>21</v>
      </c>
      <c r="W39" s="774">
        <f t="shared" si="14"/>
        <v>100</v>
      </c>
      <c r="X39" s="1815"/>
      <c r="Y39" s="3365"/>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63"/>
      <c r="Q40" s="1812" t="str">
        <f t="shared" si="11"/>
        <v>房型</v>
      </c>
      <c r="R40" s="773" t="s">
        <v>21</v>
      </c>
      <c r="S40" s="774">
        <f t="shared" si="12"/>
        <v>100</v>
      </c>
      <c r="T40" s="773" t="s">
        <v>21</v>
      </c>
      <c r="U40" s="774">
        <f t="shared" si="13"/>
        <v>100</v>
      </c>
      <c r="V40" s="773" t="s">
        <v>21</v>
      </c>
      <c r="W40" s="774">
        <f t="shared" si="14"/>
        <v>100</v>
      </c>
      <c r="X40" s="1815"/>
      <c r="Y40" s="3365"/>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63"/>
      <c r="Q41" s="775" t="str">
        <f t="shared" si="11"/>
        <v>单套/主力户型建筑面积</v>
      </c>
      <c r="R41" s="776" t="s">
        <v>21</v>
      </c>
      <c r="S41" s="777">
        <f t="shared" si="12"/>
        <v>100</v>
      </c>
      <c r="T41" s="776" t="s">
        <v>21</v>
      </c>
      <c r="U41" s="777">
        <f t="shared" si="13"/>
        <v>100</v>
      </c>
      <c r="V41" s="776" t="s">
        <v>21</v>
      </c>
      <c r="W41" s="777">
        <f t="shared" si="14"/>
        <v>100</v>
      </c>
      <c r="X41" s="778"/>
      <c r="Y41" s="3365"/>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63"/>
      <c r="Q42" s="1812" t="str">
        <f t="shared" si="11"/>
        <v>内部装修</v>
      </c>
      <c r="R42" s="773" t="s">
        <v>21</v>
      </c>
      <c r="S42" s="774">
        <f t="shared" si="12"/>
        <v>100</v>
      </c>
      <c r="T42" s="773" t="s">
        <v>21</v>
      </c>
      <c r="U42" s="774">
        <f t="shared" si="13"/>
        <v>100</v>
      </c>
      <c r="V42" s="773" t="s">
        <v>21</v>
      </c>
      <c r="W42" s="774">
        <f t="shared" si="14"/>
        <v>100</v>
      </c>
      <c r="X42" s="1815"/>
      <c r="Y42" s="3365"/>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63"/>
      <c r="Q43" s="1812" t="str">
        <f t="shared" si="11"/>
        <v>内部装修维护情况</v>
      </c>
      <c r="R43" s="773" t="s">
        <v>21</v>
      </c>
      <c r="S43" s="774">
        <f t="shared" si="12"/>
        <v>100</v>
      </c>
      <c r="T43" s="773" t="s">
        <v>21</v>
      </c>
      <c r="U43" s="774">
        <f t="shared" si="13"/>
        <v>100</v>
      </c>
      <c r="V43" s="773" t="s">
        <v>21</v>
      </c>
      <c r="W43" s="774">
        <f t="shared" si="14"/>
        <v>100</v>
      </c>
      <c r="X43" s="1815"/>
      <c r="Y43" s="3365"/>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63"/>
      <c r="Q44" s="1797">
        <f t="shared" si="11"/>
        <v>111</v>
      </c>
      <c r="R44" s="769" t="s">
        <v>21</v>
      </c>
      <c r="S44" s="770">
        <f t="shared" si="12"/>
        <v>100</v>
      </c>
      <c r="T44" s="769" t="s">
        <v>21</v>
      </c>
      <c r="U44" s="770">
        <f t="shared" si="13"/>
        <v>100</v>
      </c>
      <c r="V44" s="769" t="s">
        <v>21</v>
      </c>
      <c r="W44" s="770">
        <f t="shared" si="14"/>
        <v>100</v>
      </c>
      <c r="X44" s="771"/>
      <c r="Y44" s="336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63"/>
      <c r="Q45" s="1812">
        <f t="shared" si="11"/>
        <v>111</v>
      </c>
      <c r="R45" s="773" t="s">
        <v>21</v>
      </c>
      <c r="S45" s="774">
        <f t="shared" si="12"/>
        <v>100</v>
      </c>
      <c r="T45" s="773" t="s">
        <v>21</v>
      </c>
      <c r="U45" s="774">
        <f t="shared" si="13"/>
        <v>100</v>
      </c>
      <c r="V45" s="773" t="s">
        <v>21</v>
      </c>
      <c r="W45" s="774">
        <f t="shared" si="14"/>
        <v>100</v>
      </c>
      <c r="X45" s="1815"/>
      <c r="Y45" s="3365"/>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64"/>
      <c r="Q46" s="1812">
        <f t="shared" si="11"/>
        <v>111</v>
      </c>
      <c r="R46" s="773" t="s">
        <v>20</v>
      </c>
      <c r="S46" s="774">
        <f t="shared" si="12"/>
        <v>100</v>
      </c>
      <c r="T46" s="773" t="s">
        <v>20</v>
      </c>
      <c r="U46" s="774">
        <f t="shared" si="13"/>
        <v>100</v>
      </c>
      <c r="V46" s="773" t="s">
        <v>20</v>
      </c>
      <c r="W46" s="774">
        <f t="shared" si="14"/>
        <v>100</v>
      </c>
      <c r="X46" s="1815"/>
      <c r="Y46" s="3366"/>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53" t="str">
        <f>A47</f>
        <v>成交单价（元/平方米）</v>
      </c>
      <c r="Q47" s="3353"/>
      <c r="R47" s="3354">
        <f>E47</f>
        <v>0</v>
      </c>
      <c r="S47" s="3354"/>
      <c r="T47" s="3354">
        <f>G47</f>
        <v>0</v>
      </c>
      <c r="U47" s="3354"/>
      <c r="V47" s="3354">
        <f>I47</f>
        <v>0</v>
      </c>
      <c r="W47" s="3354"/>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31" t="str">
        <f>A49</f>
        <v>估价对象XX用房的比较价值（楼面单价，元/平方米）</v>
      </c>
      <c r="Q49" s="3432"/>
      <c r="R49" s="3433" t="e">
        <f>IF(F1="售价",ROUND(AVERAGE(R48:V48),0),ROUND(AVERAGE(R48:V48),1))</f>
        <v>#DIV/0!</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1641</v>
      </c>
      <c r="B2" s="3174" t="s">
        <v>1642</v>
      </c>
      <c r="C2" s="3174" t="s">
        <v>1643</v>
      </c>
      <c r="D2" s="3174" t="str">
        <f>'结果表（办公）'!D116</f>
        <v>出让国有建设用地使用权价值</v>
      </c>
      <c r="E2" s="3174"/>
      <c r="F2" s="3174" t="str">
        <f>'结果表（办公）'!F116</f>
        <v>在建建筑物价值</v>
      </c>
      <c r="G2" s="3174"/>
      <c r="H2" s="3174" t="str">
        <f>IF(项目基本情况!B9="房地产市场价值","房地产市场价值","房地产价值")</f>
        <v>房地产价值</v>
      </c>
      <c r="I2" s="3174"/>
    </row>
    <row r="3" spans="1:9" ht="15">
      <c r="A3" s="3168"/>
      <c r="B3" s="3168"/>
      <c r="C3" s="3168"/>
      <c r="D3" s="1046" t="s">
        <v>1638</v>
      </c>
      <c r="E3" s="1046" t="s">
        <v>1644</v>
      </c>
      <c r="F3" s="1046" t="s">
        <v>1638</v>
      </c>
      <c r="G3" s="1046" t="s">
        <v>1639</v>
      </c>
      <c r="H3" s="1046" t="s">
        <v>1638</v>
      </c>
      <c r="I3" s="1046" t="s">
        <v>1639</v>
      </c>
    </row>
    <row r="4" spans="1:9" ht="15">
      <c r="A4" s="1975" t="str">
        <f>项目基本情况!S2</f>
        <v>北京市房地产</v>
      </c>
      <c r="B4" s="1046">
        <f>项目基本情况!C17</f>
        <v>191.05</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822</v>
      </c>
      <c r="I4" s="1046">
        <f ca="1">'结果表（办公）'!I118</f>
        <v>43016</v>
      </c>
    </row>
    <row r="5" spans="1:9" ht="30" customHeight="1">
      <c r="A5" s="3168" t="s">
        <v>1640</v>
      </c>
      <c r="B5" s="3168"/>
      <c r="C5" s="3168"/>
      <c r="D5" s="3169" t="e">
        <f ca="1">'结果表（办公）'!D119</f>
        <v>#REF!</v>
      </c>
      <c r="E5" s="3169"/>
      <c r="F5" s="3169" t="e">
        <f ca="1">'结果表（办公）'!F119</f>
        <v>#REF!</v>
      </c>
      <c r="G5" s="3169"/>
      <c r="H5" s="3169" t="str">
        <f ca="1">'结果表（办公）'!H119</f>
        <v>捌佰贰拾贰万元整</v>
      </c>
      <c r="I5" s="3169"/>
    </row>
    <row r="6" spans="1:9" ht="15.75">
      <c r="A6" s="3167" t="str">
        <f>'结果表（办公）'!A120</f>
        <v>估价师知悉的法定优先受偿款</v>
      </c>
      <c r="B6" s="3167"/>
      <c r="C6" s="3167"/>
      <c r="D6" s="3167">
        <f>'结果表（办公）'!D120</f>
        <v>0</v>
      </c>
      <c r="E6" s="3167"/>
      <c r="F6" s="3167"/>
      <c r="G6" s="3167"/>
      <c r="H6" s="3167"/>
      <c r="I6" s="3167"/>
    </row>
    <row r="7" spans="1:9" ht="15">
      <c r="A7" s="3168" t="s">
        <v>1640</v>
      </c>
      <c r="B7" s="3168"/>
      <c r="C7" s="3168"/>
      <c r="D7" s="3170" t="str">
        <f>'结果表（办公）'!D121</f>
        <v>零元整</v>
      </c>
      <c r="E7" s="3171"/>
      <c r="F7" s="3171"/>
      <c r="G7" s="3171"/>
      <c r="H7" s="3171"/>
      <c r="I7" s="3172"/>
    </row>
    <row r="8" spans="1:9" ht="15.75">
      <c r="A8" s="3167" t="str">
        <f>'结果表（办公）'!A122</f>
        <v>房地产抵押价值</v>
      </c>
      <c r="B8" s="3167"/>
      <c r="C8" s="3167"/>
      <c r="D8" s="3167">
        <f ca="1">'结果表（办公）'!D122</f>
        <v>822</v>
      </c>
      <c r="E8" s="3167"/>
      <c r="F8" s="3167"/>
      <c r="G8" s="3167"/>
      <c r="H8" s="3167"/>
      <c r="I8" s="3167"/>
    </row>
    <row r="9" spans="1:9" ht="15">
      <c r="A9" s="3168" t="s">
        <v>1640</v>
      </c>
      <c r="B9" s="3168"/>
      <c r="C9" s="3168"/>
      <c r="D9" s="3169" t="str">
        <f ca="1">'结果表（办公）'!D123</f>
        <v>捌佰贰拾贰万元整</v>
      </c>
      <c r="E9" s="3169"/>
      <c r="F9" s="3169"/>
      <c r="G9" s="3169"/>
      <c r="H9" s="3169"/>
      <c r="I9" s="3169"/>
    </row>
    <row r="10" spans="1:9" ht="15.75">
      <c r="A10" s="3167" t="str">
        <f>'结果表（办公）'!A124</f>
        <v/>
      </c>
      <c r="B10" s="3167"/>
      <c r="C10" s="3167"/>
      <c r="D10" s="3167" t="str">
        <f>'结果表（办公）'!D124</f>
        <v>——</v>
      </c>
      <c r="E10" s="3167"/>
      <c r="F10" s="3167"/>
      <c r="G10" s="3167"/>
      <c r="H10" s="3167"/>
      <c r="I10" s="3167"/>
    </row>
    <row r="11" spans="1:9" ht="15">
      <c r="A11" s="3168" t="s">
        <v>1640</v>
      </c>
      <c r="B11" s="3168"/>
      <c r="C11" s="3168"/>
      <c r="D11" s="3169" t="e">
        <f>'结果表（办公）'!D125</f>
        <v>#VALUE!</v>
      </c>
      <c r="E11" s="3169"/>
      <c r="F11" s="3169"/>
      <c r="G11" s="3169"/>
      <c r="H11" s="3169"/>
      <c r="I11" s="3169"/>
    </row>
    <row r="12" spans="1:9" ht="15.75">
      <c r="A12" s="3167" t="str">
        <f>'结果表（办公）'!A126</f>
        <v/>
      </c>
      <c r="B12" s="3167"/>
      <c r="C12" s="3167"/>
      <c r="D12" s="3167" t="str">
        <f>'结果表（办公）'!D126</f>
        <v>——</v>
      </c>
      <c r="E12" s="3167"/>
      <c r="F12" s="3167"/>
      <c r="G12" s="3167"/>
      <c r="H12" s="3167"/>
      <c r="I12" s="3167"/>
    </row>
    <row r="13" spans="1:9" ht="15.75" thickBot="1">
      <c r="A13" s="3164" t="s">
        <v>1640</v>
      </c>
      <c r="B13" s="3164"/>
      <c r="C13" s="3164"/>
      <c r="D13" s="3165" t="e">
        <f>'结果表（办公）'!D127</f>
        <v>#VALUE!</v>
      </c>
      <c r="E13" s="3165"/>
      <c r="F13" s="3165"/>
      <c r="G13" s="3165"/>
      <c r="H13" s="3165"/>
      <c r="I13" s="3165"/>
    </row>
    <row r="14" spans="1:9" ht="15" thickTop="1">
      <c r="A14" s="3166" t="s">
        <v>1645</v>
      </c>
      <c r="B14" s="3166"/>
      <c r="C14" s="3166"/>
      <c r="D14" s="3166"/>
      <c r="E14" s="3166"/>
      <c r="F14" s="3166"/>
      <c r="G14" s="3166"/>
      <c r="H14" s="3166"/>
      <c r="I14" s="316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3315</v>
      </c>
      <c r="E1" s="2662"/>
      <c r="F1" s="2589" t="s">
        <v>3102</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387" t="s">
        <v>2652</v>
      </c>
      <c r="AC4" s="3434" t="s">
        <v>2653</v>
      </c>
    </row>
    <row r="5" spans="1:29" ht="15">
      <c r="A5" s="403"/>
      <c r="B5" s="404"/>
      <c r="C5" s="3441" t="s">
        <v>2546</v>
      </c>
      <c r="D5" s="3391"/>
      <c r="E5" s="3402" t="s">
        <v>3118</v>
      </c>
      <c r="F5" s="3403"/>
      <c r="G5" s="3390" t="s">
        <v>3162</v>
      </c>
      <c r="H5" s="3391"/>
      <c r="I5" s="3390" t="s">
        <v>3119</v>
      </c>
      <c r="J5" s="3391"/>
      <c r="K5" s="609"/>
      <c r="L5" s="1132"/>
      <c r="M5" s="1133"/>
      <c r="N5" s="1133"/>
      <c r="O5" s="1133"/>
      <c r="P5" s="3437"/>
      <c r="Q5" s="3377"/>
      <c r="R5" s="3382"/>
      <c r="S5" s="3383"/>
      <c r="T5" s="3382"/>
      <c r="U5" s="3383"/>
      <c r="V5" s="3387"/>
      <c r="W5" s="3387"/>
      <c r="X5" s="1815"/>
      <c r="Y5" s="3382"/>
      <c r="Z5" s="3383"/>
      <c r="AA5" s="3400"/>
      <c r="AB5" s="3387"/>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387"/>
      <c r="AC6" s="3401"/>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94"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772">
        <f>D7/J7</f>
        <v>1</v>
      </c>
    </row>
    <row r="8" spans="1:29" s="117" customFormat="1" ht="15.75" thickBot="1">
      <c r="A8" s="407" t="s">
        <v>2554</v>
      </c>
      <c r="B8" s="408"/>
      <c r="C8" s="413" t="s">
        <v>2656</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94" t="s">
        <v>2556</v>
      </c>
      <c r="Q8" s="3393"/>
      <c r="R8" s="769" t="s">
        <v>17</v>
      </c>
      <c r="S8" s="770">
        <f t="shared" si="0"/>
        <v>100</v>
      </c>
      <c r="T8" s="769" t="s">
        <v>17</v>
      </c>
      <c r="U8" s="770">
        <f t="shared" si="1"/>
        <v>100</v>
      </c>
      <c r="V8" s="769" t="s">
        <v>17</v>
      </c>
      <c r="W8" s="770">
        <f t="shared" si="2"/>
        <v>100</v>
      </c>
      <c r="X8" s="771"/>
      <c r="Y8" s="3394" t="s">
        <v>2556</v>
      </c>
      <c r="Z8" s="3393"/>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52"/>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52"/>
      <c r="Q11" s="1797" t="str">
        <f t="shared" si="6"/>
        <v>容积率</v>
      </c>
      <c r="R11" s="769" t="s">
        <v>17</v>
      </c>
      <c r="S11" s="770">
        <f t="shared" si="0"/>
        <v>100</v>
      </c>
      <c r="T11" s="769" t="s">
        <v>17</v>
      </c>
      <c r="U11" s="770">
        <f t="shared" si="1"/>
        <v>100</v>
      </c>
      <c r="V11" s="769" t="s">
        <v>17</v>
      </c>
      <c r="W11" s="770">
        <f t="shared" si="2"/>
        <v>100</v>
      </c>
      <c r="X11" s="771"/>
      <c r="Y11" s="3198"/>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52"/>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52"/>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52"/>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58" t="s">
        <v>2564</v>
      </c>
      <c r="Q15" s="1812" t="str">
        <f t="shared" si="6"/>
        <v>商业繁华度</v>
      </c>
      <c r="R15" s="773" t="s">
        <v>17</v>
      </c>
      <c r="S15" s="774">
        <f t="shared" si="0"/>
        <v>95</v>
      </c>
      <c r="T15" s="773" t="s">
        <v>17</v>
      </c>
      <c r="U15" s="774">
        <f t="shared" si="1"/>
        <v>95</v>
      </c>
      <c r="V15" s="773" t="s">
        <v>17</v>
      </c>
      <c r="W15" s="774">
        <f t="shared" si="2"/>
        <v>95</v>
      </c>
      <c r="X15" s="1815"/>
      <c r="Y15" s="3360"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59"/>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59"/>
      <c r="Q17" s="1812" t="str">
        <f>B17</f>
        <v>交通便捷度</v>
      </c>
      <c r="R17" s="773" t="s">
        <v>17</v>
      </c>
      <c r="S17" s="774">
        <f>F17</f>
        <v>97</v>
      </c>
      <c r="T17" s="773" t="s">
        <v>17</v>
      </c>
      <c r="U17" s="774">
        <f>H17</f>
        <v>97</v>
      </c>
      <c r="V17" s="773" t="s">
        <v>17</v>
      </c>
      <c r="W17" s="774">
        <f>J17</f>
        <v>97</v>
      </c>
      <c r="X17" s="1815"/>
      <c r="Y17" s="3361"/>
      <c r="Z17" s="1816" t="str">
        <f>Q17</f>
        <v>交通便捷度</v>
      </c>
      <c r="AA17" s="1813">
        <f t="shared" si="3"/>
        <v>1.0309278350515463</v>
      </c>
      <c r="AB17" s="1813">
        <f t="shared" si="4"/>
        <v>1.0309278350515463</v>
      </c>
      <c r="AC17" s="1813">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59"/>
      <c r="Q18" s="1812"/>
      <c r="R18" s="773"/>
      <c r="S18" s="774"/>
      <c r="T18" s="773"/>
      <c r="U18" s="774"/>
      <c r="V18" s="773"/>
      <c r="W18" s="774"/>
      <c r="X18" s="1815"/>
      <c r="Y18" s="3361"/>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59"/>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1813">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59"/>
      <c r="Q20" s="1812"/>
      <c r="R20" s="773"/>
      <c r="S20" s="774"/>
      <c r="T20" s="773"/>
      <c r="U20" s="774"/>
      <c r="V20" s="773"/>
      <c r="W20" s="774"/>
      <c r="X20" s="1815"/>
      <c r="Y20" s="3361"/>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59"/>
      <c r="Q22" s="1812"/>
      <c r="R22" s="773"/>
      <c r="S22" s="774"/>
      <c r="T22" s="773"/>
      <c r="U22" s="774"/>
      <c r="V22" s="773"/>
      <c r="W22" s="774"/>
      <c r="X22" s="1815"/>
      <c r="Y22" s="3361"/>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59"/>
      <c r="Q23" s="1812" t="str">
        <f>B23</f>
        <v>自然及人文环境</v>
      </c>
      <c r="R23" s="773" t="s">
        <v>17</v>
      </c>
      <c r="S23" s="774">
        <f>F23</f>
        <v>97</v>
      </c>
      <c r="T23" s="773" t="s">
        <v>17</v>
      </c>
      <c r="U23" s="774">
        <f>H23</f>
        <v>97</v>
      </c>
      <c r="V23" s="773" t="s">
        <v>17</v>
      </c>
      <c r="W23" s="774">
        <f>J23</f>
        <v>97</v>
      </c>
      <c r="X23" s="1815"/>
      <c r="Y23" s="3361"/>
      <c r="Z23" s="1816" t="str">
        <f>Q23</f>
        <v>自然及人文环境</v>
      </c>
      <c r="AA23" s="1813">
        <f t="shared" si="3"/>
        <v>1.0309278350515463</v>
      </c>
      <c r="AB23" s="1813">
        <f t="shared" si="4"/>
        <v>1.0309278350515463</v>
      </c>
      <c r="AC23" s="1813">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59"/>
      <c r="Q24" s="1812"/>
      <c r="R24" s="773"/>
      <c r="S24" s="774"/>
      <c r="T24" s="773"/>
      <c r="U24" s="774"/>
      <c r="V24" s="773"/>
      <c r="W24" s="774"/>
      <c r="X24" s="1815"/>
      <c r="Y24" s="3361"/>
      <c r="Z24" s="1816"/>
      <c r="AA24" s="1813">
        <v>1</v>
      </c>
      <c r="AB24" s="1813">
        <v>1</v>
      </c>
      <c r="AC24" s="1813">
        <v>1</v>
      </c>
    </row>
    <row r="25" spans="1:29" ht="15">
      <c r="A25" s="427"/>
      <c r="B25" s="421"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59"/>
      <c r="Q25" s="1812" t="str">
        <f t="shared" ref="Q25:Q46" si="11">B25</f>
        <v>临街状况</v>
      </c>
      <c r="R25" s="773" t="s">
        <v>17</v>
      </c>
      <c r="S25" s="774">
        <f>F25</f>
        <v>110</v>
      </c>
      <c r="T25" s="773" t="s">
        <v>17</v>
      </c>
      <c r="U25" s="774">
        <f>H25</f>
        <v>100</v>
      </c>
      <c r="V25" s="773" t="s">
        <v>17</v>
      </c>
      <c r="W25" s="774">
        <f>J25</f>
        <v>100</v>
      </c>
      <c r="X25" s="1815"/>
      <c r="Y25" s="3361"/>
      <c r="Z25" s="1816" t="str">
        <f>Q25</f>
        <v>临街状况</v>
      </c>
      <c r="AA25" s="1813">
        <f t="shared" si="3"/>
        <v>0.90909090909090906</v>
      </c>
      <c r="AB25" s="1813">
        <f t="shared" si="4"/>
        <v>1</v>
      </c>
      <c r="AC25" s="1813">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59"/>
      <c r="Q26" s="1812" t="str">
        <f t="shared" si="11"/>
        <v>平面位置/可视性</v>
      </c>
      <c r="R26" s="773" t="s">
        <v>17</v>
      </c>
      <c r="S26" s="774">
        <f>F26</f>
        <v>100</v>
      </c>
      <c r="T26" s="773" t="s">
        <v>17</v>
      </c>
      <c r="U26" s="774">
        <f>H26</f>
        <v>100</v>
      </c>
      <c r="V26" s="773" t="s">
        <v>17</v>
      </c>
      <c r="W26" s="774">
        <f>J26</f>
        <v>100</v>
      </c>
      <c r="X26" s="1815"/>
      <c r="Y26" s="3361"/>
      <c r="Z26" s="1816" t="str">
        <f>Q26</f>
        <v>平面位置/可视性</v>
      </c>
      <c r="AA26" s="1813">
        <f t="shared" si="3"/>
        <v>1</v>
      </c>
      <c r="AB26" s="1813">
        <f t="shared" si="4"/>
        <v>1</v>
      </c>
      <c r="AC26" s="1813">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59"/>
      <c r="Q27" s="1797" t="str">
        <f t="shared" si="11"/>
        <v>人流量</v>
      </c>
      <c r="R27" s="769" t="s">
        <v>17</v>
      </c>
      <c r="S27" s="770">
        <f>F27</f>
        <v>100</v>
      </c>
      <c r="T27" s="769" t="s">
        <v>17</v>
      </c>
      <c r="U27" s="770">
        <f>H27</f>
        <v>97</v>
      </c>
      <c r="V27" s="769" t="s">
        <v>17</v>
      </c>
      <c r="W27" s="770">
        <f>J27</f>
        <v>97</v>
      </c>
      <c r="X27" s="771"/>
      <c r="Y27" s="3361"/>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6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9"/>
      <c r="Q29" s="1812">
        <f t="shared" si="11"/>
        <v>111</v>
      </c>
      <c r="R29" s="773" t="s">
        <v>17</v>
      </c>
      <c r="S29" s="774">
        <f t="shared" si="12"/>
        <v>100</v>
      </c>
      <c r="T29" s="773" t="s">
        <v>17</v>
      </c>
      <c r="U29" s="774">
        <f t="shared" si="13"/>
        <v>100</v>
      </c>
      <c r="V29" s="773" t="s">
        <v>17</v>
      </c>
      <c r="W29" s="774">
        <f t="shared" si="14"/>
        <v>100</v>
      </c>
      <c r="X29" s="1815"/>
      <c r="Y29" s="336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9"/>
      <c r="Q30" s="1812">
        <f t="shared" si="11"/>
        <v>111</v>
      </c>
      <c r="R30" s="773" t="s">
        <v>17</v>
      </c>
      <c r="S30" s="774">
        <f t="shared" si="12"/>
        <v>100</v>
      </c>
      <c r="T30" s="773" t="s">
        <v>17</v>
      </c>
      <c r="U30" s="774">
        <f t="shared" si="13"/>
        <v>100</v>
      </c>
      <c r="V30" s="773" t="s">
        <v>17</v>
      </c>
      <c r="W30" s="774">
        <f t="shared" si="14"/>
        <v>100</v>
      </c>
      <c r="X30" s="1815"/>
      <c r="Y30" s="336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9"/>
      <c r="Q31" s="1812">
        <f t="shared" si="11"/>
        <v>111</v>
      </c>
      <c r="R31" s="773" t="s">
        <v>17</v>
      </c>
      <c r="S31" s="774">
        <f t="shared" si="12"/>
        <v>100</v>
      </c>
      <c r="T31" s="773" t="s">
        <v>17</v>
      </c>
      <c r="U31" s="774">
        <f t="shared" si="13"/>
        <v>100</v>
      </c>
      <c r="V31" s="773" t="s">
        <v>17</v>
      </c>
      <c r="W31" s="774">
        <f t="shared" si="14"/>
        <v>100</v>
      </c>
      <c r="X31" s="1815"/>
      <c r="Y31" s="3361"/>
      <c r="Z31" s="1816">
        <f t="shared" si="15"/>
        <v>111</v>
      </c>
      <c r="AA31" s="1813">
        <f t="shared" si="3"/>
        <v>1</v>
      </c>
      <c r="AB31" s="1813">
        <f t="shared" si="4"/>
        <v>1</v>
      </c>
      <c r="AC31" s="1813">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62" t="s">
        <v>2569</v>
      </c>
      <c r="Q32" s="1812" t="str">
        <f t="shared" si="11"/>
        <v>商业类型</v>
      </c>
      <c r="R32" s="773" t="s">
        <v>17</v>
      </c>
      <c r="S32" s="774">
        <f t="shared" si="12"/>
        <v>110</v>
      </c>
      <c r="T32" s="773" t="s">
        <v>17</v>
      </c>
      <c r="U32" s="774">
        <f t="shared" si="13"/>
        <v>105</v>
      </c>
      <c r="V32" s="773" t="s">
        <v>17</v>
      </c>
      <c r="W32" s="774">
        <f t="shared" si="14"/>
        <v>100</v>
      </c>
      <c r="X32" s="1815"/>
      <c r="Y32" s="3365"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63"/>
      <c r="Q33" s="775" t="str">
        <f t="shared" si="11"/>
        <v>项目建筑规模</v>
      </c>
      <c r="R33" s="776" t="s">
        <v>17</v>
      </c>
      <c r="S33" s="777">
        <f t="shared" si="12"/>
        <v>98</v>
      </c>
      <c r="T33" s="776" t="s">
        <v>17</v>
      </c>
      <c r="U33" s="777">
        <f t="shared" si="13"/>
        <v>100</v>
      </c>
      <c r="V33" s="776" t="s">
        <v>17</v>
      </c>
      <c r="W33" s="777">
        <f t="shared" si="14"/>
        <v>102</v>
      </c>
      <c r="X33" s="778"/>
      <c r="Y33" s="3365"/>
      <c r="Z33" s="779" t="str">
        <f t="shared" si="15"/>
        <v>项目建筑规模</v>
      </c>
      <c r="AA33" s="1813">
        <f t="shared" si="3"/>
        <v>1.0204081632653061</v>
      </c>
      <c r="AB33" s="1813">
        <f t="shared" si="4"/>
        <v>1</v>
      </c>
      <c r="AC33" s="1813">
        <f t="shared" si="5"/>
        <v>0.98039215686274506</v>
      </c>
    </row>
    <row r="34" spans="1:29" ht="15">
      <c r="A34" s="471"/>
      <c r="B34" s="421"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63"/>
      <c r="Q34" s="1812" t="str">
        <f t="shared" si="11"/>
        <v>建筑结构</v>
      </c>
      <c r="R34" s="773" t="s">
        <v>17</v>
      </c>
      <c r="S34" s="774">
        <f t="shared" si="12"/>
        <v>100</v>
      </c>
      <c r="T34" s="773" t="s">
        <v>17</v>
      </c>
      <c r="U34" s="774">
        <f t="shared" si="13"/>
        <v>100</v>
      </c>
      <c r="V34" s="773" t="s">
        <v>17</v>
      </c>
      <c r="W34" s="774">
        <f t="shared" si="14"/>
        <v>100</v>
      </c>
      <c r="X34" s="1815"/>
      <c r="Y34" s="3365"/>
      <c r="Z34" s="1816" t="str">
        <f t="shared" si="15"/>
        <v>建筑结构</v>
      </c>
      <c r="AA34" s="1813">
        <f t="shared" si="3"/>
        <v>1</v>
      </c>
      <c r="AB34" s="1813">
        <f t="shared" si="4"/>
        <v>1</v>
      </c>
      <c r="AC34" s="1813">
        <f t="shared" si="5"/>
        <v>1</v>
      </c>
    </row>
    <row r="35" spans="1:29" ht="15">
      <c r="A35" s="471"/>
      <c r="B35" s="421"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63"/>
      <c r="Q35" s="1812" t="str">
        <f t="shared" si="11"/>
        <v>公共部分装修</v>
      </c>
      <c r="R35" s="773" t="s">
        <v>17</v>
      </c>
      <c r="S35" s="774">
        <f t="shared" si="12"/>
        <v>103</v>
      </c>
      <c r="T35" s="773" t="s">
        <v>17</v>
      </c>
      <c r="U35" s="774">
        <f t="shared" si="13"/>
        <v>103</v>
      </c>
      <c r="V35" s="773" t="s">
        <v>17</v>
      </c>
      <c r="W35" s="774">
        <f t="shared" si="14"/>
        <v>103</v>
      </c>
      <c r="X35" s="1815"/>
      <c r="Y35" s="3365"/>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63"/>
      <c r="Q36" s="1812" t="str">
        <f t="shared" si="11"/>
        <v>成新度</v>
      </c>
      <c r="R36" s="773" t="s">
        <v>17</v>
      </c>
      <c r="S36" s="774">
        <f t="shared" si="12"/>
        <v>98</v>
      </c>
      <c r="T36" s="773" t="s">
        <v>17</v>
      </c>
      <c r="U36" s="774">
        <f t="shared" si="13"/>
        <v>98</v>
      </c>
      <c r="V36" s="773" t="s">
        <v>17</v>
      </c>
      <c r="W36" s="774">
        <f t="shared" si="14"/>
        <v>98</v>
      </c>
      <c r="X36" s="1815"/>
      <c r="Y36" s="3365"/>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63"/>
      <c r="Q37" s="1797" t="str">
        <f t="shared" si="11"/>
        <v>市政基础设施</v>
      </c>
      <c r="R37" s="769" t="s">
        <v>17</v>
      </c>
      <c r="S37" s="770">
        <f t="shared" si="12"/>
        <v>100</v>
      </c>
      <c r="T37" s="769" t="s">
        <v>17</v>
      </c>
      <c r="U37" s="770">
        <f t="shared" si="13"/>
        <v>100</v>
      </c>
      <c r="V37" s="769" t="s">
        <v>17</v>
      </c>
      <c r="W37" s="770">
        <f t="shared" si="14"/>
        <v>100</v>
      </c>
      <c r="X37" s="771"/>
      <c r="Y37" s="3365"/>
      <c r="Z37" s="55" t="str">
        <f t="shared" si="15"/>
        <v>市政基础设施</v>
      </c>
      <c r="AA37" s="772">
        <f t="shared" si="3"/>
        <v>1</v>
      </c>
      <c r="AB37" s="772">
        <f t="shared" si="4"/>
        <v>1</v>
      </c>
      <c r="AC37" s="772">
        <f t="shared" si="5"/>
        <v>1</v>
      </c>
    </row>
    <row r="38" spans="1:29" ht="15">
      <c r="A38" s="471"/>
      <c r="B38" s="421"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63" t="s">
        <v>2569</v>
      </c>
      <c r="Q38" s="1812" t="str">
        <f t="shared" si="11"/>
        <v>业态</v>
      </c>
      <c r="R38" s="773" t="s">
        <v>17</v>
      </c>
      <c r="S38" s="774">
        <f t="shared" si="12"/>
        <v>100</v>
      </c>
      <c r="T38" s="773" t="s">
        <v>17</v>
      </c>
      <c r="U38" s="774">
        <f t="shared" si="13"/>
        <v>100</v>
      </c>
      <c r="V38" s="773" t="s">
        <v>17</v>
      </c>
      <c r="W38" s="774">
        <f t="shared" si="14"/>
        <v>100</v>
      </c>
      <c r="X38" s="1815"/>
      <c r="Y38" s="3365"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63"/>
      <c r="Q39" s="1812" t="str">
        <f t="shared" si="11"/>
        <v>层高</v>
      </c>
      <c r="R39" s="773" t="s">
        <v>17</v>
      </c>
      <c r="S39" s="774">
        <f t="shared" si="12"/>
        <v>100</v>
      </c>
      <c r="T39" s="773" t="s">
        <v>17</v>
      </c>
      <c r="U39" s="774">
        <f t="shared" si="13"/>
        <v>100</v>
      </c>
      <c r="V39" s="773" t="s">
        <v>17</v>
      </c>
      <c r="W39" s="774">
        <f t="shared" si="14"/>
        <v>100</v>
      </c>
      <c r="X39" s="1815"/>
      <c r="Y39" s="3365"/>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63"/>
      <c r="Q40" s="1812" t="str">
        <f t="shared" si="11"/>
        <v>单套建筑面积</v>
      </c>
      <c r="R40" s="773" t="s">
        <v>17</v>
      </c>
      <c r="S40" s="774">
        <f t="shared" si="12"/>
        <v>100</v>
      </c>
      <c r="T40" s="773" t="s">
        <v>17</v>
      </c>
      <c r="U40" s="774">
        <f t="shared" si="13"/>
        <v>100</v>
      </c>
      <c r="V40" s="773" t="s">
        <v>17</v>
      </c>
      <c r="W40" s="774">
        <f t="shared" si="14"/>
        <v>100</v>
      </c>
      <c r="X40" s="1815"/>
      <c r="Y40" s="3365"/>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63"/>
      <c r="Q41" s="775" t="str">
        <f t="shared" si="11"/>
        <v>进深比</v>
      </c>
      <c r="R41" s="776" t="s">
        <v>17</v>
      </c>
      <c r="S41" s="777">
        <f t="shared" si="12"/>
        <v>100</v>
      </c>
      <c r="T41" s="776" t="s">
        <v>17</v>
      </c>
      <c r="U41" s="777">
        <f t="shared" si="13"/>
        <v>100</v>
      </c>
      <c r="V41" s="776" t="s">
        <v>17</v>
      </c>
      <c r="W41" s="777">
        <f t="shared" si="14"/>
        <v>100</v>
      </c>
      <c r="X41" s="778"/>
      <c r="Y41" s="3365"/>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63"/>
      <c r="Q42" s="1812" t="str">
        <f t="shared" si="11"/>
        <v>内部装修</v>
      </c>
      <c r="R42" s="773" t="s">
        <v>17</v>
      </c>
      <c r="S42" s="774">
        <f t="shared" si="12"/>
        <v>100</v>
      </c>
      <c r="T42" s="773" t="s">
        <v>17</v>
      </c>
      <c r="U42" s="774">
        <f t="shared" si="13"/>
        <v>100</v>
      </c>
      <c r="V42" s="773" t="s">
        <v>17</v>
      </c>
      <c r="W42" s="774">
        <f t="shared" si="14"/>
        <v>100</v>
      </c>
      <c r="X42" s="1815"/>
      <c r="Y42" s="3365"/>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63"/>
      <c r="Q43" s="1812" t="str">
        <f t="shared" si="11"/>
        <v>内部装修维护情况</v>
      </c>
      <c r="R43" s="773" t="s">
        <v>17</v>
      </c>
      <c r="S43" s="774">
        <f t="shared" si="12"/>
        <v>100</v>
      </c>
      <c r="T43" s="773" t="s">
        <v>17</v>
      </c>
      <c r="U43" s="774">
        <f t="shared" si="13"/>
        <v>100</v>
      </c>
      <c r="V43" s="773" t="s">
        <v>17</v>
      </c>
      <c r="W43" s="774">
        <f t="shared" si="14"/>
        <v>100</v>
      </c>
      <c r="X43" s="1815"/>
      <c r="Y43" s="3365"/>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63"/>
      <c r="Q44" s="1797">
        <f t="shared" si="11"/>
        <v>111</v>
      </c>
      <c r="R44" s="769" t="s">
        <v>17</v>
      </c>
      <c r="S44" s="770">
        <f t="shared" si="12"/>
        <v>100</v>
      </c>
      <c r="T44" s="769" t="s">
        <v>17</v>
      </c>
      <c r="U44" s="770">
        <f t="shared" si="13"/>
        <v>100</v>
      </c>
      <c r="V44" s="769" t="s">
        <v>17</v>
      </c>
      <c r="W44" s="770">
        <f t="shared" si="14"/>
        <v>100</v>
      </c>
      <c r="X44" s="771"/>
      <c r="Y44" s="336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63"/>
      <c r="Q45" s="1812">
        <f t="shared" si="11"/>
        <v>111</v>
      </c>
      <c r="R45" s="773" t="s">
        <v>17</v>
      </c>
      <c r="S45" s="774">
        <f t="shared" si="12"/>
        <v>100</v>
      </c>
      <c r="T45" s="773" t="s">
        <v>17</v>
      </c>
      <c r="U45" s="774">
        <f t="shared" si="13"/>
        <v>100</v>
      </c>
      <c r="V45" s="773" t="s">
        <v>17</v>
      </c>
      <c r="W45" s="774">
        <f t="shared" si="14"/>
        <v>100</v>
      </c>
      <c r="X45" s="1815"/>
      <c r="Y45" s="3365"/>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64"/>
      <c r="Q46" s="1812">
        <f t="shared" si="11"/>
        <v>111</v>
      </c>
      <c r="R46" s="773" t="s">
        <v>17</v>
      </c>
      <c r="S46" s="774">
        <f t="shared" si="12"/>
        <v>100</v>
      </c>
      <c r="T46" s="773" t="s">
        <v>17</v>
      </c>
      <c r="U46" s="774">
        <f t="shared" si="13"/>
        <v>100</v>
      </c>
      <c r="V46" s="773" t="s">
        <v>17</v>
      </c>
      <c r="W46" s="774">
        <f t="shared" si="14"/>
        <v>100</v>
      </c>
      <c r="X46" s="1815"/>
      <c r="Y46" s="3366"/>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53" t="str">
        <f>A47</f>
        <v>成交单价（元/平方米）</v>
      </c>
      <c r="Q47" s="3353"/>
      <c r="R47" s="3387">
        <f>E47</f>
        <v>63500</v>
      </c>
      <c r="S47" s="3387"/>
      <c r="T47" s="3387">
        <f>G47</f>
        <v>53500</v>
      </c>
      <c r="U47" s="3387"/>
      <c r="V47" s="3387">
        <f>I47</f>
        <v>49000</v>
      </c>
      <c r="W47" s="3387"/>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53" t="str">
        <f>A48</f>
        <v>比较价值（元/平方米）</v>
      </c>
      <c r="Q48" s="3353"/>
      <c r="R48" s="3354">
        <f>IF(F1="售价",ROUND(PRODUCT(R47,AA7:AA46),0),ROUND(PRODUCT(R47,AA7:AA46),1))</f>
        <v>59352</v>
      </c>
      <c r="S48" s="3354"/>
      <c r="T48" s="3354">
        <f>IF(F1="售价",ROUND(PRODUCT(T47,AB7:AB46),0),ROUND(PRODUCT(T47,AB7:AB46),1))</f>
        <v>58219</v>
      </c>
      <c r="U48" s="3354"/>
      <c r="V48" s="3354">
        <f>IF(F1="售价",ROUND(PRODUCT(V47,AC7:AC46),0),ROUND(PRODUCT(V47,AC7:AC46),1))</f>
        <v>54890</v>
      </c>
      <c r="W48" s="3354"/>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3136</v>
      </c>
      <c r="D90" s="3032" t="s">
        <v>3137</v>
      </c>
      <c r="E90" s="3032" t="s">
        <v>3138</v>
      </c>
      <c r="F90" s="3032" t="s">
        <v>3139</v>
      </c>
      <c r="G90" s="3032" t="s">
        <v>3140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191.05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60" t="s">
        <v>2564</v>
      </c>
      <c r="Q15" s="1812" t="str">
        <f t="shared" si="6"/>
        <v>产业集聚程度</v>
      </c>
      <c r="R15" s="773" t="s">
        <v>17</v>
      </c>
      <c r="S15" s="774">
        <f t="shared" si="0"/>
        <v>100</v>
      </c>
      <c r="T15" s="773" t="s">
        <v>17</v>
      </c>
      <c r="U15" s="774">
        <f t="shared" si="1"/>
        <v>100</v>
      </c>
      <c r="V15" s="773" t="s">
        <v>17</v>
      </c>
      <c r="W15" s="774">
        <f t="shared" si="2"/>
        <v>100</v>
      </c>
      <c r="X15" s="1815"/>
      <c r="Y15" s="3360"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61"/>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61"/>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61"/>
      <c r="Q18" s="1812"/>
      <c r="R18" s="773"/>
      <c r="S18" s="774"/>
      <c r="T18" s="773"/>
      <c r="U18" s="774"/>
      <c r="V18" s="773"/>
      <c r="W18" s="774"/>
      <c r="X18" s="1815"/>
      <c r="Y18" s="3361"/>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61"/>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61"/>
      <c r="Q20" s="1812"/>
      <c r="R20" s="773"/>
      <c r="S20" s="774"/>
      <c r="T20" s="773"/>
      <c r="U20" s="774"/>
      <c r="V20" s="773"/>
      <c r="W20" s="774"/>
      <c r="X20" s="1815"/>
      <c r="Y20" s="3361"/>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61"/>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61"/>
      <c r="Q22" s="1812"/>
      <c r="R22" s="773"/>
      <c r="S22" s="774"/>
      <c r="T22" s="773"/>
      <c r="U22" s="774"/>
      <c r="V22" s="773"/>
      <c r="W22" s="774"/>
      <c r="X22" s="1815"/>
      <c r="Y22" s="3361"/>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61"/>
      <c r="Q23" s="1812" t="str">
        <f>B23</f>
        <v>环境质量</v>
      </c>
      <c r="R23" s="773" t="s">
        <v>17</v>
      </c>
      <c r="S23" s="774">
        <f>F23</f>
        <v>100</v>
      </c>
      <c r="T23" s="773" t="s">
        <v>17</v>
      </c>
      <c r="U23" s="774">
        <f>H23</f>
        <v>100</v>
      </c>
      <c r="V23" s="773" t="s">
        <v>17</v>
      </c>
      <c r="W23" s="774">
        <f>J23</f>
        <v>100</v>
      </c>
      <c r="X23" s="1815"/>
      <c r="Y23" s="3361"/>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61"/>
      <c r="Q24" s="1812"/>
      <c r="R24" s="773"/>
      <c r="S24" s="774"/>
      <c r="T24" s="773"/>
      <c r="U24" s="774"/>
      <c r="V24" s="773"/>
      <c r="W24" s="774"/>
      <c r="X24" s="1815"/>
      <c r="Y24" s="336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61"/>
      <c r="Q25" s="1812">
        <f>B25</f>
        <v>111</v>
      </c>
      <c r="R25" s="773" t="s">
        <v>17</v>
      </c>
      <c r="S25" s="774">
        <f>F25</f>
        <v>100</v>
      </c>
      <c r="T25" s="773" t="s">
        <v>17</v>
      </c>
      <c r="U25" s="774">
        <f>H25</f>
        <v>100</v>
      </c>
      <c r="V25" s="773" t="s">
        <v>17</v>
      </c>
      <c r="W25" s="774">
        <f>J25</f>
        <v>100</v>
      </c>
      <c r="X25" s="1815"/>
      <c r="Y25" s="336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61"/>
      <c r="Q26" s="1812">
        <f t="shared" ref="Q26:Q40" si="11">B26</f>
        <v>111</v>
      </c>
      <c r="R26" s="773" t="s">
        <v>17</v>
      </c>
      <c r="S26" s="774">
        <f>F26</f>
        <v>100</v>
      </c>
      <c r="T26" s="773" t="s">
        <v>17</v>
      </c>
      <c r="U26" s="774">
        <f>H26</f>
        <v>100</v>
      </c>
      <c r="V26" s="773" t="s">
        <v>17</v>
      </c>
      <c r="W26" s="774">
        <f>J26</f>
        <v>100</v>
      </c>
      <c r="X26" s="1815"/>
      <c r="Y26" s="336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61"/>
      <c r="Q27" s="1797">
        <f t="shared" si="11"/>
        <v>111</v>
      </c>
      <c r="R27" s="769" t="s">
        <v>17</v>
      </c>
      <c r="S27" s="770">
        <f>F27</f>
        <v>100</v>
      </c>
      <c r="T27" s="769" t="s">
        <v>17</v>
      </c>
      <c r="U27" s="770">
        <f>H27</f>
        <v>100</v>
      </c>
      <c r="V27" s="769" t="s">
        <v>17</v>
      </c>
      <c r="W27" s="770">
        <f>J27</f>
        <v>100</v>
      </c>
      <c r="X27" s="771"/>
      <c r="Y27" s="336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61"/>
      <c r="Q28" s="1812">
        <f t="shared" si="11"/>
        <v>111</v>
      </c>
      <c r="R28" s="773" t="s">
        <v>17</v>
      </c>
      <c r="S28" s="774">
        <f t="shared" ref="S28:S40" si="12">F28</f>
        <v>100</v>
      </c>
      <c r="T28" s="773" t="s">
        <v>17</v>
      </c>
      <c r="U28" s="774">
        <f t="shared" ref="U28:U40" si="13">H28</f>
        <v>100</v>
      </c>
      <c r="V28" s="773" t="s">
        <v>17</v>
      </c>
      <c r="W28" s="774">
        <f t="shared" ref="W28:W40" si="14">J28</f>
        <v>100</v>
      </c>
      <c r="X28" s="1815"/>
      <c r="Y28" s="3361"/>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45" t="s">
        <v>2569</v>
      </c>
      <c r="Q29" s="1812" t="str">
        <f t="shared" si="11"/>
        <v>建筑类型</v>
      </c>
      <c r="R29" s="773" t="s">
        <v>17</v>
      </c>
      <c r="S29" s="774">
        <f t="shared" si="12"/>
        <v>100</v>
      </c>
      <c r="T29" s="773" t="s">
        <v>17</v>
      </c>
      <c r="U29" s="774">
        <f t="shared" si="13"/>
        <v>100</v>
      </c>
      <c r="V29" s="773" t="s">
        <v>17</v>
      </c>
      <c r="W29" s="774">
        <f t="shared" si="14"/>
        <v>100</v>
      </c>
      <c r="X29" s="1815"/>
      <c r="Y29" s="3365"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65"/>
      <c r="Q30" s="775" t="str">
        <f t="shared" si="11"/>
        <v>项目建筑规模</v>
      </c>
      <c r="R30" s="776" t="s">
        <v>17</v>
      </c>
      <c r="S30" s="777" t="e">
        <f t="shared" si="12"/>
        <v>#N/A</v>
      </c>
      <c r="T30" s="776" t="s">
        <v>17</v>
      </c>
      <c r="U30" s="777" t="e">
        <f t="shared" si="13"/>
        <v>#N/A</v>
      </c>
      <c r="V30" s="776" t="s">
        <v>17</v>
      </c>
      <c r="W30" s="777" t="e">
        <f t="shared" si="14"/>
        <v>#N/A</v>
      </c>
      <c r="X30" s="778"/>
      <c r="Y30" s="3365"/>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65"/>
      <c r="Q31" s="1812" t="str">
        <f t="shared" si="11"/>
        <v>建筑结构</v>
      </c>
      <c r="R31" s="773" t="s">
        <v>17</v>
      </c>
      <c r="S31" s="774">
        <f t="shared" si="12"/>
        <v>100</v>
      </c>
      <c r="T31" s="773" t="s">
        <v>17</v>
      </c>
      <c r="U31" s="774">
        <f t="shared" si="13"/>
        <v>100</v>
      </c>
      <c r="V31" s="773" t="s">
        <v>17</v>
      </c>
      <c r="W31" s="774">
        <f t="shared" si="14"/>
        <v>100</v>
      </c>
      <c r="X31" s="1815"/>
      <c r="Y31" s="3365"/>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65"/>
      <c r="Q32" s="1812" t="str">
        <f t="shared" si="11"/>
        <v>公共部分装修</v>
      </c>
      <c r="R32" s="773" t="s">
        <v>17</v>
      </c>
      <c r="S32" s="774">
        <f t="shared" si="12"/>
        <v>100</v>
      </c>
      <c r="T32" s="773" t="s">
        <v>17</v>
      </c>
      <c r="U32" s="774">
        <f t="shared" si="13"/>
        <v>100</v>
      </c>
      <c r="V32" s="773" t="s">
        <v>17</v>
      </c>
      <c r="W32" s="774">
        <f t="shared" si="14"/>
        <v>100</v>
      </c>
      <c r="X32" s="1815"/>
      <c r="Y32" s="3365"/>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65"/>
      <c r="Q33" s="1812" t="str">
        <f t="shared" si="11"/>
        <v>成新度</v>
      </c>
      <c r="R33" s="773" t="s">
        <v>17</v>
      </c>
      <c r="S33" s="774" t="e">
        <f t="shared" si="12"/>
        <v>#N/A</v>
      </c>
      <c r="T33" s="773" t="s">
        <v>17</v>
      </c>
      <c r="U33" s="774" t="e">
        <f t="shared" si="13"/>
        <v>#N/A</v>
      </c>
      <c r="V33" s="773" t="s">
        <v>17</v>
      </c>
      <c r="W33" s="774" t="e">
        <f t="shared" si="14"/>
        <v>#N/A</v>
      </c>
      <c r="X33" s="1815"/>
      <c r="Y33" s="3365"/>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65"/>
      <c r="Q34" s="1797" t="str">
        <f t="shared" si="11"/>
        <v>物业管理</v>
      </c>
      <c r="R34" s="769" t="s">
        <v>17</v>
      </c>
      <c r="S34" s="770">
        <f t="shared" si="12"/>
        <v>100</v>
      </c>
      <c r="T34" s="769" t="s">
        <v>17</v>
      </c>
      <c r="U34" s="770">
        <f t="shared" si="13"/>
        <v>100</v>
      </c>
      <c r="V34" s="769" t="s">
        <v>17</v>
      </c>
      <c r="W34" s="770">
        <f t="shared" si="14"/>
        <v>100</v>
      </c>
      <c r="X34" s="771"/>
      <c r="Y34" s="3365"/>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65" t="s">
        <v>2569</v>
      </c>
      <c r="Q35" s="1812" t="str">
        <f t="shared" si="11"/>
        <v>市政基础设施</v>
      </c>
      <c r="R35" s="773" t="s">
        <v>17</v>
      </c>
      <c r="S35" s="774">
        <f t="shared" si="12"/>
        <v>100</v>
      </c>
      <c r="T35" s="773" t="s">
        <v>17</v>
      </c>
      <c r="U35" s="774">
        <f t="shared" si="13"/>
        <v>100</v>
      </c>
      <c r="V35" s="773" t="s">
        <v>17</v>
      </c>
      <c r="W35" s="774">
        <f t="shared" si="14"/>
        <v>100</v>
      </c>
      <c r="X35" s="1815"/>
      <c r="Y35" s="3365"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65"/>
      <c r="Q36" s="1812" t="str">
        <f t="shared" si="11"/>
        <v>内部装修</v>
      </c>
      <c r="R36" s="773" t="s">
        <v>17</v>
      </c>
      <c r="S36" s="774">
        <f t="shared" si="12"/>
        <v>100</v>
      </c>
      <c r="T36" s="773" t="s">
        <v>17</v>
      </c>
      <c r="U36" s="774">
        <f t="shared" si="13"/>
        <v>100</v>
      </c>
      <c r="V36" s="773" t="s">
        <v>17</v>
      </c>
      <c r="W36" s="774">
        <f t="shared" si="14"/>
        <v>100</v>
      </c>
      <c r="X36" s="1815"/>
      <c r="Y36" s="3365"/>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65"/>
      <c r="Q37" s="1812" t="str">
        <f t="shared" si="11"/>
        <v>内部装修状况</v>
      </c>
      <c r="R37" s="773" t="s">
        <v>17</v>
      </c>
      <c r="S37" s="774">
        <f t="shared" si="12"/>
        <v>100</v>
      </c>
      <c r="T37" s="773" t="s">
        <v>17</v>
      </c>
      <c r="U37" s="774">
        <f t="shared" si="13"/>
        <v>100</v>
      </c>
      <c r="V37" s="773" t="s">
        <v>17</v>
      </c>
      <c r="W37" s="774">
        <f t="shared" si="14"/>
        <v>100</v>
      </c>
      <c r="X37" s="1815"/>
      <c r="Y37" s="336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65"/>
      <c r="Q38" s="775">
        <f t="shared" si="11"/>
        <v>111</v>
      </c>
      <c r="R38" s="776" t="s">
        <v>17</v>
      </c>
      <c r="S38" s="777">
        <f t="shared" si="12"/>
        <v>100</v>
      </c>
      <c r="T38" s="776" t="s">
        <v>17</v>
      </c>
      <c r="U38" s="777">
        <f t="shared" si="13"/>
        <v>100</v>
      </c>
      <c r="V38" s="776" t="s">
        <v>17</v>
      </c>
      <c r="W38" s="777">
        <f t="shared" si="14"/>
        <v>100</v>
      </c>
      <c r="X38" s="778"/>
      <c r="Y38" s="336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65"/>
      <c r="Q39" s="1812">
        <f t="shared" si="11"/>
        <v>111</v>
      </c>
      <c r="R39" s="773" t="s">
        <v>17</v>
      </c>
      <c r="S39" s="774">
        <f t="shared" si="12"/>
        <v>100</v>
      </c>
      <c r="T39" s="773" t="s">
        <v>17</v>
      </c>
      <c r="U39" s="774">
        <f t="shared" si="13"/>
        <v>100</v>
      </c>
      <c r="V39" s="773" t="s">
        <v>17</v>
      </c>
      <c r="W39" s="774">
        <f t="shared" si="14"/>
        <v>100</v>
      </c>
      <c r="X39" s="1815"/>
      <c r="Y39" s="3365"/>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66"/>
      <c r="Q40" s="1812">
        <f t="shared" si="11"/>
        <v>111</v>
      </c>
      <c r="R40" s="773" t="s">
        <v>17</v>
      </c>
      <c r="S40" s="774">
        <f t="shared" si="12"/>
        <v>100</v>
      </c>
      <c r="T40" s="773" t="s">
        <v>17</v>
      </c>
      <c r="U40" s="774">
        <f t="shared" si="13"/>
        <v>100</v>
      </c>
      <c r="V40" s="773" t="s">
        <v>17</v>
      </c>
      <c r="W40" s="774">
        <f t="shared" si="14"/>
        <v>100</v>
      </c>
      <c r="X40" s="1815"/>
      <c r="Y40" s="3366"/>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53" t="str">
        <f>A41</f>
        <v>成交单价（元/平方米）</v>
      </c>
      <c r="Q41" s="3353"/>
      <c r="R41" s="3354">
        <f>E41</f>
        <v>0</v>
      </c>
      <c r="S41" s="3354"/>
      <c r="T41" s="3354">
        <f>G41</f>
        <v>0</v>
      </c>
      <c r="U41" s="3354"/>
      <c r="V41" s="3354">
        <f>I41</f>
        <v>0</v>
      </c>
      <c r="W41" s="3354"/>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31" t="str">
        <f>A43</f>
        <v>估价对象XX用房的比较价值（楼面单价，元/平方米）</v>
      </c>
      <c r="Q43" s="3432"/>
      <c r="R43" s="3433" t="e">
        <f>IF(F1="售价",ROUND(AVERAGE(R42:V42),0),ROUND(AVERAGE(R42:V42),1))</f>
        <v>#DIV/0!</v>
      </c>
      <c r="S43" s="3433"/>
      <c r="T43" s="3433"/>
      <c r="U43" s="3433"/>
      <c r="V43" s="3433"/>
      <c r="W43" s="34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94" t="s">
        <v>2553</v>
      </c>
      <c r="Q7" s="3395"/>
      <c r="R7" s="769" t="s">
        <v>17</v>
      </c>
      <c r="S7" s="770">
        <f t="shared" ref="S7:S14" si="0">F7</f>
        <v>0</v>
      </c>
      <c r="T7" s="769" t="s">
        <v>17</v>
      </c>
      <c r="U7" s="770">
        <f t="shared" ref="U7:U14" si="1">H7</f>
        <v>0</v>
      </c>
      <c r="V7" s="769" t="s">
        <v>17</v>
      </c>
      <c r="W7" s="770">
        <f t="shared" ref="W7:W14" si="2">J7</f>
        <v>0</v>
      </c>
      <c r="X7" s="771"/>
      <c r="Y7" s="3394" t="s">
        <v>2553</v>
      </c>
      <c r="Z7" s="3393"/>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53" t="s">
        <v>2559</v>
      </c>
      <c r="Q9" s="1797" t="str">
        <f t="shared" ref="Q9:Q14" si="6">B9</f>
        <v>用途</v>
      </c>
      <c r="R9" s="769" t="s">
        <v>17</v>
      </c>
      <c r="S9" s="770">
        <f t="shared" si="0"/>
        <v>100</v>
      </c>
      <c r="T9" s="769" t="s">
        <v>17</v>
      </c>
      <c r="U9" s="770">
        <f t="shared" si="1"/>
        <v>100</v>
      </c>
      <c r="V9" s="769" t="s">
        <v>17</v>
      </c>
      <c r="W9" s="770">
        <f t="shared" si="2"/>
        <v>100</v>
      </c>
      <c r="X9" s="771"/>
      <c r="Y9" s="3198"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53"/>
      <c r="Q11" s="1797">
        <f t="shared" si="6"/>
        <v>111</v>
      </c>
      <c r="R11" s="769" t="s">
        <v>17</v>
      </c>
      <c r="S11" s="770">
        <f t="shared" si="0"/>
        <v>100</v>
      </c>
      <c r="T11" s="769" t="s">
        <v>17</v>
      </c>
      <c r="U11" s="770">
        <f t="shared" si="1"/>
        <v>100</v>
      </c>
      <c r="V11" s="769" t="s">
        <v>17</v>
      </c>
      <c r="W11" s="770">
        <f t="shared" si="2"/>
        <v>100</v>
      </c>
      <c r="X11" s="771"/>
      <c r="Y11" s="319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60" t="s">
        <v>2564</v>
      </c>
      <c r="Q14" s="1812" t="str">
        <f t="shared" si="6"/>
        <v>交通便捷度</v>
      </c>
      <c r="R14" s="773" t="s">
        <v>17</v>
      </c>
      <c r="S14" s="774">
        <f t="shared" si="0"/>
        <v>100</v>
      </c>
      <c r="T14" s="773" t="s">
        <v>17</v>
      </c>
      <c r="U14" s="774">
        <f t="shared" si="1"/>
        <v>100</v>
      </c>
      <c r="V14" s="773" t="s">
        <v>17</v>
      </c>
      <c r="W14" s="774">
        <f t="shared" si="2"/>
        <v>100</v>
      </c>
      <c r="X14" s="1815"/>
      <c r="Y14" s="3360"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61"/>
      <c r="Q15" s="1812"/>
      <c r="R15" s="773"/>
      <c r="S15" s="774"/>
      <c r="T15" s="773"/>
      <c r="U15" s="774"/>
      <c r="V15" s="773"/>
      <c r="W15" s="774"/>
      <c r="X15" s="1815"/>
      <c r="Y15" s="3361"/>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61"/>
      <c r="Q16" s="1812" t="str">
        <f>B16</f>
        <v>公共配套设施</v>
      </c>
      <c r="R16" s="773" t="s">
        <v>17</v>
      </c>
      <c r="S16" s="774">
        <f>F16</f>
        <v>100</v>
      </c>
      <c r="T16" s="773" t="s">
        <v>17</v>
      </c>
      <c r="U16" s="774">
        <f>H16</f>
        <v>100</v>
      </c>
      <c r="V16" s="773" t="s">
        <v>17</v>
      </c>
      <c r="W16" s="774">
        <f>J16</f>
        <v>100</v>
      </c>
      <c r="X16" s="1815"/>
      <c r="Y16" s="3361"/>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61"/>
      <c r="Q17" s="1812"/>
      <c r="R17" s="773"/>
      <c r="S17" s="774"/>
      <c r="T17" s="773"/>
      <c r="U17" s="774"/>
      <c r="V17" s="773"/>
      <c r="W17" s="774"/>
      <c r="X17" s="1815"/>
      <c r="Y17" s="3361"/>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61"/>
      <c r="Q18" s="1812" t="str">
        <f>B18</f>
        <v>基础设施水平</v>
      </c>
      <c r="R18" s="773" t="s">
        <v>17</v>
      </c>
      <c r="S18" s="774">
        <f>F18</f>
        <v>100</v>
      </c>
      <c r="T18" s="773" t="s">
        <v>17</v>
      </c>
      <c r="U18" s="774">
        <f>H18</f>
        <v>100</v>
      </c>
      <c r="V18" s="773" t="s">
        <v>17</v>
      </c>
      <c r="W18" s="774">
        <f>J18</f>
        <v>100</v>
      </c>
      <c r="X18" s="1815"/>
      <c r="Y18" s="3361"/>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61"/>
      <c r="Q19" s="1812"/>
      <c r="R19" s="773"/>
      <c r="S19" s="774"/>
      <c r="T19" s="773"/>
      <c r="U19" s="774"/>
      <c r="V19" s="773"/>
      <c r="W19" s="774"/>
      <c r="X19" s="1815"/>
      <c r="Y19" s="3361"/>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61"/>
      <c r="Q20" s="1812" t="str">
        <f>B20</f>
        <v>自然及人文环境</v>
      </c>
      <c r="R20" s="773" t="s">
        <v>17</v>
      </c>
      <c r="S20" s="774">
        <f>F20</f>
        <v>100</v>
      </c>
      <c r="T20" s="773" t="s">
        <v>17</v>
      </c>
      <c r="U20" s="774">
        <f>H20</f>
        <v>100</v>
      </c>
      <c r="V20" s="773" t="s">
        <v>17</v>
      </c>
      <c r="W20" s="774">
        <f>J20</f>
        <v>100</v>
      </c>
      <c r="X20" s="1815"/>
      <c r="Y20" s="336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61"/>
      <c r="Q21" s="1812"/>
      <c r="R21" s="773"/>
      <c r="S21" s="774"/>
      <c r="T21" s="773"/>
      <c r="U21" s="774"/>
      <c r="V21" s="773"/>
      <c r="W21" s="774"/>
      <c r="X21" s="1815"/>
      <c r="Y21" s="3361"/>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61"/>
      <c r="Q22" s="1812" t="str">
        <f>B22</f>
        <v>楼层</v>
      </c>
      <c r="R22" s="773" t="s">
        <v>17</v>
      </c>
      <c r="S22" s="774">
        <f>F22</f>
        <v>100</v>
      </c>
      <c r="T22" s="773" t="s">
        <v>17</v>
      </c>
      <c r="U22" s="774">
        <f>H22</f>
        <v>100</v>
      </c>
      <c r="V22" s="773" t="s">
        <v>17</v>
      </c>
      <c r="W22" s="774">
        <f>J22</f>
        <v>100</v>
      </c>
      <c r="X22" s="1815"/>
      <c r="Y22" s="336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61"/>
      <c r="Q23" s="1812">
        <f>B23</f>
        <v>111</v>
      </c>
      <c r="R23" s="773" t="s">
        <v>17</v>
      </c>
      <c r="S23" s="774">
        <f>F23</f>
        <v>100</v>
      </c>
      <c r="T23" s="773" t="s">
        <v>17</v>
      </c>
      <c r="U23" s="774">
        <f>H23</f>
        <v>100</v>
      </c>
      <c r="V23" s="773" t="s">
        <v>17</v>
      </c>
      <c r="W23" s="774">
        <f>J23</f>
        <v>100</v>
      </c>
      <c r="X23" s="1815"/>
      <c r="Y23" s="336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61"/>
      <c r="Q24" s="1812">
        <f t="shared" ref="Q24:Q36" si="11">B24</f>
        <v>111</v>
      </c>
      <c r="R24" s="773" t="s">
        <v>17</v>
      </c>
      <c r="S24" s="774">
        <f>F24</f>
        <v>100</v>
      </c>
      <c r="T24" s="773" t="s">
        <v>17</v>
      </c>
      <c r="U24" s="774">
        <f>H24</f>
        <v>100</v>
      </c>
      <c r="V24" s="773" t="s">
        <v>17</v>
      </c>
      <c r="W24" s="774">
        <f>J24</f>
        <v>100</v>
      </c>
      <c r="X24" s="1815"/>
      <c r="Y24" s="336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61"/>
      <c r="Q25" s="1797">
        <f t="shared" si="11"/>
        <v>111</v>
      </c>
      <c r="R25" s="769" t="s">
        <v>17</v>
      </c>
      <c r="S25" s="770">
        <f>F25</f>
        <v>100</v>
      </c>
      <c r="T25" s="769" t="s">
        <v>17</v>
      </c>
      <c r="U25" s="770">
        <f>H25</f>
        <v>100</v>
      </c>
      <c r="V25" s="769" t="s">
        <v>17</v>
      </c>
      <c r="W25" s="770">
        <f>J25</f>
        <v>100</v>
      </c>
      <c r="X25" s="771"/>
      <c r="Y25" s="3361"/>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45"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65"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65"/>
      <c r="Q27" s="775" t="str">
        <f t="shared" si="11"/>
        <v>项目停车位配比</v>
      </c>
      <c r="R27" s="776" t="s">
        <v>17</v>
      </c>
      <c r="S27" s="777">
        <f t="shared" si="12"/>
        <v>100</v>
      </c>
      <c r="T27" s="776" t="s">
        <v>17</v>
      </c>
      <c r="U27" s="777">
        <f t="shared" si="13"/>
        <v>100</v>
      </c>
      <c r="V27" s="776" t="s">
        <v>17</v>
      </c>
      <c r="W27" s="777">
        <f t="shared" si="14"/>
        <v>100</v>
      </c>
      <c r="X27" s="778"/>
      <c r="Y27" s="3365"/>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65"/>
      <c r="Q28" s="1812" t="str">
        <f t="shared" si="11"/>
        <v>公共部分装修</v>
      </c>
      <c r="R28" s="773" t="s">
        <v>17</v>
      </c>
      <c r="S28" s="774">
        <f t="shared" si="12"/>
        <v>100</v>
      </c>
      <c r="T28" s="773" t="s">
        <v>17</v>
      </c>
      <c r="U28" s="774">
        <f t="shared" si="13"/>
        <v>100</v>
      </c>
      <c r="V28" s="773" t="s">
        <v>17</v>
      </c>
      <c r="W28" s="774">
        <f t="shared" si="14"/>
        <v>100</v>
      </c>
      <c r="X28" s="1815"/>
      <c r="Y28" s="3365"/>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65"/>
      <c r="Q29" s="1812" t="str">
        <f t="shared" si="11"/>
        <v>成新率</v>
      </c>
      <c r="R29" s="773" t="s">
        <v>17</v>
      </c>
      <c r="S29" s="774" t="e">
        <f t="shared" si="12"/>
        <v>#N/A</v>
      </c>
      <c r="T29" s="773" t="s">
        <v>17</v>
      </c>
      <c r="U29" s="774" t="e">
        <f t="shared" si="13"/>
        <v>#N/A</v>
      </c>
      <c r="V29" s="773" t="s">
        <v>17</v>
      </c>
      <c r="W29" s="774" t="e">
        <f t="shared" si="14"/>
        <v>#N/A</v>
      </c>
      <c r="X29" s="1815"/>
      <c r="Y29" s="3365"/>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65"/>
      <c r="Q30" s="1812" t="str">
        <f t="shared" si="11"/>
        <v>物业等级</v>
      </c>
      <c r="R30" s="773" t="s">
        <v>17</v>
      </c>
      <c r="S30" s="774">
        <f t="shared" si="12"/>
        <v>100</v>
      </c>
      <c r="T30" s="773" t="s">
        <v>17</v>
      </c>
      <c r="U30" s="774">
        <f t="shared" si="13"/>
        <v>100</v>
      </c>
      <c r="V30" s="773" t="s">
        <v>17</v>
      </c>
      <c r="W30" s="774">
        <f t="shared" si="14"/>
        <v>100</v>
      </c>
      <c r="X30" s="1815"/>
      <c r="Y30" s="3365"/>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65"/>
      <c r="Q31" s="1797" t="str">
        <f t="shared" si="11"/>
        <v>停车位面积</v>
      </c>
      <c r="R31" s="769" t="s">
        <v>17</v>
      </c>
      <c r="S31" s="770" t="e">
        <f t="shared" si="12"/>
        <v>#N/A</v>
      </c>
      <c r="T31" s="769" t="s">
        <v>17</v>
      </c>
      <c r="U31" s="770" t="e">
        <f t="shared" si="13"/>
        <v>#N/A</v>
      </c>
      <c r="V31" s="769" t="s">
        <v>17</v>
      </c>
      <c r="W31" s="770" t="e">
        <f t="shared" si="14"/>
        <v>#N/A</v>
      </c>
      <c r="X31" s="771"/>
      <c r="Y31" s="3365"/>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65" t="s">
        <v>2569</v>
      </c>
      <c r="Q32" s="1812" t="str">
        <f t="shared" si="11"/>
        <v>车位类型</v>
      </c>
      <c r="R32" s="773" t="s">
        <v>17</v>
      </c>
      <c r="S32" s="774">
        <f t="shared" si="12"/>
        <v>100</v>
      </c>
      <c r="T32" s="773" t="s">
        <v>17</v>
      </c>
      <c r="U32" s="774">
        <f t="shared" si="13"/>
        <v>100</v>
      </c>
      <c r="V32" s="773" t="s">
        <v>17</v>
      </c>
      <c r="W32" s="774">
        <f t="shared" si="14"/>
        <v>100</v>
      </c>
      <c r="X32" s="1815"/>
      <c r="Y32" s="3365"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65"/>
      <c r="Q33" s="1812" t="str">
        <f t="shared" si="11"/>
        <v>是否直接入户</v>
      </c>
      <c r="R33" s="773" t="s">
        <v>17</v>
      </c>
      <c r="S33" s="774">
        <f t="shared" si="12"/>
        <v>100</v>
      </c>
      <c r="T33" s="773" t="s">
        <v>17</v>
      </c>
      <c r="U33" s="774">
        <f t="shared" si="13"/>
        <v>100</v>
      </c>
      <c r="V33" s="773" t="s">
        <v>17</v>
      </c>
      <c r="W33" s="774">
        <f t="shared" si="14"/>
        <v>100</v>
      </c>
      <c r="X33" s="1815"/>
      <c r="Y33" s="336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65"/>
      <c r="Q34" s="1812">
        <f t="shared" si="11"/>
        <v>111</v>
      </c>
      <c r="R34" s="773" t="s">
        <v>17</v>
      </c>
      <c r="S34" s="774">
        <f t="shared" si="12"/>
        <v>100</v>
      </c>
      <c r="T34" s="773" t="s">
        <v>17</v>
      </c>
      <c r="U34" s="774">
        <f t="shared" si="13"/>
        <v>100</v>
      </c>
      <c r="V34" s="773" t="s">
        <v>17</v>
      </c>
      <c r="W34" s="774">
        <f t="shared" si="14"/>
        <v>100</v>
      </c>
      <c r="X34" s="1815"/>
      <c r="Y34" s="336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65"/>
      <c r="Q35" s="775">
        <f t="shared" si="11"/>
        <v>111</v>
      </c>
      <c r="R35" s="776" t="s">
        <v>17</v>
      </c>
      <c r="S35" s="777">
        <f t="shared" si="12"/>
        <v>100</v>
      </c>
      <c r="T35" s="776" t="s">
        <v>17</v>
      </c>
      <c r="U35" s="777">
        <f t="shared" si="13"/>
        <v>100</v>
      </c>
      <c r="V35" s="776" t="s">
        <v>17</v>
      </c>
      <c r="W35" s="777">
        <f t="shared" si="14"/>
        <v>100</v>
      </c>
      <c r="X35" s="778"/>
      <c r="Y35" s="336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65"/>
      <c r="Q36" s="1812">
        <f t="shared" si="11"/>
        <v>111</v>
      </c>
      <c r="R36" s="773" t="s">
        <v>17</v>
      </c>
      <c r="S36" s="774">
        <f t="shared" si="12"/>
        <v>100</v>
      </c>
      <c r="T36" s="773" t="s">
        <v>17</v>
      </c>
      <c r="U36" s="774">
        <f t="shared" si="13"/>
        <v>100</v>
      </c>
      <c r="V36" s="773" t="s">
        <v>17</v>
      </c>
      <c r="W36" s="774">
        <f t="shared" si="14"/>
        <v>100</v>
      </c>
      <c r="X36" s="1815"/>
      <c r="Y36" s="3365"/>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53" t="str">
        <f>A37</f>
        <v>成交单价</v>
      </c>
      <c r="Q37" s="3353"/>
      <c r="R37" s="3354">
        <f>E37</f>
        <v>0</v>
      </c>
      <c r="S37" s="3354"/>
      <c r="T37" s="3354">
        <f>G37</f>
        <v>0</v>
      </c>
      <c r="U37" s="3354"/>
      <c r="V37" s="3354">
        <f>I37</f>
        <v>0</v>
      </c>
      <c r="W37" s="3354"/>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31" t="str">
        <f>A39</f>
        <v>估价对象XX用房的比较价值（楼面单价，元/平方米）</v>
      </c>
      <c r="Q39" s="3432"/>
      <c r="R39" s="3433" t="e">
        <f>IF(F1="售价",ROUND(AVERAGE(R38:V38),0),ROUND(AVERAGE(R38:V38),1))</f>
        <v>#DIV/0!</v>
      </c>
      <c r="S39" s="3433"/>
      <c r="T39" s="3433"/>
      <c r="U39" s="3433"/>
      <c r="V39" s="3433"/>
      <c r="W39" s="34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94" t="s">
        <v>2553</v>
      </c>
      <c r="Q7" s="3395"/>
      <c r="R7" s="769" t="s">
        <v>17</v>
      </c>
      <c r="S7" s="770">
        <f t="shared" ref="S7:S14" si="0">F7</f>
        <v>0</v>
      </c>
      <c r="T7" s="769" t="s">
        <v>17</v>
      </c>
      <c r="U7" s="770">
        <f t="shared" ref="U7:U14" si="1">H7</f>
        <v>0</v>
      </c>
      <c r="V7" s="769" t="s">
        <v>17</v>
      </c>
      <c r="W7" s="770">
        <f t="shared" ref="W7:W14" si="2">J7</f>
        <v>0</v>
      </c>
      <c r="X7" s="771"/>
      <c r="Y7" s="3394" t="s">
        <v>2553</v>
      </c>
      <c r="Z7" s="3393"/>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53" t="s">
        <v>2559</v>
      </c>
      <c r="Q9" s="1797" t="str">
        <f t="shared" ref="Q9:Q14" si="6">B9</f>
        <v>用途</v>
      </c>
      <c r="R9" s="769" t="s">
        <v>17</v>
      </c>
      <c r="S9" s="770">
        <f t="shared" si="0"/>
        <v>100</v>
      </c>
      <c r="T9" s="769" t="s">
        <v>17</v>
      </c>
      <c r="U9" s="770">
        <f t="shared" si="1"/>
        <v>100</v>
      </c>
      <c r="V9" s="769" t="s">
        <v>17</v>
      </c>
      <c r="W9" s="770">
        <f t="shared" si="2"/>
        <v>100</v>
      </c>
      <c r="X9" s="771"/>
      <c r="Y9" s="3198"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53"/>
      <c r="Q11" s="1797">
        <f t="shared" si="6"/>
        <v>111</v>
      </c>
      <c r="R11" s="769" t="s">
        <v>17</v>
      </c>
      <c r="S11" s="770">
        <f t="shared" si="0"/>
        <v>100</v>
      </c>
      <c r="T11" s="769" t="s">
        <v>17</v>
      </c>
      <c r="U11" s="770">
        <f t="shared" si="1"/>
        <v>100</v>
      </c>
      <c r="V11" s="769" t="s">
        <v>17</v>
      </c>
      <c r="W11" s="770">
        <f t="shared" si="2"/>
        <v>100</v>
      </c>
      <c r="X11" s="771"/>
      <c r="Y11" s="3198"/>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60" t="s">
        <v>2564</v>
      </c>
      <c r="Q14" s="1812" t="str">
        <f t="shared" si="6"/>
        <v>交通便捷度</v>
      </c>
      <c r="R14" s="773" t="s">
        <v>17</v>
      </c>
      <c r="S14" s="774">
        <f t="shared" si="0"/>
        <v>100</v>
      </c>
      <c r="T14" s="773" t="s">
        <v>17</v>
      </c>
      <c r="U14" s="774">
        <f t="shared" si="1"/>
        <v>100</v>
      </c>
      <c r="V14" s="773" t="s">
        <v>17</v>
      </c>
      <c r="W14" s="774">
        <f t="shared" si="2"/>
        <v>100</v>
      </c>
      <c r="X14" s="1815"/>
      <c r="Y14" s="3360"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61"/>
      <c r="Q15" s="1812"/>
      <c r="R15" s="773"/>
      <c r="S15" s="774"/>
      <c r="T15" s="773"/>
      <c r="U15" s="774"/>
      <c r="V15" s="773"/>
      <c r="W15" s="774"/>
      <c r="X15" s="1815"/>
      <c r="Y15" s="3361"/>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61"/>
      <c r="Q16" s="1812" t="str">
        <f>B16</f>
        <v>公共配套设施</v>
      </c>
      <c r="R16" s="773" t="s">
        <v>17</v>
      </c>
      <c r="S16" s="774">
        <f>F16</f>
        <v>100</v>
      </c>
      <c r="T16" s="773" t="s">
        <v>17</v>
      </c>
      <c r="U16" s="774">
        <f>H16</f>
        <v>100</v>
      </c>
      <c r="V16" s="773" t="s">
        <v>17</v>
      </c>
      <c r="W16" s="774">
        <f>J16</f>
        <v>100</v>
      </c>
      <c r="X16" s="1815"/>
      <c r="Y16" s="3361"/>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61"/>
      <c r="Q17" s="1812"/>
      <c r="R17" s="773"/>
      <c r="S17" s="774"/>
      <c r="T17" s="773"/>
      <c r="U17" s="774"/>
      <c r="V17" s="773"/>
      <c r="W17" s="774"/>
      <c r="X17" s="1815"/>
      <c r="Y17" s="3361"/>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61"/>
      <c r="Q18" s="1812" t="str">
        <f>B18</f>
        <v>基础设施水平</v>
      </c>
      <c r="R18" s="773" t="s">
        <v>17</v>
      </c>
      <c r="S18" s="774">
        <f>F18</f>
        <v>100</v>
      </c>
      <c r="T18" s="773" t="s">
        <v>17</v>
      </c>
      <c r="U18" s="774">
        <f>H18</f>
        <v>100</v>
      </c>
      <c r="V18" s="773" t="s">
        <v>17</v>
      </c>
      <c r="W18" s="774">
        <f>J18</f>
        <v>100</v>
      </c>
      <c r="X18" s="1815"/>
      <c r="Y18" s="3361"/>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61"/>
      <c r="Q19" s="1812"/>
      <c r="R19" s="773"/>
      <c r="S19" s="774"/>
      <c r="T19" s="773"/>
      <c r="U19" s="774"/>
      <c r="V19" s="773"/>
      <c r="W19" s="774"/>
      <c r="X19" s="1815"/>
      <c r="Y19" s="3361"/>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61"/>
      <c r="Q20" s="1812" t="str">
        <f>B20</f>
        <v>自然及人文环境</v>
      </c>
      <c r="R20" s="773" t="s">
        <v>17</v>
      </c>
      <c r="S20" s="774">
        <f>F20</f>
        <v>100</v>
      </c>
      <c r="T20" s="773" t="s">
        <v>17</v>
      </c>
      <c r="U20" s="774">
        <f>H20</f>
        <v>100</v>
      </c>
      <c r="V20" s="773" t="s">
        <v>17</v>
      </c>
      <c r="W20" s="774">
        <f>J20</f>
        <v>100</v>
      </c>
      <c r="X20" s="1815"/>
      <c r="Y20" s="336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61"/>
      <c r="Q21" s="1812"/>
      <c r="R21" s="773"/>
      <c r="S21" s="774"/>
      <c r="T21" s="773"/>
      <c r="U21" s="774"/>
      <c r="V21" s="773"/>
      <c r="W21" s="774"/>
      <c r="X21" s="1815"/>
      <c r="Y21" s="3361"/>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61"/>
      <c r="Q22" s="1812" t="str">
        <f>B22</f>
        <v>楼层</v>
      </c>
      <c r="R22" s="773" t="s">
        <v>17</v>
      </c>
      <c r="S22" s="774">
        <f>F22</f>
        <v>100</v>
      </c>
      <c r="T22" s="773" t="s">
        <v>17</v>
      </c>
      <c r="U22" s="774">
        <f>H22</f>
        <v>100</v>
      </c>
      <c r="V22" s="773" t="s">
        <v>17</v>
      </c>
      <c r="W22" s="774">
        <f>J22</f>
        <v>100</v>
      </c>
      <c r="X22" s="1815"/>
      <c r="Y22" s="3361"/>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61"/>
      <c r="Q23" s="1812">
        <f>B23</f>
        <v>111</v>
      </c>
      <c r="R23" s="773" t="s">
        <v>17</v>
      </c>
      <c r="S23" s="774">
        <f>F23</f>
        <v>100</v>
      </c>
      <c r="T23" s="773" t="s">
        <v>17</v>
      </c>
      <c r="U23" s="774">
        <f>H23</f>
        <v>100</v>
      </c>
      <c r="V23" s="773" t="s">
        <v>17</v>
      </c>
      <c r="W23" s="774">
        <f>J23</f>
        <v>100</v>
      </c>
      <c r="X23" s="1815"/>
      <c r="Y23" s="3361"/>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61"/>
      <c r="Q24" s="1812">
        <f t="shared" ref="Q24:Q34" si="11">B24</f>
        <v>111</v>
      </c>
      <c r="R24" s="773" t="s">
        <v>17</v>
      </c>
      <c r="S24" s="774">
        <f>F24</f>
        <v>100</v>
      </c>
      <c r="T24" s="773" t="s">
        <v>17</v>
      </c>
      <c r="U24" s="774">
        <f>H24</f>
        <v>100</v>
      </c>
      <c r="V24" s="773" t="s">
        <v>17</v>
      </c>
      <c r="W24" s="774">
        <f>J24</f>
        <v>100</v>
      </c>
      <c r="X24" s="1815"/>
      <c r="Y24" s="3361"/>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61"/>
      <c r="Q25" s="1797">
        <f t="shared" si="11"/>
        <v>111</v>
      </c>
      <c r="R25" s="769" t="s">
        <v>17</v>
      </c>
      <c r="S25" s="770">
        <f>F25</f>
        <v>100</v>
      </c>
      <c r="T25" s="769" t="s">
        <v>17</v>
      </c>
      <c r="U25" s="770">
        <f>H25</f>
        <v>100</v>
      </c>
      <c r="V25" s="769" t="s">
        <v>17</v>
      </c>
      <c r="W25" s="770">
        <f>J25</f>
        <v>100</v>
      </c>
      <c r="X25" s="771"/>
      <c r="Y25" s="3361"/>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45"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65"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65"/>
      <c r="Q27" s="775" t="str">
        <f t="shared" si="11"/>
        <v>成新率</v>
      </c>
      <c r="R27" s="776" t="s">
        <v>17</v>
      </c>
      <c r="S27" s="777" t="e">
        <f t="shared" si="12"/>
        <v>#N/A</v>
      </c>
      <c r="T27" s="776" t="s">
        <v>17</v>
      </c>
      <c r="U27" s="777" t="e">
        <f t="shared" si="13"/>
        <v>#N/A</v>
      </c>
      <c r="V27" s="776" t="s">
        <v>17</v>
      </c>
      <c r="W27" s="777" t="e">
        <f t="shared" si="14"/>
        <v>#N/A</v>
      </c>
      <c r="X27" s="778"/>
      <c r="Y27" s="3365"/>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65"/>
      <c r="Q28" s="1812" t="str">
        <f t="shared" si="11"/>
        <v>物业等级</v>
      </c>
      <c r="R28" s="773" t="s">
        <v>17</v>
      </c>
      <c r="S28" s="774">
        <f t="shared" si="12"/>
        <v>100</v>
      </c>
      <c r="T28" s="773" t="s">
        <v>17</v>
      </c>
      <c r="U28" s="774">
        <f t="shared" si="13"/>
        <v>100</v>
      </c>
      <c r="V28" s="773" t="s">
        <v>17</v>
      </c>
      <c r="W28" s="774">
        <f t="shared" si="14"/>
        <v>100</v>
      </c>
      <c r="X28" s="1815"/>
      <c r="Y28" s="3365"/>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65"/>
      <c r="Q29" s="1812" t="str">
        <f t="shared" si="11"/>
        <v>有无电梯</v>
      </c>
      <c r="R29" s="773" t="s">
        <v>17</v>
      </c>
      <c r="S29" s="774">
        <f t="shared" si="12"/>
        <v>100</v>
      </c>
      <c r="T29" s="773" t="s">
        <v>17</v>
      </c>
      <c r="U29" s="774">
        <f t="shared" si="13"/>
        <v>100</v>
      </c>
      <c r="V29" s="773" t="s">
        <v>17</v>
      </c>
      <c r="W29" s="774">
        <f t="shared" si="14"/>
        <v>100</v>
      </c>
      <c r="X29" s="1815"/>
      <c r="Y29" s="3365"/>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65"/>
      <c r="Q30" s="1812" t="str">
        <f t="shared" si="11"/>
        <v>建筑面积</v>
      </c>
      <c r="R30" s="773" t="s">
        <v>17</v>
      </c>
      <c r="S30" s="774" t="e">
        <f t="shared" si="12"/>
        <v>#N/A</v>
      </c>
      <c r="T30" s="773" t="s">
        <v>17</v>
      </c>
      <c r="U30" s="774" t="e">
        <f t="shared" si="13"/>
        <v>#N/A</v>
      </c>
      <c r="V30" s="773" t="s">
        <v>17</v>
      </c>
      <c r="W30" s="774" t="e">
        <f t="shared" si="14"/>
        <v>#N/A</v>
      </c>
      <c r="X30" s="1815"/>
      <c r="Y30" s="3365"/>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65"/>
      <c r="Q31" s="1797" t="str">
        <f t="shared" si="11"/>
        <v>是否封闭</v>
      </c>
      <c r="R31" s="769" t="s">
        <v>17</v>
      </c>
      <c r="S31" s="770">
        <f t="shared" si="12"/>
        <v>100</v>
      </c>
      <c r="T31" s="769" t="s">
        <v>17</v>
      </c>
      <c r="U31" s="770">
        <f t="shared" si="13"/>
        <v>100</v>
      </c>
      <c r="V31" s="769" t="s">
        <v>17</v>
      </c>
      <c r="W31" s="770">
        <f t="shared" si="14"/>
        <v>100</v>
      </c>
      <c r="X31" s="771"/>
      <c r="Y31" s="3365"/>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65" t="s">
        <v>2569</v>
      </c>
      <c r="Q32" s="1812">
        <f t="shared" si="11"/>
        <v>111</v>
      </c>
      <c r="R32" s="773" t="s">
        <v>17</v>
      </c>
      <c r="S32" s="774">
        <f t="shared" si="12"/>
        <v>100</v>
      </c>
      <c r="T32" s="773" t="s">
        <v>17</v>
      </c>
      <c r="U32" s="774">
        <f t="shared" si="13"/>
        <v>100</v>
      </c>
      <c r="V32" s="773" t="s">
        <v>17</v>
      </c>
      <c r="W32" s="774">
        <f t="shared" si="14"/>
        <v>100</v>
      </c>
      <c r="X32" s="1815"/>
      <c r="Y32" s="3365"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65"/>
      <c r="Q33" s="1812">
        <f t="shared" si="11"/>
        <v>111</v>
      </c>
      <c r="R33" s="773" t="s">
        <v>17</v>
      </c>
      <c r="S33" s="774">
        <f t="shared" si="12"/>
        <v>100</v>
      </c>
      <c r="T33" s="773" t="s">
        <v>17</v>
      </c>
      <c r="U33" s="774">
        <f t="shared" si="13"/>
        <v>100</v>
      </c>
      <c r="V33" s="773" t="s">
        <v>17</v>
      </c>
      <c r="W33" s="774">
        <f t="shared" si="14"/>
        <v>100</v>
      </c>
      <c r="X33" s="1815"/>
      <c r="Y33" s="3365"/>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65"/>
      <c r="Q34" s="1812">
        <f t="shared" si="11"/>
        <v>111</v>
      </c>
      <c r="R34" s="773" t="s">
        <v>17</v>
      </c>
      <c r="S34" s="774">
        <f t="shared" si="12"/>
        <v>100</v>
      </c>
      <c r="T34" s="773" t="s">
        <v>17</v>
      </c>
      <c r="U34" s="774">
        <f t="shared" si="13"/>
        <v>100</v>
      </c>
      <c r="V34" s="773" t="s">
        <v>17</v>
      </c>
      <c r="W34" s="774">
        <f t="shared" si="14"/>
        <v>100</v>
      </c>
      <c r="X34" s="1815"/>
      <c r="Y34" s="3365"/>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53" t="str">
        <f>A35</f>
        <v>成交单价（元/平方米）</v>
      </c>
      <c r="Q35" s="3353"/>
      <c r="R35" s="3354">
        <f>E35</f>
        <v>0</v>
      </c>
      <c r="S35" s="3354"/>
      <c r="T35" s="3354">
        <f>G35</f>
        <v>0</v>
      </c>
      <c r="U35" s="3354"/>
      <c r="V35" s="3354">
        <f>I35</f>
        <v>0</v>
      </c>
      <c r="W35" s="3354"/>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31" t="str">
        <f>A37</f>
        <v>估价对象XX用房的比较价值（楼面单价，元/平方米）</v>
      </c>
      <c r="Q37" s="3432"/>
      <c r="R37" s="3433" t="e">
        <f>IF(F1="售价",ROUND(AVERAGE(R36:V36),0),ROUND(AVERAGE(R36:V36),1))</f>
        <v>#DIV/0!</v>
      </c>
      <c r="S37" s="3433"/>
      <c r="T37" s="3433"/>
      <c r="U37" s="3433"/>
      <c r="V37" s="3433"/>
      <c r="W37" s="34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30"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30"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30" s="117" customFormat="1" ht="15.75" thickBot="1">
      <c r="A7" s="407" t="s">
        <v>2552</v>
      </c>
      <c r="B7" s="408"/>
      <c r="C7" s="409">
        <f>'数据-取费表'!B2</f>
        <v>43405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53"/>
      <c r="Q10" s="1797" t="str">
        <f t="shared" si="6"/>
        <v>土地使用年限（年）</v>
      </c>
      <c r="R10" s="769" t="s">
        <v>17</v>
      </c>
      <c r="S10" s="770">
        <f t="shared" si="0"/>
        <v>111</v>
      </c>
      <c r="T10" s="769" t="s">
        <v>17</v>
      </c>
      <c r="U10" s="770">
        <f t="shared" si="1"/>
        <v>111</v>
      </c>
      <c r="V10" s="769" t="s">
        <v>17</v>
      </c>
      <c r="W10" s="770">
        <f t="shared" si="2"/>
        <v>111</v>
      </c>
      <c r="X10" s="771"/>
      <c r="Y10" s="3198"/>
      <c r="Z10" s="55" t="str">
        <f t="shared" si="7"/>
        <v>土地使用年限（年）</v>
      </c>
      <c r="AA10" s="772">
        <f t="shared" si="3"/>
        <v>0.90090090090090091</v>
      </c>
      <c r="AB10" s="772">
        <f t="shared" si="4"/>
        <v>0.90090090090090091</v>
      </c>
      <c r="AC10" s="772">
        <f t="shared" si="5"/>
        <v>0.90090090090090091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53"/>
      <c r="Q12" s="1797" t="str">
        <f t="shared" si="6"/>
        <v>配建</v>
      </c>
      <c r="R12" s="769" t="s">
        <v>17</v>
      </c>
      <c r="S12" s="770">
        <f t="shared" si="0"/>
        <v>100</v>
      </c>
      <c r="T12" s="769" t="s">
        <v>17</v>
      </c>
      <c r="U12" s="770">
        <f t="shared" si="1"/>
        <v>100</v>
      </c>
      <c r="V12" s="769" t="s">
        <v>17</v>
      </c>
      <c r="W12" s="770">
        <f t="shared" si="2"/>
        <v>100</v>
      </c>
      <c r="X12" s="771"/>
      <c r="Y12" s="3198"/>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60" t="s">
        <v>2564</v>
      </c>
      <c r="Q15" s="1812" t="str">
        <f t="shared" si="6"/>
        <v>居住社区成熟度</v>
      </c>
      <c r="R15" s="773" t="s">
        <v>17</v>
      </c>
      <c r="S15" s="774">
        <f t="shared" si="0"/>
        <v>100</v>
      </c>
      <c r="T15" s="773" t="s">
        <v>17</v>
      </c>
      <c r="U15" s="774">
        <f t="shared" si="1"/>
        <v>100</v>
      </c>
      <c r="V15" s="773" t="s">
        <v>17</v>
      </c>
      <c r="W15" s="774">
        <f t="shared" si="2"/>
        <v>100</v>
      </c>
      <c r="X15" s="1815"/>
      <c r="Y15" s="3360"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61"/>
      <c r="Q16" s="1812"/>
      <c r="R16" s="773"/>
      <c r="S16" s="774"/>
      <c r="T16" s="773"/>
      <c r="U16" s="774"/>
      <c r="V16" s="773"/>
      <c r="W16" s="774"/>
      <c r="X16" s="1815"/>
      <c r="Y16" s="3361"/>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61"/>
      <c r="Q17" s="1812" t="str">
        <f>B17</f>
        <v>商业繁华度</v>
      </c>
      <c r="R17" s="773" t="s">
        <v>17</v>
      </c>
      <c r="S17" s="774">
        <f>F17</f>
        <v>100</v>
      </c>
      <c r="T17" s="773" t="s">
        <v>17</v>
      </c>
      <c r="U17" s="774">
        <f>H17</f>
        <v>100</v>
      </c>
      <c r="V17" s="773" t="s">
        <v>17</v>
      </c>
      <c r="W17" s="774">
        <f>J17</f>
        <v>100</v>
      </c>
      <c r="X17" s="1815"/>
      <c r="Y17" s="3361"/>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61"/>
      <c r="Q18" s="1812"/>
      <c r="R18" s="773"/>
      <c r="S18" s="774"/>
      <c r="T18" s="773"/>
      <c r="U18" s="774"/>
      <c r="V18" s="773"/>
      <c r="W18" s="774"/>
      <c r="X18" s="1815"/>
      <c r="Y18" s="3361"/>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61"/>
      <c r="Q19" s="1812" t="str">
        <f>B19</f>
        <v>办公集聚程度</v>
      </c>
      <c r="R19" s="773" t="s">
        <v>17</v>
      </c>
      <c r="S19" s="774">
        <f>F19</f>
        <v>100</v>
      </c>
      <c r="T19" s="773" t="s">
        <v>17</v>
      </c>
      <c r="U19" s="774">
        <f>H19</f>
        <v>100</v>
      </c>
      <c r="V19" s="773" t="s">
        <v>17</v>
      </c>
      <c r="W19" s="774">
        <f>J19</f>
        <v>100</v>
      </c>
      <c r="X19" s="1815"/>
      <c r="Y19" s="3361"/>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61"/>
      <c r="Q20" s="1812"/>
      <c r="R20" s="773"/>
      <c r="S20" s="774"/>
      <c r="T20" s="773"/>
      <c r="U20" s="774"/>
      <c r="V20" s="773"/>
      <c r="W20" s="774"/>
      <c r="X20" s="1815"/>
      <c r="Y20" s="3361"/>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61"/>
      <c r="Q21" s="1812" t="str">
        <f>B21</f>
        <v>交通便捷度</v>
      </c>
      <c r="R21" s="773" t="s">
        <v>17</v>
      </c>
      <c r="S21" s="774">
        <f>F21</f>
        <v>100</v>
      </c>
      <c r="T21" s="773" t="s">
        <v>17</v>
      </c>
      <c r="U21" s="774">
        <f>H21</f>
        <v>100</v>
      </c>
      <c r="V21" s="773" t="s">
        <v>17</v>
      </c>
      <c r="W21" s="774">
        <f>J21</f>
        <v>100</v>
      </c>
      <c r="X21" s="1815"/>
      <c r="Y21" s="3361"/>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61"/>
      <c r="Q22" s="1812"/>
      <c r="R22" s="773"/>
      <c r="S22" s="774"/>
      <c r="T22" s="773"/>
      <c r="U22" s="774"/>
      <c r="V22" s="773"/>
      <c r="W22" s="774"/>
      <c r="X22" s="1815"/>
      <c r="Y22" s="3361"/>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61"/>
      <c r="Q23" s="1812" t="str">
        <f t="shared" ref="Q23:Q37" si="8">B23</f>
        <v>区域土地利用方向</v>
      </c>
      <c r="R23" s="773" t="s">
        <v>17</v>
      </c>
      <c r="S23" s="774">
        <f>F23</f>
        <v>100</v>
      </c>
      <c r="T23" s="773" t="s">
        <v>17</v>
      </c>
      <c r="U23" s="774">
        <f>H23</f>
        <v>100</v>
      </c>
      <c r="V23" s="773" t="s">
        <v>17</v>
      </c>
      <c r="W23" s="774">
        <f>J23</f>
        <v>100</v>
      </c>
      <c r="X23" s="1815"/>
      <c r="Y23" s="3361"/>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61"/>
      <c r="Q24" s="1812"/>
      <c r="R24" s="773"/>
      <c r="S24" s="774"/>
      <c r="T24" s="773"/>
      <c r="U24" s="774"/>
      <c r="V24" s="773"/>
      <c r="W24" s="774"/>
      <c r="X24" s="1815"/>
      <c r="Y24" s="3361"/>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61"/>
      <c r="Q25" s="1812" t="str">
        <f t="shared" si="8"/>
        <v>自然及人文环境状况</v>
      </c>
      <c r="R25" s="773" t="s">
        <v>17</v>
      </c>
      <c r="S25" s="774">
        <f>F25</f>
        <v>100</v>
      </c>
      <c r="T25" s="773" t="s">
        <v>17</v>
      </c>
      <c r="U25" s="774">
        <f>H25</f>
        <v>100</v>
      </c>
      <c r="V25" s="773" t="s">
        <v>17</v>
      </c>
      <c r="W25" s="774">
        <f>J25</f>
        <v>100</v>
      </c>
      <c r="X25" s="1815"/>
      <c r="Y25" s="3361"/>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61"/>
      <c r="Q26" s="1812"/>
      <c r="R26" s="773"/>
      <c r="S26" s="774"/>
      <c r="T26" s="773"/>
      <c r="U26" s="774"/>
      <c r="V26" s="773"/>
      <c r="W26" s="774"/>
      <c r="X26" s="1815"/>
      <c r="Y26" s="3361"/>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61"/>
      <c r="Q27" s="1797" t="str">
        <f t="shared" si="8"/>
        <v>公共配套设施</v>
      </c>
      <c r="R27" s="769" t="s">
        <v>17</v>
      </c>
      <c r="S27" s="770">
        <f>F27</f>
        <v>100</v>
      </c>
      <c r="T27" s="769" t="s">
        <v>17</v>
      </c>
      <c r="U27" s="770">
        <f>H27</f>
        <v>100</v>
      </c>
      <c r="V27" s="769" t="s">
        <v>17</v>
      </c>
      <c r="W27" s="770">
        <f>J27</f>
        <v>100</v>
      </c>
      <c r="X27" s="771"/>
      <c r="Y27" s="3361"/>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61"/>
      <c r="Q28" s="1797"/>
      <c r="R28" s="769"/>
      <c r="S28" s="770"/>
      <c r="T28" s="769"/>
      <c r="U28" s="770"/>
      <c r="V28" s="769"/>
      <c r="W28" s="770"/>
      <c r="X28" s="771"/>
      <c r="Y28" s="3361"/>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61"/>
      <c r="Q29" s="1797" t="str">
        <f t="shared" ref="Q29" si="9">B29</f>
        <v>基础设施水平</v>
      </c>
      <c r="R29" s="769" t="s">
        <v>17</v>
      </c>
      <c r="S29" s="770">
        <f>F29</f>
        <v>100</v>
      </c>
      <c r="T29" s="769" t="s">
        <v>17</v>
      </c>
      <c r="U29" s="770">
        <f>H29</f>
        <v>100</v>
      </c>
      <c r="V29" s="769" t="s">
        <v>17</v>
      </c>
      <c r="W29" s="770">
        <f>J29</f>
        <v>100</v>
      </c>
      <c r="X29" s="771"/>
      <c r="Y29" s="3361"/>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61"/>
      <c r="Q30" s="1797"/>
      <c r="R30" s="769"/>
      <c r="S30" s="770"/>
      <c r="T30" s="769"/>
      <c r="U30" s="770"/>
      <c r="V30" s="769"/>
      <c r="W30" s="770"/>
      <c r="X30" s="771"/>
      <c r="Y30" s="3361"/>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6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61"/>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61"/>
      <c r="Q32" s="1812" t="str">
        <f t="shared" si="8"/>
        <v>毗邻道路的类型与等级</v>
      </c>
      <c r="R32" s="773" t="s">
        <v>17</v>
      </c>
      <c r="S32" s="774">
        <f t="shared" si="10"/>
        <v>100</v>
      </c>
      <c r="T32" s="773" t="s">
        <v>17</v>
      </c>
      <c r="U32" s="774">
        <f t="shared" si="11"/>
        <v>100</v>
      </c>
      <c r="V32" s="773" t="s">
        <v>17</v>
      </c>
      <c r="W32" s="774">
        <f t="shared" si="12"/>
        <v>100</v>
      </c>
      <c r="X32" s="1815"/>
      <c r="Y32" s="3361"/>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61"/>
      <c r="Q33" s="1812"/>
      <c r="R33" s="773"/>
      <c r="S33" s="774"/>
      <c r="T33" s="773"/>
      <c r="U33" s="774"/>
      <c r="V33" s="773"/>
      <c r="W33" s="774"/>
      <c r="X33" s="1815"/>
      <c r="Y33" s="3361"/>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61"/>
      <c r="Q34" s="1812" t="str">
        <f t="shared" si="8"/>
        <v>土地级别</v>
      </c>
      <c r="R34" s="773" t="s">
        <v>17</v>
      </c>
      <c r="S34" s="774">
        <f t="shared" si="10"/>
        <v>100</v>
      </c>
      <c r="T34" s="773" t="s">
        <v>17</v>
      </c>
      <c r="U34" s="774">
        <f t="shared" si="11"/>
        <v>100</v>
      </c>
      <c r="V34" s="773" t="s">
        <v>17</v>
      </c>
      <c r="W34" s="774">
        <f t="shared" si="12"/>
        <v>100</v>
      </c>
      <c r="X34" s="1815"/>
      <c r="Y34" s="336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61"/>
      <c r="Q35" s="1812">
        <f t="shared" si="8"/>
        <v>111</v>
      </c>
      <c r="R35" s="773" t="s">
        <v>17</v>
      </c>
      <c r="S35" s="774">
        <f t="shared" si="10"/>
        <v>100</v>
      </c>
      <c r="T35" s="773" t="s">
        <v>17</v>
      </c>
      <c r="U35" s="774">
        <f t="shared" si="11"/>
        <v>100</v>
      </c>
      <c r="V35" s="773" t="s">
        <v>17</v>
      </c>
      <c r="W35" s="774">
        <f t="shared" si="12"/>
        <v>100</v>
      </c>
      <c r="X35" s="1815"/>
      <c r="Y35" s="336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45" t="s">
        <v>2569</v>
      </c>
      <c r="Q36" s="1812">
        <f t="shared" si="8"/>
        <v>111</v>
      </c>
      <c r="R36" s="773" t="s">
        <v>17</v>
      </c>
      <c r="S36" s="774">
        <f t="shared" si="10"/>
        <v>100</v>
      </c>
      <c r="T36" s="773" t="s">
        <v>17</v>
      </c>
      <c r="U36" s="774">
        <f t="shared" si="11"/>
        <v>100</v>
      </c>
      <c r="V36" s="773" t="s">
        <v>17</v>
      </c>
      <c r="W36" s="774">
        <f t="shared" si="12"/>
        <v>100</v>
      </c>
      <c r="X36" s="1815"/>
      <c r="Y36" s="3365"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65"/>
      <c r="Q37" s="1812">
        <f t="shared" si="8"/>
        <v>111</v>
      </c>
      <c r="R37" s="776" t="s">
        <v>17</v>
      </c>
      <c r="S37" s="777">
        <f t="shared" si="10"/>
        <v>100</v>
      </c>
      <c r="T37" s="776" t="s">
        <v>17</v>
      </c>
      <c r="U37" s="777">
        <f t="shared" si="11"/>
        <v>100</v>
      </c>
      <c r="V37" s="776" t="s">
        <v>17</v>
      </c>
      <c r="W37" s="777">
        <f t="shared" si="12"/>
        <v>100</v>
      </c>
      <c r="X37" s="778"/>
      <c r="Y37" s="3365"/>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65"/>
      <c r="Q38" s="1812" t="str">
        <f>B38</f>
        <v>宗地面积</v>
      </c>
      <c r="R38" s="773" t="s">
        <v>17</v>
      </c>
      <c r="S38" s="774" t="e">
        <f t="shared" si="10"/>
        <v>#N/A</v>
      </c>
      <c r="T38" s="773" t="s">
        <v>17</v>
      </c>
      <c r="U38" s="774" t="e">
        <f t="shared" si="11"/>
        <v>#N/A</v>
      </c>
      <c r="V38" s="773" t="s">
        <v>17</v>
      </c>
      <c r="W38" s="774" t="e">
        <f t="shared" si="12"/>
        <v>#N/A</v>
      </c>
      <c r="X38" s="1815"/>
      <c r="Y38" s="3365"/>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65"/>
      <c r="Q39" s="1812" t="str">
        <f t="shared" ref="Q39:Q45" si="14">B39</f>
        <v>宗地形状</v>
      </c>
      <c r="R39" s="773" t="s">
        <v>17</v>
      </c>
      <c r="S39" s="774">
        <f t="shared" si="10"/>
        <v>100</v>
      </c>
      <c r="T39" s="773" t="s">
        <v>17</v>
      </c>
      <c r="U39" s="774">
        <f t="shared" si="11"/>
        <v>100</v>
      </c>
      <c r="V39" s="773" t="s">
        <v>17</v>
      </c>
      <c r="W39" s="774">
        <f t="shared" si="12"/>
        <v>100</v>
      </c>
      <c r="X39" s="1815"/>
      <c r="Y39" s="3365"/>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65"/>
      <c r="Q40" s="1812" t="str">
        <f t="shared" si="14"/>
        <v>临街宽度及深度</v>
      </c>
      <c r="R40" s="773" t="s">
        <v>17</v>
      </c>
      <c r="S40" s="774">
        <f t="shared" si="10"/>
        <v>100</v>
      </c>
      <c r="T40" s="773" t="s">
        <v>17</v>
      </c>
      <c r="U40" s="774">
        <f t="shared" si="11"/>
        <v>100</v>
      </c>
      <c r="V40" s="773" t="s">
        <v>17</v>
      </c>
      <c r="W40" s="774">
        <f t="shared" si="12"/>
        <v>100</v>
      </c>
      <c r="X40" s="1815"/>
      <c r="Y40" s="3365"/>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65"/>
      <c r="Q41" s="1812" t="str">
        <f t="shared" si="14"/>
        <v>宗地开发程度</v>
      </c>
      <c r="R41" s="769" t="s">
        <v>17</v>
      </c>
      <c r="S41" s="770">
        <f t="shared" si="10"/>
        <v>100</v>
      </c>
      <c r="T41" s="769" t="s">
        <v>17</v>
      </c>
      <c r="U41" s="770">
        <f t="shared" si="11"/>
        <v>100</v>
      </c>
      <c r="V41" s="769" t="s">
        <v>17</v>
      </c>
      <c r="W41" s="770">
        <f t="shared" si="12"/>
        <v>100</v>
      </c>
      <c r="X41" s="771"/>
      <c r="Y41" s="3365"/>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65" t="s">
        <v>2569</v>
      </c>
      <c r="Q42" s="1812" t="str">
        <f t="shared" si="14"/>
        <v>工程地质条件</v>
      </c>
      <c r="R42" s="773" t="s">
        <v>17</v>
      </c>
      <c r="S42" s="774">
        <f t="shared" si="10"/>
        <v>100</v>
      </c>
      <c r="T42" s="773" t="s">
        <v>17</v>
      </c>
      <c r="U42" s="774">
        <f t="shared" si="11"/>
        <v>100</v>
      </c>
      <c r="V42" s="773" t="s">
        <v>17</v>
      </c>
      <c r="W42" s="774">
        <f t="shared" si="12"/>
        <v>100</v>
      </c>
      <c r="X42" s="1815"/>
      <c r="Y42" s="3365"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65"/>
      <c r="Q43" s="1812">
        <f t="shared" si="14"/>
        <v>111</v>
      </c>
      <c r="R43" s="773" t="s">
        <v>17</v>
      </c>
      <c r="S43" s="774">
        <f t="shared" si="10"/>
        <v>100</v>
      </c>
      <c r="T43" s="773" t="s">
        <v>17</v>
      </c>
      <c r="U43" s="774">
        <f t="shared" si="11"/>
        <v>100</v>
      </c>
      <c r="V43" s="773" t="s">
        <v>17</v>
      </c>
      <c r="W43" s="774">
        <f t="shared" si="12"/>
        <v>100</v>
      </c>
      <c r="X43" s="1815"/>
      <c r="Y43" s="336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65"/>
      <c r="Q44" s="1812">
        <f t="shared" si="14"/>
        <v>111</v>
      </c>
      <c r="R44" s="773" t="s">
        <v>17</v>
      </c>
      <c r="S44" s="774">
        <f t="shared" si="10"/>
        <v>100</v>
      </c>
      <c r="T44" s="773" t="s">
        <v>17</v>
      </c>
      <c r="U44" s="774">
        <f t="shared" si="11"/>
        <v>100</v>
      </c>
      <c r="V44" s="773" t="s">
        <v>17</v>
      </c>
      <c r="W44" s="774">
        <f t="shared" si="12"/>
        <v>100</v>
      </c>
      <c r="X44" s="1815"/>
      <c r="Y44" s="3365"/>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65"/>
      <c r="Q45" s="1812">
        <f t="shared" si="14"/>
        <v>111</v>
      </c>
      <c r="R45" s="776" t="s">
        <v>17</v>
      </c>
      <c r="S45" s="777">
        <f t="shared" si="10"/>
        <v>100</v>
      </c>
      <c r="T45" s="776" t="s">
        <v>17</v>
      </c>
      <c r="U45" s="777">
        <f t="shared" si="11"/>
        <v>100</v>
      </c>
      <c r="V45" s="776" t="s">
        <v>17</v>
      </c>
      <c r="W45" s="777">
        <f t="shared" si="12"/>
        <v>100</v>
      </c>
      <c r="X45" s="778"/>
      <c r="Y45" s="3365"/>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53" t="str">
        <f>A46</f>
        <v>成交单价</v>
      </c>
      <c r="Q46" s="3353"/>
      <c r="R46" s="3387">
        <f>E46</f>
        <v>0</v>
      </c>
      <c r="S46" s="3387"/>
      <c r="T46" s="3387">
        <f>G46</f>
        <v>0</v>
      </c>
      <c r="U46" s="3387"/>
      <c r="V46" s="3387">
        <f>I46</f>
        <v>0</v>
      </c>
      <c r="W46" s="338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53" t="str">
        <f>A47</f>
        <v>比较价值（元/平方米）</v>
      </c>
      <c r="Q47" s="3353"/>
      <c r="R47" s="3446" t="e">
        <f>ROUND(PRODUCT(R46,AA7:AA45),0)</f>
        <v>#DIV/0!</v>
      </c>
      <c r="S47" s="3446"/>
      <c r="T47" s="3446" t="e">
        <f>ROUND(PRODUCT(T46,AB7:AB45),0)</f>
        <v>#DIV/0!</v>
      </c>
      <c r="U47" s="3446"/>
      <c r="V47" s="3446" t="e">
        <f>ROUND(PRODUCT(V46,AC7:AC45),0)</f>
        <v>#DIV/0!</v>
      </c>
      <c r="W47" s="3446"/>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31" t="str">
        <f>A48</f>
        <v>估价对象XX用房的比较价值（楼面单价，元/平方米）</v>
      </c>
      <c r="Q48" s="3432"/>
      <c r="R48" s="3447" t="e">
        <f>ROUND(AVERAGE(R47:V47),0)</f>
        <v>#DIV/0!</v>
      </c>
      <c r="S48" s="3447"/>
      <c r="T48" s="3447"/>
      <c r="U48" s="3447"/>
      <c r="V48" s="3447"/>
      <c r="W48" s="34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70" t="s">
        <v>2768</v>
      </c>
      <c r="H55" s="3448"/>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191.05</v>
      </c>
      <c r="F56" s="1105" t="e">
        <f t="shared" ref="F56:F65" si="15">ROUND(B56*E56/10000,0)</f>
        <v>#DIV/0!</v>
      </c>
      <c r="G56" s="3352"/>
      <c r="H56" s="3353"/>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49"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49"/>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49"/>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49"/>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191.05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450" t="s">
        <v>2801</v>
      </c>
      <c r="D6" s="3451"/>
      <c r="E6" s="3452" t="s">
        <v>2801</v>
      </c>
      <c r="F6" s="3453"/>
      <c r="G6" s="3450" t="s">
        <v>2801</v>
      </c>
      <c r="H6" s="3451"/>
      <c r="I6" s="3450" t="s">
        <v>2801</v>
      </c>
      <c r="J6" s="3451"/>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111</v>
      </c>
      <c r="G10" s="431"/>
      <c r="H10" s="135">
        <f>ROUND(100/'数据-取费表'!G16,0)</f>
        <v>111</v>
      </c>
      <c r="I10" s="431"/>
      <c r="J10" s="135">
        <f>ROUND(100/'数据-取费表'!G16,0)</f>
        <v>111</v>
      </c>
      <c r="K10" s="671"/>
      <c r="L10" s="1137"/>
      <c r="M10" s="1138"/>
      <c r="N10" s="1138"/>
      <c r="O10" s="1139"/>
      <c r="P10" s="3353"/>
      <c r="Q10" s="1797" t="str">
        <f t="shared" si="6"/>
        <v>土地使用年限（年）</v>
      </c>
      <c r="R10" s="769" t="s">
        <v>17</v>
      </c>
      <c r="S10" s="770">
        <f t="shared" si="0"/>
        <v>111</v>
      </c>
      <c r="T10" s="769" t="s">
        <v>17</v>
      </c>
      <c r="U10" s="770">
        <f t="shared" si="1"/>
        <v>111</v>
      </c>
      <c r="V10" s="769" t="s">
        <v>17</v>
      </c>
      <c r="W10" s="770">
        <f t="shared" si="2"/>
        <v>111</v>
      </c>
      <c r="X10" s="771"/>
      <c r="Y10" s="3198"/>
      <c r="Z10" s="55" t="str">
        <f t="shared" si="7"/>
        <v>土地使用年限（年）</v>
      </c>
      <c r="AA10" s="772">
        <f t="shared" si="3"/>
        <v>0.90090090090090091</v>
      </c>
      <c r="AB10" s="772">
        <f t="shared" si="4"/>
        <v>0.90090090090090091</v>
      </c>
      <c r="AC10" s="772">
        <f t="shared" si="5"/>
        <v>0.90090090090090091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60" t="s">
        <v>2564</v>
      </c>
      <c r="Q15" s="1812" t="str">
        <f t="shared" si="6"/>
        <v>产业集聚程度</v>
      </c>
      <c r="R15" s="773" t="s">
        <v>17</v>
      </c>
      <c r="S15" s="774">
        <f t="shared" si="0"/>
        <v>100</v>
      </c>
      <c r="T15" s="773" t="s">
        <v>17</v>
      </c>
      <c r="U15" s="774">
        <f t="shared" si="1"/>
        <v>100</v>
      </c>
      <c r="V15" s="773" t="s">
        <v>17</v>
      </c>
      <c r="W15" s="774">
        <f t="shared" si="2"/>
        <v>100</v>
      </c>
      <c r="X15" s="1815"/>
      <c r="Y15" s="3360"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61"/>
      <c r="Q16" s="1812"/>
      <c r="R16" s="773"/>
      <c r="S16" s="774"/>
      <c r="T16" s="773"/>
      <c r="U16" s="774"/>
      <c r="V16" s="773"/>
      <c r="W16" s="774"/>
      <c r="X16" s="1815"/>
      <c r="Y16" s="3361"/>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61"/>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61"/>
      <c r="Q18" s="1812"/>
      <c r="R18" s="773"/>
      <c r="S18" s="774"/>
      <c r="T18" s="773"/>
      <c r="U18" s="774"/>
      <c r="V18" s="773"/>
      <c r="W18" s="774"/>
      <c r="X18" s="1815"/>
      <c r="Y18" s="3361"/>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61"/>
      <c r="Q19" s="1812" t="str">
        <f t="shared" ref="Q19:Q33" si="8">B19</f>
        <v>区域土地利用方向</v>
      </c>
      <c r="R19" s="773" t="s">
        <v>17</v>
      </c>
      <c r="S19" s="774">
        <f>F19</f>
        <v>100</v>
      </c>
      <c r="T19" s="773" t="s">
        <v>17</v>
      </c>
      <c r="U19" s="774">
        <f>H19</f>
        <v>100</v>
      </c>
      <c r="V19" s="773" t="s">
        <v>17</v>
      </c>
      <c r="W19" s="774">
        <f>J19</f>
        <v>100</v>
      </c>
      <c r="X19" s="1815"/>
      <c r="Y19" s="3361"/>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61"/>
      <c r="Q20" s="1812"/>
      <c r="R20" s="773"/>
      <c r="S20" s="774"/>
      <c r="T20" s="773"/>
      <c r="U20" s="774"/>
      <c r="V20" s="773"/>
      <c r="W20" s="774"/>
      <c r="X20" s="1815"/>
      <c r="Y20" s="3361"/>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61"/>
      <c r="Q21" s="1812" t="str">
        <f t="shared" si="8"/>
        <v>环境状况</v>
      </c>
      <c r="R21" s="773" t="s">
        <v>17</v>
      </c>
      <c r="S21" s="774">
        <f>F21</f>
        <v>100</v>
      </c>
      <c r="T21" s="773" t="s">
        <v>17</v>
      </c>
      <c r="U21" s="774">
        <f>H21</f>
        <v>100</v>
      </c>
      <c r="V21" s="773" t="s">
        <v>17</v>
      </c>
      <c r="W21" s="774">
        <f>J21</f>
        <v>100</v>
      </c>
      <c r="X21" s="1815"/>
      <c r="Y21" s="3361"/>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61"/>
      <c r="Q22" s="1812"/>
      <c r="R22" s="773"/>
      <c r="S22" s="774"/>
      <c r="T22" s="773"/>
      <c r="U22" s="774"/>
      <c r="V22" s="773"/>
      <c r="W22" s="774"/>
      <c r="X22" s="1815"/>
      <c r="Y22" s="3361"/>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61"/>
      <c r="Q23" s="1797" t="str">
        <f t="shared" si="8"/>
        <v>公共配套设施</v>
      </c>
      <c r="R23" s="769" t="s">
        <v>17</v>
      </c>
      <c r="S23" s="770">
        <f>F23</f>
        <v>100</v>
      </c>
      <c r="T23" s="769" t="s">
        <v>17</v>
      </c>
      <c r="U23" s="770">
        <f>H23</f>
        <v>100</v>
      </c>
      <c r="V23" s="769" t="s">
        <v>17</v>
      </c>
      <c r="W23" s="770">
        <f>J23</f>
        <v>100</v>
      </c>
      <c r="X23" s="771"/>
      <c r="Y23" s="3361"/>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61"/>
      <c r="Q24" s="1797"/>
      <c r="R24" s="769"/>
      <c r="S24" s="770"/>
      <c r="T24" s="769"/>
      <c r="U24" s="770"/>
      <c r="V24" s="769"/>
      <c r="W24" s="770"/>
      <c r="X24" s="771"/>
      <c r="Y24" s="3361"/>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61"/>
      <c r="Q25" s="1797" t="str">
        <f t="shared" ref="Q25" si="9">B25</f>
        <v>基础设施水平</v>
      </c>
      <c r="R25" s="769" t="s">
        <v>17</v>
      </c>
      <c r="S25" s="770">
        <f>F25</f>
        <v>100</v>
      </c>
      <c r="T25" s="769" t="s">
        <v>17</v>
      </c>
      <c r="U25" s="770">
        <f>H25</f>
        <v>100</v>
      </c>
      <c r="V25" s="769" t="s">
        <v>17</v>
      </c>
      <c r="W25" s="770">
        <f>J25</f>
        <v>100</v>
      </c>
      <c r="X25" s="771"/>
      <c r="Y25" s="3361"/>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61"/>
      <c r="Q26" s="1797"/>
      <c r="R26" s="769"/>
      <c r="S26" s="770"/>
      <c r="T26" s="769"/>
      <c r="U26" s="770"/>
      <c r="V26" s="769"/>
      <c r="W26" s="770"/>
      <c r="X26" s="771"/>
      <c r="Y26" s="3361"/>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6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61"/>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61"/>
      <c r="Q28" s="1812" t="str">
        <f t="shared" si="8"/>
        <v>毗邻道路的类型与等级</v>
      </c>
      <c r="R28" s="773" t="s">
        <v>17</v>
      </c>
      <c r="S28" s="774">
        <f t="shared" si="10"/>
        <v>100</v>
      </c>
      <c r="T28" s="773" t="s">
        <v>17</v>
      </c>
      <c r="U28" s="774">
        <f t="shared" si="11"/>
        <v>100</v>
      </c>
      <c r="V28" s="773" t="s">
        <v>17</v>
      </c>
      <c r="W28" s="774">
        <f t="shared" si="12"/>
        <v>100</v>
      </c>
      <c r="X28" s="1815"/>
      <c r="Y28" s="3361"/>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61"/>
      <c r="Q29" s="1812"/>
      <c r="R29" s="773"/>
      <c r="S29" s="774"/>
      <c r="T29" s="773"/>
      <c r="U29" s="774"/>
      <c r="V29" s="773"/>
      <c r="W29" s="774"/>
      <c r="X29" s="1815"/>
      <c r="Y29" s="3361"/>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61"/>
      <c r="Q30" s="1812" t="str">
        <f t="shared" si="8"/>
        <v>土地级别</v>
      </c>
      <c r="R30" s="773" t="s">
        <v>17</v>
      </c>
      <c r="S30" s="774">
        <f t="shared" si="10"/>
        <v>100</v>
      </c>
      <c r="T30" s="773" t="s">
        <v>17</v>
      </c>
      <c r="U30" s="774">
        <f t="shared" si="11"/>
        <v>100</v>
      </c>
      <c r="V30" s="773" t="s">
        <v>17</v>
      </c>
      <c r="W30" s="774">
        <f t="shared" si="12"/>
        <v>100</v>
      </c>
      <c r="X30" s="1815"/>
      <c r="Y30" s="3361"/>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61"/>
      <c r="Q31" s="1812">
        <f t="shared" si="8"/>
        <v>111</v>
      </c>
      <c r="R31" s="773" t="s">
        <v>17</v>
      </c>
      <c r="S31" s="774">
        <f t="shared" si="10"/>
        <v>100</v>
      </c>
      <c r="T31" s="773" t="s">
        <v>17</v>
      </c>
      <c r="U31" s="774">
        <f t="shared" si="11"/>
        <v>100</v>
      </c>
      <c r="V31" s="773" t="s">
        <v>17</v>
      </c>
      <c r="W31" s="774">
        <f t="shared" si="12"/>
        <v>100</v>
      </c>
      <c r="X31" s="1815"/>
      <c r="Y31" s="3361"/>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45" t="s">
        <v>2569</v>
      </c>
      <c r="Q32" s="1812">
        <f t="shared" si="8"/>
        <v>111</v>
      </c>
      <c r="R32" s="773" t="s">
        <v>17</v>
      </c>
      <c r="S32" s="774">
        <f t="shared" si="10"/>
        <v>100</v>
      </c>
      <c r="T32" s="773" t="s">
        <v>17</v>
      </c>
      <c r="U32" s="774">
        <f t="shared" si="11"/>
        <v>100</v>
      </c>
      <c r="V32" s="773" t="s">
        <v>17</v>
      </c>
      <c r="W32" s="774">
        <f t="shared" si="12"/>
        <v>100</v>
      </c>
      <c r="X32" s="1815"/>
      <c r="Y32" s="3365"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65"/>
      <c r="Q33" s="1812">
        <f t="shared" si="8"/>
        <v>111</v>
      </c>
      <c r="R33" s="776" t="s">
        <v>17</v>
      </c>
      <c r="S33" s="777">
        <f t="shared" si="10"/>
        <v>100</v>
      </c>
      <c r="T33" s="776" t="s">
        <v>17</v>
      </c>
      <c r="U33" s="777">
        <f t="shared" si="11"/>
        <v>100</v>
      </c>
      <c r="V33" s="776" t="s">
        <v>17</v>
      </c>
      <c r="W33" s="777">
        <f t="shared" si="12"/>
        <v>100</v>
      </c>
      <c r="X33" s="778"/>
      <c r="Y33" s="3365"/>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65"/>
      <c r="Q34" s="1812" t="str">
        <f>B34</f>
        <v>宗地面积</v>
      </c>
      <c r="R34" s="773" t="s">
        <v>17</v>
      </c>
      <c r="S34" s="774" t="e">
        <f t="shared" si="10"/>
        <v>#N/A</v>
      </c>
      <c r="T34" s="773" t="s">
        <v>17</v>
      </c>
      <c r="U34" s="774" t="e">
        <f t="shared" si="11"/>
        <v>#N/A</v>
      </c>
      <c r="V34" s="773" t="s">
        <v>17</v>
      </c>
      <c r="W34" s="774" t="e">
        <f t="shared" si="12"/>
        <v>#N/A</v>
      </c>
      <c r="X34" s="1815"/>
      <c r="Y34" s="3365"/>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65"/>
      <c r="Q35" s="1812" t="str">
        <f t="shared" ref="Q35:Q40" si="14">B35</f>
        <v>宗地形状</v>
      </c>
      <c r="R35" s="773" t="s">
        <v>17</v>
      </c>
      <c r="S35" s="774">
        <f t="shared" si="10"/>
        <v>100</v>
      </c>
      <c r="T35" s="773" t="s">
        <v>17</v>
      </c>
      <c r="U35" s="774">
        <f t="shared" si="11"/>
        <v>100</v>
      </c>
      <c r="V35" s="773" t="s">
        <v>17</v>
      </c>
      <c r="W35" s="774">
        <f t="shared" si="12"/>
        <v>100</v>
      </c>
      <c r="X35" s="1815"/>
      <c r="Y35" s="3365"/>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65"/>
      <c r="Q36" s="1812" t="str">
        <f t="shared" si="14"/>
        <v>宗地开发程度</v>
      </c>
      <c r="R36" s="769" t="s">
        <v>17</v>
      </c>
      <c r="S36" s="770">
        <f t="shared" si="10"/>
        <v>100</v>
      </c>
      <c r="T36" s="769" t="s">
        <v>17</v>
      </c>
      <c r="U36" s="770">
        <f t="shared" si="11"/>
        <v>100</v>
      </c>
      <c r="V36" s="769" t="s">
        <v>17</v>
      </c>
      <c r="W36" s="770">
        <f t="shared" si="12"/>
        <v>100</v>
      </c>
      <c r="X36" s="771"/>
      <c r="Y36" s="3365"/>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65" t="s">
        <v>2569</v>
      </c>
      <c r="Q37" s="1812" t="str">
        <f t="shared" si="14"/>
        <v>工程地质条件</v>
      </c>
      <c r="R37" s="773" t="s">
        <v>17</v>
      </c>
      <c r="S37" s="774">
        <f t="shared" si="10"/>
        <v>100</v>
      </c>
      <c r="T37" s="773" t="s">
        <v>17</v>
      </c>
      <c r="U37" s="774">
        <f t="shared" si="11"/>
        <v>100</v>
      </c>
      <c r="V37" s="773" t="s">
        <v>17</v>
      </c>
      <c r="W37" s="774">
        <f t="shared" si="12"/>
        <v>100</v>
      </c>
      <c r="X37" s="1815"/>
      <c r="Y37" s="3365"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65"/>
      <c r="Q38" s="1812">
        <f t="shared" si="14"/>
        <v>111</v>
      </c>
      <c r="R38" s="773" t="s">
        <v>17</v>
      </c>
      <c r="S38" s="774">
        <f t="shared" si="10"/>
        <v>100</v>
      </c>
      <c r="T38" s="773" t="s">
        <v>17</v>
      </c>
      <c r="U38" s="774">
        <f t="shared" si="11"/>
        <v>100</v>
      </c>
      <c r="V38" s="773" t="s">
        <v>17</v>
      </c>
      <c r="W38" s="774">
        <f t="shared" si="12"/>
        <v>100</v>
      </c>
      <c r="X38" s="1815"/>
      <c r="Y38" s="336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65"/>
      <c r="Q39" s="1812">
        <f t="shared" si="14"/>
        <v>111</v>
      </c>
      <c r="R39" s="773" t="s">
        <v>17</v>
      </c>
      <c r="S39" s="774">
        <f t="shared" si="10"/>
        <v>100</v>
      </c>
      <c r="T39" s="773" t="s">
        <v>17</v>
      </c>
      <c r="U39" s="774">
        <f t="shared" si="11"/>
        <v>100</v>
      </c>
      <c r="V39" s="773" t="s">
        <v>17</v>
      </c>
      <c r="W39" s="774">
        <f t="shared" si="12"/>
        <v>100</v>
      </c>
      <c r="X39" s="1815"/>
      <c r="Y39" s="3365"/>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65"/>
      <c r="Q40" s="1812">
        <f t="shared" si="14"/>
        <v>111</v>
      </c>
      <c r="R40" s="776" t="s">
        <v>17</v>
      </c>
      <c r="S40" s="777">
        <f t="shared" si="10"/>
        <v>100</v>
      </c>
      <c r="T40" s="776" t="s">
        <v>17</v>
      </c>
      <c r="U40" s="777">
        <f t="shared" si="11"/>
        <v>100</v>
      </c>
      <c r="V40" s="776" t="s">
        <v>17</v>
      </c>
      <c r="W40" s="777">
        <f t="shared" si="12"/>
        <v>100</v>
      </c>
      <c r="X40" s="778"/>
      <c r="Y40" s="3365"/>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53" t="str">
        <f>A41</f>
        <v>成交单价</v>
      </c>
      <c r="Q41" s="3353"/>
      <c r="R41" s="3387">
        <f>E41</f>
        <v>0</v>
      </c>
      <c r="S41" s="3387"/>
      <c r="T41" s="3387">
        <f>G41</f>
        <v>0</v>
      </c>
      <c r="U41" s="3387"/>
      <c r="V41" s="3387">
        <f>I41</f>
        <v>0</v>
      </c>
      <c r="W41" s="338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53" t="str">
        <f>A42</f>
        <v>比较价值（元/平方米）</v>
      </c>
      <c r="Q42" s="3353"/>
      <c r="R42" s="3446" t="e">
        <f>ROUND(PRODUCT(R41,AA7:AA40),0)</f>
        <v>#DIV/0!</v>
      </c>
      <c r="S42" s="3446"/>
      <c r="T42" s="3446" t="e">
        <f>ROUND(PRODUCT(T41,AB7:AB40),0)</f>
        <v>#DIV/0!</v>
      </c>
      <c r="U42" s="3446"/>
      <c r="V42" s="3446" t="e">
        <f>ROUND(PRODUCT(V41,AC7:AC40),0)</f>
        <v>#DIV/0!</v>
      </c>
      <c r="W42" s="3446"/>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31" t="str">
        <f>A43</f>
        <v>估价对象XX用房的比较价值（楼面单价，元/平方米）</v>
      </c>
      <c r="Q43" s="3432"/>
      <c r="R43" s="3447" t="e">
        <f>ROUND(AVERAGE(R42:V42),0)</f>
        <v>#DIV/0!</v>
      </c>
      <c r="S43" s="3447"/>
      <c r="T43" s="3447"/>
      <c r="U43" s="3447"/>
      <c r="V43" s="3447"/>
      <c r="W43" s="34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70" t="s">
        <v>2768</v>
      </c>
      <c r="H50" s="3448"/>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191.05</v>
      </c>
      <c r="F51" s="690" t="e">
        <f t="shared" ref="F51:F60" si="15">ROUND(B51*E51/10000,0)</f>
        <v>#DIV/0!</v>
      </c>
      <c r="G51" s="3352"/>
      <c r="H51" s="3353"/>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49"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49"/>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49"/>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49"/>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57"/>
      <c r="B4" s="3458"/>
      <c r="C4" s="3458"/>
      <c r="D4" s="3459"/>
      <c r="E4" s="3459"/>
      <c r="F4" s="3459"/>
      <c r="G4" s="3459"/>
      <c r="H4" s="3459"/>
      <c r="I4" s="3459"/>
      <c r="J4" s="3460"/>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61"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62"/>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54" t="s">
        <v>2844</v>
      </c>
      <c r="X8" s="3455"/>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62"/>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56"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62"/>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62"/>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56"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61"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56"/>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63"/>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5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63"/>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64"/>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61"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62"/>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43405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71"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72"/>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72"/>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73"/>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65" t="s">
        <v>2978</v>
      </c>
      <c r="B90" s="3465"/>
      <c r="C90" s="3465"/>
      <c r="D90" s="3465"/>
      <c r="E90" s="3465"/>
      <c r="F90" s="3465"/>
      <c r="G90" s="3465"/>
      <c r="H90" s="3465"/>
      <c r="I90" s="3465"/>
      <c r="J90" s="3465"/>
      <c r="K90" s="2897"/>
      <c r="L90" s="2897"/>
      <c r="M90" s="2897"/>
      <c r="N90" s="2897"/>
    </row>
    <row r="91" spans="1:37">
      <c r="A91" s="3467" t="s">
        <v>2979</v>
      </c>
      <c r="B91" s="3467" t="s">
        <v>2980</v>
      </c>
      <c r="C91" s="2851" t="s">
        <v>2981</v>
      </c>
      <c r="D91" s="2852"/>
      <c r="E91" s="2852"/>
      <c r="F91" s="2852"/>
      <c r="G91" s="2852"/>
      <c r="H91" s="2852"/>
      <c r="I91" s="2852"/>
      <c r="J91" s="2898"/>
      <c r="K91" s="2899"/>
      <c r="L91" s="2899"/>
      <c r="M91" s="2899"/>
      <c r="N91" s="2899"/>
    </row>
    <row r="92" spans="1:37">
      <c r="A92" s="3467"/>
      <c r="B92" s="3467"/>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68"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6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6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6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6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6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69"/>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7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68"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6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6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6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6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6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6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69"/>
      <c r="B108" s="3317"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70"/>
      <c r="B109" s="3318"/>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66" t="s">
        <v>2986</v>
      </c>
      <c r="B110" s="3466"/>
      <c r="C110" s="3466"/>
      <c r="D110" s="3466"/>
      <c r="E110" s="3466"/>
      <c r="F110" s="3466"/>
      <c r="G110" s="3466"/>
      <c r="H110" s="3466"/>
      <c r="I110" s="3466"/>
      <c r="J110" s="3466"/>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74" t="s">
        <v>183</v>
      </c>
      <c r="B18" s="881" t="s">
        <v>560</v>
      </c>
      <c r="C18" s="882" t="s">
        <v>561</v>
      </c>
      <c r="D18" s="883"/>
      <c r="E18" s="881">
        <v>1</v>
      </c>
      <c r="F18" s="884" t="s">
        <v>562</v>
      </c>
      <c r="G18" s="885"/>
      <c r="H18" s="877"/>
      <c r="I18" s="877"/>
    </row>
    <row r="19" spans="1:9" s="886" customFormat="1" ht="19.5" customHeight="1">
      <c r="A19" s="3474"/>
      <c r="B19" s="3474" t="s">
        <v>563</v>
      </c>
      <c r="C19" s="882" t="s">
        <v>564</v>
      </c>
      <c r="D19" s="883"/>
      <c r="E19" s="881">
        <v>0.9</v>
      </c>
      <c r="F19" s="884" t="s">
        <v>565</v>
      </c>
      <c r="G19" s="885"/>
      <c r="H19" s="877"/>
      <c r="I19" s="877"/>
    </row>
    <row r="20" spans="1:9" s="886" customFormat="1" ht="19.5" customHeight="1">
      <c r="A20" s="3474"/>
      <c r="B20" s="3474"/>
      <c r="C20" s="882" t="s">
        <v>566</v>
      </c>
      <c r="D20" s="883"/>
      <c r="E20" s="881">
        <v>1.1000000000000001</v>
      </c>
      <c r="F20" s="884" t="s">
        <v>567</v>
      </c>
      <c r="G20" s="885"/>
      <c r="H20" s="877"/>
      <c r="I20" s="877"/>
    </row>
    <row r="21" spans="1:9" s="886" customFormat="1" ht="19.5" customHeight="1">
      <c r="A21" s="3474"/>
      <c r="B21" s="3474"/>
      <c r="C21" s="882" t="s">
        <v>568</v>
      </c>
      <c r="D21" s="883"/>
      <c r="E21" s="881">
        <v>0.8</v>
      </c>
      <c r="F21" s="884" t="s">
        <v>569</v>
      </c>
      <c r="G21" s="885"/>
      <c r="H21" s="877"/>
      <c r="I21" s="877"/>
    </row>
    <row r="22" spans="1:9" s="886" customFormat="1" ht="19.5" customHeight="1">
      <c r="A22" s="3474"/>
      <c r="B22" s="3474"/>
      <c r="C22" s="882" t="s">
        <v>570</v>
      </c>
      <c r="D22" s="883"/>
      <c r="E22" s="881">
        <v>0.5</v>
      </c>
      <c r="F22" s="884"/>
      <c r="G22" s="885"/>
      <c r="H22" s="877"/>
      <c r="I22" s="877"/>
    </row>
    <row r="23" spans="1:9" s="886" customFormat="1" ht="19.5" customHeight="1">
      <c r="A23" s="3474" t="s">
        <v>184</v>
      </c>
      <c r="B23" s="881" t="s">
        <v>560</v>
      </c>
      <c r="C23" s="882" t="s">
        <v>571</v>
      </c>
      <c r="D23" s="883"/>
      <c r="E23" s="881">
        <v>1</v>
      </c>
      <c r="F23" s="884" t="s">
        <v>572</v>
      </c>
      <c r="G23" s="885"/>
      <c r="H23" s="877"/>
      <c r="I23" s="877"/>
    </row>
    <row r="24" spans="1:9" s="886" customFormat="1" ht="19.5" customHeight="1">
      <c r="A24" s="3474"/>
      <c r="B24" s="3474" t="s">
        <v>563</v>
      </c>
      <c r="C24" s="882" t="s">
        <v>573</v>
      </c>
      <c r="D24" s="883"/>
      <c r="E24" s="881">
        <v>0.5</v>
      </c>
      <c r="F24" s="884"/>
      <c r="G24" s="885"/>
      <c r="H24" s="877"/>
      <c r="I24" s="877"/>
    </row>
    <row r="25" spans="1:9" s="886" customFormat="1" ht="19.5" customHeight="1">
      <c r="A25" s="3474"/>
      <c r="B25" s="3474"/>
      <c r="C25" s="882" t="s">
        <v>574</v>
      </c>
      <c r="D25" s="883"/>
      <c r="E25" s="881">
        <v>1.1000000000000001</v>
      </c>
      <c r="F25" s="884"/>
      <c r="G25" s="885"/>
      <c r="H25" s="877"/>
      <c r="I25" s="877"/>
    </row>
    <row r="26" spans="1:9" s="886" customFormat="1" ht="19.5" customHeight="1">
      <c r="A26" s="3474"/>
      <c r="B26" s="3474"/>
      <c r="C26" s="882" t="s">
        <v>575</v>
      </c>
      <c r="D26" s="883"/>
      <c r="E26" s="881">
        <v>1.1000000000000001</v>
      </c>
      <c r="F26" s="884"/>
      <c r="G26" s="885"/>
      <c r="H26" s="877"/>
      <c r="I26" s="877"/>
    </row>
    <row r="27" spans="1:9" s="886" customFormat="1" ht="19.5" customHeight="1">
      <c r="A27" s="3474"/>
      <c r="B27" s="3474"/>
      <c r="C27" s="882" t="s">
        <v>576</v>
      </c>
      <c r="D27" s="883"/>
      <c r="E27" s="881">
        <v>0.9</v>
      </c>
      <c r="F27" s="884" t="s">
        <v>577</v>
      </c>
      <c r="G27" s="885"/>
      <c r="H27" s="877"/>
      <c r="I27" s="877"/>
    </row>
    <row r="28" spans="1:9" s="886" customFormat="1" ht="19.5" customHeight="1">
      <c r="A28" s="3474"/>
      <c r="B28" s="3474"/>
      <c r="C28" s="882" t="s">
        <v>578</v>
      </c>
      <c r="D28" s="883"/>
      <c r="E28" s="881">
        <v>0.9</v>
      </c>
      <c r="F28" s="884" t="s">
        <v>579</v>
      </c>
      <c r="G28" s="885"/>
      <c r="H28" s="877"/>
      <c r="I28" s="877"/>
    </row>
    <row r="29" spans="1:9" s="886" customFormat="1" ht="19.5" customHeight="1">
      <c r="A29" s="3474"/>
      <c r="B29" s="3474"/>
      <c r="C29" s="882" t="s">
        <v>580</v>
      </c>
      <c r="D29" s="883"/>
      <c r="E29" s="881">
        <v>0.9</v>
      </c>
      <c r="F29" s="884" t="s">
        <v>581</v>
      </c>
      <c r="G29" s="885"/>
      <c r="H29" s="877"/>
      <c r="I29" s="877"/>
    </row>
    <row r="30" spans="1:9" s="886" customFormat="1" ht="19.5" customHeight="1">
      <c r="A30" s="3474"/>
      <c r="B30" s="3474"/>
      <c r="C30" s="882" t="s">
        <v>582</v>
      </c>
      <c r="D30" s="883"/>
      <c r="E30" s="881">
        <v>0.9</v>
      </c>
      <c r="F30" s="884" t="s">
        <v>583</v>
      </c>
      <c r="G30" s="885"/>
      <c r="H30" s="877"/>
      <c r="I30" s="877"/>
    </row>
    <row r="31" spans="1:9" s="886" customFormat="1" ht="19.5" customHeight="1">
      <c r="A31" s="3474"/>
      <c r="B31" s="3474"/>
      <c r="C31" s="882" t="s">
        <v>584</v>
      </c>
      <c r="D31" s="883"/>
      <c r="E31" s="881">
        <v>0.8</v>
      </c>
      <c r="F31" s="884" t="s">
        <v>585</v>
      </c>
      <c r="G31" s="885"/>
      <c r="H31" s="877"/>
      <c r="I31" s="877"/>
    </row>
    <row r="32" spans="1:9" s="886" customFormat="1" ht="19.5" customHeight="1">
      <c r="A32" s="3474"/>
      <c r="B32" s="3474"/>
      <c r="C32" s="882" t="s">
        <v>586</v>
      </c>
      <c r="D32" s="883"/>
      <c r="E32" s="881">
        <v>0.8</v>
      </c>
      <c r="F32" s="884" t="s">
        <v>587</v>
      </c>
      <c r="G32" s="885"/>
      <c r="H32" s="877"/>
      <c r="I32" s="877"/>
    </row>
    <row r="33" spans="1:9" s="886" customFormat="1" ht="19.5" customHeight="1">
      <c r="A33" s="3474" t="s">
        <v>185</v>
      </c>
      <c r="B33" s="881" t="s">
        <v>560</v>
      </c>
      <c r="C33" s="882" t="s">
        <v>588</v>
      </c>
      <c r="D33" s="883"/>
      <c r="E33" s="881">
        <v>1</v>
      </c>
      <c r="F33" s="884" t="s">
        <v>589</v>
      </c>
      <c r="G33" s="885"/>
      <c r="H33" s="877"/>
      <c r="I33" s="877"/>
    </row>
    <row r="34" spans="1:9" s="886" customFormat="1" ht="19.5" customHeight="1">
      <c r="A34" s="3474"/>
      <c r="B34" s="881" t="s">
        <v>563</v>
      </c>
      <c r="C34" s="882" t="s">
        <v>590</v>
      </c>
      <c r="D34" s="883"/>
      <c r="E34" s="881">
        <v>1.5</v>
      </c>
      <c r="F34" s="884" t="s">
        <v>591</v>
      </c>
      <c r="G34" s="885"/>
      <c r="H34" s="877"/>
      <c r="I34" s="877"/>
    </row>
    <row r="35" spans="1:9" s="886" customFormat="1" ht="19.5" customHeight="1">
      <c r="A35" s="3474" t="s">
        <v>186</v>
      </c>
      <c r="B35" s="881" t="s">
        <v>560</v>
      </c>
      <c r="C35" s="882" t="s">
        <v>592</v>
      </c>
      <c r="D35" s="883"/>
      <c r="E35" s="881">
        <v>1</v>
      </c>
      <c r="F35" s="884" t="s">
        <v>593</v>
      </c>
      <c r="G35" s="885"/>
      <c r="H35" s="877"/>
      <c r="I35" s="877"/>
    </row>
    <row r="36" spans="1:9" s="886" customFormat="1" ht="19.5" customHeight="1">
      <c r="A36" s="3474"/>
      <c r="B36" s="3474" t="s">
        <v>563</v>
      </c>
      <c r="C36" s="882" t="s">
        <v>594</v>
      </c>
      <c r="D36" s="883"/>
      <c r="E36" s="881">
        <v>1</v>
      </c>
      <c r="F36" s="884" t="s">
        <v>595</v>
      </c>
      <c r="G36" s="885"/>
      <c r="H36" s="877"/>
      <c r="I36" s="877"/>
    </row>
    <row r="37" spans="1:9" s="886" customFormat="1" ht="19.5" customHeight="1">
      <c r="A37" s="3474"/>
      <c r="B37" s="3474"/>
      <c r="C37" s="882" t="s">
        <v>596</v>
      </c>
      <c r="D37" s="883"/>
      <c r="E37" s="881">
        <v>1.5</v>
      </c>
      <c r="F37" s="884" t="s">
        <v>597</v>
      </c>
      <c r="G37" s="885"/>
      <c r="H37" s="877"/>
      <c r="I37" s="877"/>
    </row>
    <row r="38" spans="1:9" s="886" customFormat="1" ht="19.5" customHeight="1">
      <c r="A38" s="3474"/>
      <c r="B38" s="3474"/>
      <c r="C38" s="882" t="s">
        <v>598</v>
      </c>
      <c r="D38" s="883"/>
      <c r="E38" s="881">
        <v>1</v>
      </c>
      <c r="F38" s="884" t="s">
        <v>599</v>
      </c>
      <c r="G38" s="885"/>
      <c r="H38" s="877"/>
      <c r="I38" s="877"/>
    </row>
    <row r="39" spans="1:9" s="886" customFormat="1" ht="19.5" customHeight="1">
      <c r="A39" s="3474"/>
      <c r="B39" s="34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74" t="s">
        <v>614</v>
      </c>
      <c r="C61" s="817" t="s">
        <v>615</v>
      </c>
      <c r="D61" s="817" t="s">
        <v>616</v>
      </c>
      <c r="E61" s="894">
        <v>0.5</v>
      </c>
      <c r="F61" s="881">
        <v>80</v>
      </c>
    </row>
    <row r="62" spans="1:8" s="877" customFormat="1" ht="24">
      <c r="A62" s="881">
        <v>2</v>
      </c>
      <c r="B62" s="3474"/>
      <c r="C62" s="817" t="s">
        <v>617</v>
      </c>
      <c r="D62" s="817" t="s">
        <v>618</v>
      </c>
      <c r="E62" s="894">
        <v>0.5</v>
      </c>
      <c r="F62" s="881">
        <v>80</v>
      </c>
    </row>
    <row r="63" spans="1:8" s="877" customFormat="1" ht="36">
      <c r="A63" s="881">
        <v>3</v>
      </c>
      <c r="B63" s="3474"/>
      <c r="C63" s="817" t="s">
        <v>619</v>
      </c>
      <c r="D63" s="817" t="s">
        <v>620</v>
      </c>
      <c r="E63" s="894">
        <v>0.5</v>
      </c>
      <c r="F63" s="881">
        <v>80</v>
      </c>
    </row>
    <row r="64" spans="1:8" s="877" customFormat="1" ht="36">
      <c r="A64" s="881">
        <v>4</v>
      </c>
      <c r="B64" s="3474"/>
      <c r="C64" s="817" t="s">
        <v>621</v>
      </c>
      <c r="D64" s="817" t="s">
        <v>622</v>
      </c>
      <c r="E64" s="894">
        <v>0.4</v>
      </c>
      <c r="F64" s="881">
        <v>60</v>
      </c>
    </row>
    <row r="65" spans="1:6" s="877" customFormat="1" ht="36">
      <c r="A65" s="881">
        <v>5</v>
      </c>
      <c r="B65" s="3474"/>
      <c r="C65" s="817" t="s">
        <v>623</v>
      </c>
      <c r="D65" s="817" t="s">
        <v>624</v>
      </c>
      <c r="E65" s="894">
        <v>0.2</v>
      </c>
      <c r="F65" s="881">
        <v>30</v>
      </c>
    </row>
    <row r="66" spans="1:6" s="877" customFormat="1" ht="36">
      <c r="A66" s="881">
        <v>6</v>
      </c>
      <c r="B66" s="3474"/>
      <c r="C66" s="817" t="s">
        <v>625</v>
      </c>
      <c r="D66" s="817" t="s">
        <v>626</v>
      </c>
      <c r="E66" s="894">
        <v>0.3</v>
      </c>
      <c r="F66" s="881">
        <v>50</v>
      </c>
    </row>
    <row r="67" spans="1:6" s="877" customFormat="1" ht="36">
      <c r="A67" s="881">
        <v>7</v>
      </c>
      <c r="B67" s="3474"/>
      <c r="C67" s="817" t="s">
        <v>627</v>
      </c>
      <c r="D67" s="817" t="s">
        <v>628</v>
      </c>
      <c r="E67" s="894">
        <v>0.2</v>
      </c>
      <c r="F67" s="881">
        <v>30</v>
      </c>
    </row>
    <row r="68" spans="1:6" s="877" customFormat="1" ht="36">
      <c r="A68" s="881">
        <v>8</v>
      </c>
      <c r="B68" s="3474"/>
      <c r="C68" s="817" t="s">
        <v>629</v>
      </c>
      <c r="D68" s="817" t="s">
        <v>630</v>
      </c>
      <c r="E68" s="894">
        <v>0.2</v>
      </c>
      <c r="F68" s="881">
        <v>30</v>
      </c>
    </row>
    <row r="69" spans="1:6" s="877" customFormat="1" ht="36">
      <c r="A69" s="881">
        <v>9</v>
      </c>
      <c r="B69" s="3474"/>
      <c r="C69" s="817" t="s">
        <v>631</v>
      </c>
      <c r="D69" s="817" t="s">
        <v>632</v>
      </c>
      <c r="E69" s="894">
        <v>0.2</v>
      </c>
      <c r="F69" s="881">
        <v>30</v>
      </c>
    </row>
    <row r="70" spans="1:6" s="877" customFormat="1" ht="48">
      <c r="A70" s="881">
        <v>10</v>
      </c>
      <c r="B70" s="3474"/>
      <c r="C70" s="817" t="s">
        <v>633</v>
      </c>
      <c r="D70" s="817" t="s">
        <v>634</v>
      </c>
      <c r="E70" s="894">
        <v>0.2</v>
      </c>
      <c r="F70" s="881">
        <v>30</v>
      </c>
    </row>
    <row r="71" spans="1:6" s="877" customFormat="1" ht="48">
      <c r="A71" s="881">
        <v>11</v>
      </c>
      <c r="B71" s="3474"/>
      <c r="C71" s="817" t="s">
        <v>635</v>
      </c>
      <c r="D71" s="817" t="s">
        <v>636</v>
      </c>
      <c r="E71" s="894">
        <v>0.2</v>
      </c>
      <c r="F71" s="881">
        <v>30</v>
      </c>
    </row>
    <row r="72" spans="1:6" s="877" customFormat="1" ht="36">
      <c r="A72" s="881">
        <v>12</v>
      </c>
      <c r="B72" s="3474"/>
      <c r="C72" s="817" t="s">
        <v>637</v>
      </c>
      <c r="D72" s="817" t="s">
        <v>638</v>
      </c>
      <c r="E72" s="894">
        <v>0.5</v>
      </c>
      <c r="F72" s="881">
        <v>80</v>
      </c>
    </row>
    <row r="73" spans="1:6" s="877" customFormat="1" ht="24">
      <c r="A73" s="881">
        <v>13</v>
      </c>
      <c r="B73" s="3474"/>
      <c r="C73" s="817" t="s">
        <v>639</v>
      </c>
      <c r="D73" s="817" t="s">
        <v>640</v>
      </c>
      <c r="E73" s="894">
        <v>0.4</v>
      </c>
      <c r="F73" s="881">
        <v>60</v>
      </c>
    </row>
    <row r="74" spans="1:6" s="877" customFormat="1" ht="24">
      <c r="A74" s="881">
        <v>14</v>
      </c>
      <c r="B74" s="3474"/>
      <c r="C74" s="817" t="s">
        <v>641</v>
      </c>
      <c r="D74" s="817" t="s">
        <v>642</v>
      </c>
      <c r="E74" s="894">
        <v>0.2</v>
      </c>
      <c r="F74" s="881">
        <v>30</v>
      </c>
    </row>
    <row r="75" spans="1:6" s="877" customFormat="1" ht="24">
      <c r="A75" s="881">
        <v>15</v>
      </c>
      <c r="B75" s="3474"/>
      <c r="C75" s="817" t="s">
        <v>643</v>
      </c>
      <c r="D75" s="817" t="s">
        <v>644</v>
      </c>
      <c r="E75" s="894">
        <v>0.2</v>
      </c>
      <c r="F75" s="881">
        <v>30</v>
      </c>
    </row>
    <row r="76" spans="1:6" s="877" customFormat="1" ht="24">
      <c r="A76" s="881">
        <v>16</v>
      </c>
      <c r="B76" s="3474" t="s">
        <v>645</v>
      </c>
      <c r="C76" s="817" t="s">
        <v>646</v>
      </c>
      <c r="D76" s="817" t="s">
        <v>647</v>
      </c>
      <c r="E76" s="894">
        <v>0.5</v>
      </c>
      <c r="F76" s="881">
        <v>80</v>
      </c>
    </row>
    <row r="77" spans="1:6" s="877" customFormat="1" ht="24">
      <c r="A77" s="881">
        <v>17</v>
      </c>
      <c r="B77" s="3474"/>
      <c r="C77" s="817" t="s">
        <v>648</v>
      </c>
      <c r="D77" s="817" t="s">
        <v>649</v>
      </c>
      <c r="E77" s="894">
        <v>0.5</v>
      </c>
      <c r="F77" s="881">
        <v>80</v>
      </c>
    </row>
    <row r="78" spans="1:6" s="877" customFormat="1" ht="24">
      <c r="A78" s="881">
        <v>18</v>
      </c>
      <c r="B78" s="3474"/>
      <c r="C78" s="817" t="s">
        <v>650</v>
      </c>
      <c r="D78" s="817" t="s">
        <v>651</v>
      </c>
      <c r="E78" s="894">
        <v>0.2</v>
      </c>
      <c r="F78" s="881">
        <v>30</v>
      </c>
    </row>
    <row r="79" spans="1:6" s="877" customFormat="1" ht="24">
      <c r="A79" s="881">
        <v>19</v>
      </c>
      <c r="B79" s="3474"/>
      <c r="C79" s="817" t="s">
        <v>652</v>
      </c>
      <c r="D79" s="817" t="s">
        <v>653</v>
      </c>
      <c r="E79" s="894">
        <v>0.5</v>
      </c>
      <c r="F79" s="881">
        <v>80</v>
      </c>
    </row>
    <row r="80" spans="1:6" s="877" customFormat="1" ht="36">
      <c r="A80" s="881">
        <v>20</v>
      </c>
      <c r="B80" s="3474"/>
      <c r="C80" s="817" t="s">
        <v>654</v>
      </c>
      <c r="D80" s="817" t="s">
        <v>655</v>
      </c>
      <c r="E80" s="894">
        <v>0.2</v>
      </c>
      <c r="F80" s="881">
        <v>30</v>
      </c>
    </row>
    <row r="81" spans="1:6" s="877" customFormat="1" ht="36">
      <c r="A81" s="881">
        <v>21</v>
      </c>
      <c r="B81" s="3474"/>
      <c r="C81" s="817" t="s">
        <v>656</v>
      </c>
      <c r="D81" s="817" t="s">
        <v>657</v>
      </c>
      <c r="E81" s="894">
        <v>0.2</v>
      </c>
      <c r="F81" s="881">
        <v>30</v>
      </c>
    </row>
    <row r="82" spans="1:6" s="877" customFormat="1" ht="48">
      <c r="A82" s="881">
        <v>22</v>
      </c>
      <c r="B82" s="3474"/>
      <c r="C82" s="817" t="s">
        <v>658</v>
      </c>
      <c r="D82" s="817" t="s">
        <v>659</v>
      </c>
      <c r="E82" s="894">
        <v>0.2</v>
      </c>
      <c r="F82" s="881">
        <v>30</v>
      </c>
    </row>
    <row r="83" spans="1:6" s="877" customFormat="1" ht="48">
      <c r="A83" s="881">
        <v>23</v>
      </c>
      <c r="B83" s="3474"/>
      <c r="C83" s="817" t="s">
        <v>660</v>
      </c>
      <c r="D83" s="817" t="s">
        <v>661</v>
      </c>
      <c r="E83" s="894">
        <v>0.2</v>
      </c>
      <c r="F83" s="881">
        <v>30</v>
      </c>
    </row>
    <row r="84" spans="1:6" s="877" customFormat="1" ht="36">
      <c r="A84" s="881">
        <v>24</v>
      </c>
      <c r="B84" s="3474"/>
      <c r="C84" s="817" t="s">
        <v>662</v>
      </c>
      <c r="D84" s="817" t="s">
        <v>663</v>
      </c>
      <c r="E84" s="894">
        <v>0.2</v>
      </c>
      <c r="F84" s="881">
        <v>30</v>
      </c>
    </row>
    <row r="85" spans="1:6" s="877" customFormat="1" ht="36">
      <c r="A85" s="881">
        <v>25</v>
      </c>
      <c r="B85" s="3474"/>
      <c r="C85" s="817" t="s">
        <v>664</v>
      </c>
      <c r="D85" s="817" t="s">
        <v>665</v>
      </c>
      <c r="E85" s="894">
        <v>0.5</v>
      </c>
      <c r="F85" s="881">
        <v>80</v>
      </c>
    </row>
    <row r="86" spans="1:6" s="877" customFormat="1" ht="36">
      <c r="A86" s="881">
        <v>26</v>
      </c>
      <c r="B86" s="3474"/>
      <c r="C86" s="817" t="s">
        <v>666</v>
      </c>
      <c r="D86" s="817" t="s">
        <v>667</v>
      </c>
      <c r="E86" s="894">
        <v>0.2</v>
      </c>
      <c r="F86" s="881">
        <v>30</v>
      </c>
    </row>
    <row r="87" spans="1:6" s="877" customFormat="1" ht="36">
      <c r="A87" s="881">
        <v>27</v>
      </c>
      <c r="B87" s="3474"/>
      <c r="C87" s="817" t="s">
        <v>668</v>
      </c>
      <c r="D87" s="817" t="s">
        <v>669</v>
      </c>
      <c r="E87" s="894">
        <v>0.2</v>
      </c>
      <c r="F87" s="881">
        <v>30</v>
      </c>
    </row>
    <row r="88" spans="1:6" s="877" customFormat="1" ht="36">
      <c r="A88" s="881">
        <v>28</v>
      </c>
      <c r="B88" s="3474"/>
      <c r="C88" s="817" t="s">
        <v>670</v>
      </c>
      <c r="D88" s="817" t="s">
        <v>671</v>
      </c>
      <c r="E88" s="894">
        <v>0.2</v>
      </c>
      <c r="F88" s="881">
        <v>30</v>
      </c>
    </row>
    <row r="89" spans="1:6" s="877" customFormat="1" ht="24">
      <c r="A89" s="881">
        <v>29</v>
      </c>
      <c r="B89" s="3474"/>
      <c r="C89" s="817" t="s">
        <v>672</v>
      </c>
      <c r="D89" s="817" t="s">
        <v>673</v>
      </c>
      <c r="E89" s="894">
        <v>0.2</v>
      </c>
      <c r="F89" s="881">
        <v>30</v>
      </c>
    </row>
    <row r="90" spans="1:6" s="877" customFormat="1" ht="24">
      <c r="A90" s="881">
        <v>30</v>
      </c>
      <c r="B90" s="3474"/>
      <c r="C90" s="817" t="s">
        <v>674</v>
      </c>
      <c r="D90" s="817" t="s">
        <v>675</v>
      </c>
      <c r="E90" s="894">
        <v>0.2</v>
      </c>
      <c r="F90" s="881">
        <v>30</v>
      </c>
    </row>
    <row r="91" spans="1:6" s="877" customFormat="1" ht="36">
      <c r="A91" s="881">
        <v>31</v>
      </c>
      <c r="B91" s="3474"/>
      <c r="C91" s="817" t="s">
        <v>676</v>
      </c>
      <c r="D91" s="817" t="s">
        <v>677</v>
      </c>
      <c r="E91" s="894">
        <v>0.2</v>
      </c>
      <c r="F91" s="881">
        <v>30</v>
      </c>
    </row>
    <row r="92" spans="1:6" s="877" customFormat="1" ht="24">
      <c r="A92" s="881">
        <v>32</v>
      </c>
      <c r="B92" s="3474" t="s">
        <v>678</v>
      </c>
      <c r="C92" s="881" t="s">
        <v>679</v>
      </c>
      <c r="D92" s="817" t="s">
        <v>680</v>
      </c>
      <c r="E92" s="894">
        <v>0.2</v>
      </c>
      <c r="F92" s="881">
        <v>30</v>
      </c>
    </row>
    <row r="93" spans="1:6" s="877" customFormat="1" ht="36">
      <c r="A93" s="881">
        <v>33</v>
      </c>
      <c r="B93" s="3474"/>
      <c r="C93" s="881" t="s">
        <v>681</v>
      </c>
      <c r="D93" s="817" t="s">
        <v>682</v>
      </c>
      <c r="E93" s="894">
        <v>0.2</v>
      </c>
      <c r="F93" s="881">
        <v>30</v>
      </c>
    </row>
    <row r="94" spans="1:6" s="877" customFormat="1" ht="48">
      <c r="A94" s="881">
        <v>34</v>
      </c>
      <c r="B94" s="3474"/>
      <c r="C94" s="881" t="s">
        <v>683</v>
      </c>
      <c r="D94" s="817" t="s">
        <v>684</v>
      </c>
      <c r="E94" s="894">
        <v>0.2</v>
      </c>
      <c r="F94" s="881">
        <v>30</v>
      </c>
    </row>
    <row r="95" spans="1:6" s="877" customFormat="1" ht="36">
      <c r="A95" s="881">
        <v>35</v>
      </c>
      <c r="B95" s="3474"/>
      <c r="C95" s="881" t="s">
        <v>685</v>
      </c>
      <c r="D95" s="817" t="s">
        <v>686</v>
      </c>
      <c r="E95" s="894">
        <v>0.2</v>
      </c>
      <c r="F95" s="881">
        <v>30</v>
      </c>
    </row>
    <row r="96" spans="1:6" s="877" customFormat="1" ht="48">
      <c r="A96" s="881">
        <v>36</v>
      </c>
      <c r="B96" s="3474"/>
      <c r="C96" s="817" t="s">
        <v>687</v>
      </c>
      <c r="D96" s="817" t="s">
        <v>688</v>
      </c>
      <c r="E96" s="894">
        <v>0.2</v>
      </c>
      <c r="F96" s="881">
        <v>30</v>
      </c>
    </row>
    <row r="97" spans="1:6" s="877" customFormat="1" ht="36">
      <c r="A97" s="881">
        <v>37</v>
      </c>
      <c r="B97" s="3474"/>
      <c r="C97" s="881" t="s">
        <v>689</v>
      </c>
      <c r="D97" s="817" t="s">
        <v>690</v>
      </c>
      <c r="E97" s="894">
        <v>0.2</v>
      </c>
      <c r="F97" s="881">
        <v>30</v>
      </c>
    </row>
    <row r="98" spans="1:6" s="877" customFormat="1" ht="36">
      <c r="A98" s="881">
        <v>38</v>
      </c>
      <c r="B98" s="3474"/>
      <c r="C98" s="881" t="s">
        <v>691</v>
      </c>
      <c r="D98" s="817" t="s">
        <v>692</v>
      </c>
      <c r="E98" s="894">
        <v>0.2</v>
      </c>
      <c r="F98" s="881">
        <v>30</v>
      </c>
    </row>
    <row r="99" spans="1:6" s="877" customFormat="1" ht="36">
      <c r="A99" s="881">
        <v>39</v>
      </c>
      <c r="B99" s="3474" t="s">
        <v>693</v>
      </c>
      <c r="C99" s="881" t="s">
        <v>694</v>
      </c>
      <c r="D99" s="817" t="s">
        <v>695</v>
      </c>
      <c r="E99" s="894">
        <v>0.3</v>
      </c>
      <c r="F99" s="881">
        <v>50</v>
      </c>
    </row>
    <row r="100" spans="1:6" s="877" customFormat="1" ht="24">
      <c r="A100" s="881">
        <v>40</v>
      </c>
      <c r="B100" s="3474"/>
      <c r="C100" s="881" t="s">
        <v>696</v>
      </c>
      <c r="D100" s="817" t="s">
        <v>697</v>
      </c>
      <c r="E100" s="894">
        <v>0.2</v>
      </c>
      <c r="F100" s="881">
        <v>30</v>
      </c>
    </row>
    <row r="101" spans="1:6" s="877" customFormat="1" ht="36">
      <c r="A101" s="881">
        <v>41</v>
      </c>
      <c r="B101" s="34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74" t="s">
        <v>708</v>
      </c>
      <c r="C105" s="881" t="s">
        <v>709</v>
      </c>
      <c r="D105" s="817" t="s">
        <v>710</v>
      </c>
      <c r="E105" s="894">
        <v>0.2</v>
      </c>
      <c r="F105" s="881">
        <v>30</v>
      </c>
    </row>
    <row r="106" spans="1:6" s="877" customFormat="1" ht="36">
      <c r="A106" s="881">
        <v>46</v>
      </c>
      <c r="B106" s="3474"/>
      <c r="C106" s="881" t="s">
        <v>711</v>
      </c>
      <c r="D106" s="817" t="s">
        <v>712</v>
      </c>
      <c r="E106" s="894">
        <v>0.2</v>
      </c>
      <c r="F106" s="881">
        <v>30</v>
      </c>
    </row>
    <row r="107" spans="1:6" s="877" customFormat="1" ht="36">
      <c r="A107" s="881">
        <v>47</v>
      </c>
      <c r="B107" s="3474" t="s">
        <v>713</v>
      </c>
      <c r="C107" s="881" t="s">
        <v>714</v>
      </c>
      <c r="D107" s="817" t="s">
        <v>715</v>
      </c>
      <c r="E107" s="894">
        <v>0.3</v>
      </c>
      <c r="F107" s="881">
        <v>50</v>
      </c>
    </row>
    <row r="108" spans="1:6" s="877" customFormat="1" ht="36">
      <c r="A108" s="881">
        <v>48</v>
      </c>
      <c r="B108" s="34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74" t="s">
        <v>724</v>
      </c>
      <c r="C111" s="881" t="s">
        <v>725</v>
      </c>
      <c r="D111" s="817" t="s">
        <v>726</v>
      </c>
      <c r="E111" s="894">
        <v>0.2</v>
      </c>
      <c r="F111" s="881">
        <v>30</v>
      </c>
    </row>
    <row r="112" spans="1:6" s="877" customFormat="1" ht="24">
      <c r="A112" s="881">
        <v>52</v>
      </c>
      <c r="B112" s="3474"/>
      <c r="C112" s="881" t="s">
        <v>727</v>
      </c>
      <c r="D112" s="817" t="s">
        <v>728</v>
      </c>
      <c r="E112" s="894">
        <v>0.2</v>
      </c>
      <c r="F112" s="881">
        <v>30</v>
      </c>
    </row>
    <row r="113" spans="1:6" s="877" customFormat="1" ht="24">
      <c r="A113" s="881">
        <v>53</v>
      </c>
      <c r="B113" s="34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74" t="s">
        <v>737</v>
      </c>
      <c r="C116" s="881" t="s">
        <v>738</v>
      </c>
      <c r="D116" s="817" t="s">
        <v>739</v>
      </c>
      <c r="E116" s="894">
        <v>0.2</v>
      </c>
      <c r="F116" s="881">
        <v>30</v>
      </c>
    </row>
    <row r="117" spans="1:6" ht="36">
      <c r="A117" s="881">
        <v>57</v>
      </c>
      <c r="B117" s="34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81" t="s">
        <v>1662</v>
      </c>
      <c r="B1" s="3181"/>
      <c r="C1" s="3181"/>
      <c r="D1" s="3181"/>
    </row>
    <row r="2" spans="1:4" ht="18">
      <c r="A2" s="3182" t="s">
        <v>1646</v>
      </c>
      <c r="B2" s="3182"/>
      <c r="C2" s="3182"/>
      <c r="D2" s="3182"/>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82" t="s">
        <v>1652</v>
      </c>
      <c r="B6" s="3182"/>
      <c r="C6" s="3182"/>
      <c r="D6" s="318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83" t="s">
        <v>1655</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1656</v>
      </c>
      <c r="B16" s="3177"/>
      <c r="C16" s="3177"/>
      <c r="D16" s="3177"/>
    </row>
    <row r="17" spans="1:4" ht="144" customHeight="1">
      <c r="A17" s="3177" t="s">
        <v>1657</v>
      </c>
      <c r="B17" s="3177"/>
      <c r="C17" s="3177"/>
      <c r="D17" s="3177"/>
    </row>
    <row r="18" spans="1:4" ht="15.75" customHeight="1">
      <c r="A18" s="3175" t="str">
        <f>IF(项目基本情况!B8="抵押",'结果表（办公）'!K120,"——")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1658</v>
      </c>
      <c r="B22" s="3179"/>
      <c r="C22" s="3179"/>
      <c r="D22" s="317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0" t="s">
        <v>1150</v>
      </c>
      <c r="C1" s="3480"/>
      <c r="D1" s="3480"/>
      <c r="E1" s="3480"/>
      <c r="F1" s="3480"/>
      <c r="G1" s="3479" t="s">
        <v>1151</v>
      </c>
      <c r="H1" s="3479"/>
      <c r="I1" s="3479"/>
      <c r="J1" s="3479"/>
      <c r="K1" s="3479"/>
      <c r="L1" s="3479"/>
      <c r="N1" s="3479" t="s">
        <v>1152</v>
      </c>
      <c r="O1" s="3479"/>
      <c r="P1" s="3479"/>
      <c r="Q1" s="3479"/>
      <c r="R1" s="1448"/>
      <c r="S1" s="3479" t="s">
        <v>1153</v>
      </c>
      <c r="T1" s="3479"/>
      <c r="U1" s="3479"/>
      <c r="V1" s="3479"/>
      <c r="X1" s="3478" t="s">
        <v>1154</v>
      </c>
      <c r="Y1" s="3479"/>
      <c r="Z1" s="3479"/>
      <c r="AA1" s="3479"/>
      <c r="AB1" s="3479"/>
      <c r="AD1" s="3478" t="s">
        <v>1155</v>
      </c>
      <c r="AE1" s="3479"/>
      <c r="AF1" s="3479"/>
      <c r="AG1" s="3479"/>
      <c r="AH1" s="34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7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7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7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7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7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7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7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7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7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7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7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8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8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8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7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7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7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7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7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7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7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7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7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7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7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7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7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7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7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7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7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7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7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7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7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7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7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7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7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7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7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7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7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7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7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7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7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7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7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7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7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76">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76">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7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7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76">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76">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7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F51" sqref="F50: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3314</v>
      </c>
      <c r="E1" s="2662"/>
      <c r="F1" s="2589" t="s">
        <v>3102</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t="e">
        <f ca="1">IF(C2="——",ROUND(C49*D3/10000,0),ROUND(C49*D3/10000,0)-D2)</f>
        <v>#N/A</v>
      </c>
      <c r="C2" s="2591" t="s">
        <v>3318</v>
      </c>
      <c r="D2" s="1367" t="e">
        <f ca="1">SUMIF(INDIRECT("'"&amp;F2&amp;"'"&amp;"!A:A"),"承租人权益价值",INDIRECT("'"&amp;F2&amp;"'"&amp;"!c:c"))</f>
        <v>#N/A</v>
      </c>
      <c r="E2" s="2592" t="s">
        <v>2332</v>
      </c>
      <c r="F2" s="2593" t="s">
        <v>3312</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t="e">
        <f ca="1">IF(C2="——",C49,ROUND(B2*10000/D3,0))</f>
        <v>#N/A</v>
      </c>
      <c r="C3" s="399" t="s">
        <v>2538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70" t="s">
        <v>2540</v>
      </c>
      <c r="D4" s="3371"/>
      <c r="E4" s="3372" t="s">
        <v>2541</v>
      </c>
      <c r="F4" s="3373"/>
      <c r="G4" s="3370" t="s">
        <v>2542</v>
      </c>
      <c r="H4" s="3371"/>
      <c r="I4" s="3370" t="s">
        <v>2543</v>
      </c>
      <c r="J4" s="3371"/>
      <c r="K4" s="609" t="s">
        <v>2544</v>
      </c>
      <c r="L4" s="1132"/>
      <c r="M4" s="1133"/>
      <c r="N4" s="1133"/>
      <c r="O4" s="1133"/>
      <c r="P4" s="3435" t="s">
        <v>2545</v>
      </c>
      <c r="Q4" s="3436"/>
      <c r="R4" s="3439" t="s">
        <v>2541</v>
      </c>
      <c r="S4" s="3440"/>
      <c r="T4" s="3439" t="s">
        <v>2542</v>
      </c>
      <c r="U4" s="3440"/>
      <c r="V4" s="3387" t="s">
        <v>2543</v>
      </c>
      <c r="W4" s="3387"/>
      <c r="X4" s="3027"/>
      <c r="Y4" s="3439" t="s">
        <v>2545</v>
      </c>
      <c r="Z4" s="3440"/>
      <c r="AA4" s="3434" t="s">
        <v>2541</v>
      </c>
      <c r="AB4" s="3387" t="s">
        <v>2542</v>
      </c>
      <c r="AC4" s="3434" t="s">
        <v>2543</v>
      </c>
    </row>
    <row r="5" spans="1:29" ht="15">
      <c r="A5" s="403"/>
      <c r="B5" s="404"/>
      <c r="C5" s="3441" t="s">
        <v>2546</v>
      </c>
      <c r="D5" s="3391"/>
      <c r="E5" s="3402" t="s">
        <v>3118</v>
      </c>
      <c r="F5" s="3403"/>
      <c r="G5" s="3390" t="s">
        <v>3162</v>
      </c>
      <c r="H5" s="3391"/>
      <c r="I5" s="3390" t="s">
        <v>3119</v>
      </c>
      <c r="J5" s="3391"/>
      <c r="K5" s="609"/>
      <c r="L5" s="1132"/>
      <c r="M5" s="1133"/>
      <c r="N5" s="1133"/>
      <c r="O5" s="1133"/>
      <c r="P5" s="3437"/>
      <c r="Q5" s="3377"/>
      <c r="R5" s="3382"/>
      <c r="S5" s="3383"/>
      <c r="T5" s="3382"/>
      <c r="U5" s="3383"/>
      <c r="V5" s="3387"/>
      <c r="W5" s="3387"/>
      <c r="X5" s="3027"/>
      <c r="Y5" s="3382"/>
      <c r="Z5" s="3383"/>
      <c r="AA5" s="3400"/>
      <c r="AB5" s="3387"/>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3027"/>
      <c r="Y6" s="3384"/>
      <c r="Z6" s="3385"/>
      <c r="AA6" s="3401"/>
      <c r="AB6" s="3387"/>
      <c r="AC6" s="3401"/>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94"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772">
        <f>D7/J7</f>
        <v>1</v>
      </c>
    </row>
    <row r="8" spans="1:29" s="117" customFormat="1" ht="15.75" thickBot="1">
      <c r="A8" s="407" t="s">
        <v>2554</v>
      </c>
      <c r="B8" s="408"/>
      <c r="C8" s="413" t="s">
        <v>2591</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94" t="s">
        <v>2556</v>
      </c>
      <c r="Q8" s="3393"/>
      <c r="R8" s="769" t="s">
        <v>17</v>
      </c>
      <c r="S8" s="770">
        <f t="shared" si="0"/>
        <v>100</v>
      </c>
      <c r="T8" s="769" t="s">
        <v>17</v>
      </c>
      <c r="U8" s="770">
        <f t="shared" si="1"/>
        <v>100</v>
      </c>
      <c r="V8" s="769" t="s">
        <v>17</v>
      </c>
      <c r="W8" s="770">
        <f t="shared" si="2"/>
        <v>100</v>
      </c>
      <c r="X8" s="771"/>
      <c r="Y8" s="3394" t="s">
        <v>2556</v>
      </c>
      <c r="Z8" s="3393"/>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52" t="s">
        <v>2559</v>
      </c>
      <c r="Q9" s="3006" t="str">
        <f t="shared" ref="Q9:Q15" si="6">B9</f>
        <v>用途</v>
      </c>
      <c r="R9" s="769" t="s">
        <v>17</v>
      </c>
      <c r="S9" s="770">
        <f t="shared" si="0"/>
        <v>100</v>
      </c>
      <c r="T9" s="769" t="s">
        <v>17</v>
      </c>
      <c r="U9" s="770">
        <f t="shared" si="1"/>
        <v>100</v>
      </c>
      <c r="V9" s="769" t="s">
        <v>17</v>
      </c>
      <c r="W9" s="770">
        <f t="shared" si="2"/>
        <v>100</v>
      </c>
      <c r="X9" s="771"/>
      <c r="Y9" s="3198" t="s">
        <v>2560</v>
      </c>
      <c r="Z9" s="3007" t="str">
        <f t="shared" ref="Z9:Z15" si="7">Q9</f>
        <v>用途</v>
      </c>
      <c r="AA9" s="772">
        <f t="shared" si="3"/>
        <v>1</v>
      </c>
      <c r="AB9" s="772">
        <f t="shared" si="4"/>
        <v>1</v>
      </c>
      <c r="AC9" s="772">
        <f t="shared" si="5"/>
        <v>1</v>
      </c>
    </row>
    <row r="10" spans="1:29" s="426" customFormat="1" ht="27">
      <c r="A10" s="420"/>
      <c r="B10" s="3024"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52"/>
      <c r="Q10" s="3006" t="str">
        <f t="shared" si="6"/>
        <v>土地使用年限（年）</v>
      </c>
      <c r="R10" s="769" t="s">
        <v>17</v>
      </c>
      <c r="S10" s="770">
        <f t="shared" si="0"/>
        <v>100</v>
      </c>
      <c r="T10" s="769" t="s">
        <v>17</v>
      </c>
      <c r="U10" s="770">
        <f t="shared" si="1"/>
        <v>100</v>
      </c>
      <c r="V10" s="769" t="s">
        <v>17</v>
      </c>
      <c r="W10" s="770">
        <f t="shared" si="2"/>
        <v>100</v>
      </c>
      <c r="X10" s="771"/>
      <c r="Y10" s="3198"/>
      <c r="Z10" s="3007" t="str">
        <f t="shared" si="7"/>
        <v>土地使用年限（年）</v>
      </c>
      <c r="AA10" s="772">
        <f t="shared" si="3"/>
        <v>1</v>
      </c>
      <c r="AB10" s="772">
        <f t="shared" si="4"/>
        <v>1</v>
      </c>
      <c r="AC10" s="772">
        <f t="shared" si="5"/>
        <v>1</v>
      </c>
    </row>
    <row r="11" spans="1:29" ht="15">
      <c r="A11" s="427"/>
      <c r="B11" s="3024"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52"/>
      <c r="Q11" s="3006" t="str">
        <f t="shared" si="6"/>
        <v>容积率</v>
      </c>
      <c r="R11" s="769" t="s">
        <v>17</v>
      </c>
      <c r="S11" s="770">
        <f t="shared" si="0"/>
        <v>100</v>
      </c>
      <c r="T11" s="769" t="s">
        <v>17</v>
      </c>
      <c r="U11" s="770">
        <f t="shared" si="1"/>
        <v>100</v>
      </c>
      <c r="V11" s="769" t="s">
        <v>17</v>
      </c>
      <c r="W11" s="770">
        <f t="shared" si="2"/>
        <v>100</v>
      </c>
      <c r="X11" s="771"/>
      <c r="Y11" s="3198"/>
      <c r="Z11" s="3007"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52"/>
      <c r="Q12" s="3006">
        <f t="shared" si="6"/>
        <v>111</v>
      </c>
      <c r="R12" s="769" t="s">
        <v>17</v>
      </c>
      <c r="S12" s="770">
        <f t="shared" si="0"/>
        <v>100</v>
      </c>
      <c r="T12" s="769" t="s">
        <v>17</v>
      </c>
      <c r="U12" s="770">
        <f t="shared" si="1"/>
        <v>100</v>
      </c>
      <c r="V12" s="769" t="s">
        <v>17</v>
      </c>
      <c r="W12" s="770">
        <f t="shared" si="2"/>
        <v>100</v>
      </c>
      <c r="X12" s="771"/>
      <c r="Y12" s="3198"/>
      <c r="Z12" s="3007">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52"/>
      <c r="Q13" s="3006">
        <f t="shared" si="6"/>
        <v>111</v>
      </c>
      <c r="R13" s="769" t="s">
        <v>17</v>
      </c>
      <c r="S13" s="770">
        <f t="shared" si="0"/>
        <v>100</v>
      </c>
      <c r="T13" s="769" t="s">
        <v>17</v>
      </c>
      <c r="U13" s="770">
        <f t="shared" si="1"/>
        <v>100</v>
      </c>
      <c r="V13" s="769" t="s">
        <v>17</v>
      </c>
      <c r="W13" s="770">
        <f t="shared" si="2"/>
        <v>100</v>
      </c>
      <c r="X13" s="771"/>
      <c r="Y13" s="3198"/>
      <c r="Z13" s="3007">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52"/>
      <c r="Q14" s="3006">
        <f t="shared" si="6"/>
        <v>111</v>
      </c>
      <c r="R14" s="769" t="s">
        <v>17</v>
      </c>
      <c r="S14" s="770">
        <f t="shared" si="0"/>
        <v>100</v>
      </c>
      <c r="T14" s="769" t="s">
        <v>17</v>
      </c>
      <c r="U14" s="770">
        <f t="shared" si="1"/>
        <v>100</v>
      </c>
      <c r="V14" s="769" t="s">
        <v>17</v>
      </c>
      <c r="W14" s="770">
        <f t="shared" si="2"/>
        <v>100</v>
      </c>
      <c r="X14" s="771"/>
      <c r="Y14" s="3198"/>
      <c r="Z14" s="3007">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58" t="s">
        <v>2564</v>
      </c>
      <c r="Q15" s="3029" t="str">
        <f t="shared" si="6"/>
        <v>商业繁华度</v>
      </c>
      <c r="R15" s="773" t="s">
        <v>17</v>
      </c>
      <c r="S15" s="774">
        <f t="shared" si="0"/>
        <v>95</v>
      </c>
      <c r="T15" s="773" t="s">
        <v>17</v>
      </c>
      <c r="U15" s="774">
        <f t="shared" si="1"/>
        <v>95</v>
      </c>
      <c r="V15" s="773" t="s">
        <v>17</v>
      </c>
      <c r="W15" s="774">
        <f t="shared" si="2"/>
        <v>95</v>
      </c>
      <c r="X15" s="3027"/>
      <c r="Y15" s="3360" t="s">
        <v>2564</v>
      </c>
      <c r="Z15" s="3028" t="str">
        <f t="shared" si="7"/>
        <v>商业繁华度</v>
      </c>
      <c r="AA15" s="3030">
        <f t="shared" si="3"/>
        <v>1.0526315789473684</v>
      </c>
      <c r="AB15" s="3030">
        <f t="shared" si="4"/>
        <v>1.0526315789473684</v>
      </c>
      <c r="AC15" s="3030">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59"/>
      <c r="Q16" s="3029"/>
      <c r="R16" s="773"/>
      <c r="S16" s="774"/>
      <c r="T16" s="773"/>
      <c r="U16" s="774"/>
      <c r="V16" s="773"/>
      <c r="W16" s="774"/>
      <c r="X16" s="3027"/>
      <c r="Y16" s="3361"/>
      <c r="Z16" s="3028"/>
      <c r="AA16" s="3030">
        <v>1</v>
      </c>
      <c r="AB16" s="3030">
        <v>1</v>
      </c>
      <c r="AC16" s="3030">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59"/>
      <c r="Q17" s="3029" t="str">
        <f>B17</f>
        <v>交通便捷度</v>
      </c>
      <c r="R17" s="773" t="s">
        <v>17</v>
      </c>
      <c r="S17" s="774">
        <f>F17</f>
        <v>97</v>
      </c>
      <c r="T17" s="773" t="s">
        <v>17</v>
      </c>
      <c r="U17" s="774">
        <f>H17</f>
        <v>97</v>
      </c>
      <c r="V17" s="773" t="s">
        <v>17</v>
      </c>
      <c r="W17" s="774">
        <f>J17</f>
        <v>97</v>
      </c>
      <c r="X17" s="3027"/>
      <c r="Y17" s="3361"/>
      <c r="Z17" s="3028" t="str">
        <f>Q17</f>
        <v>交通便捷度</v>
      </c>
      <c r="AA17" s="3030">
        <f t="shared" si="3"/>
        <v>1.0309278350515463</v>
      </c>
      <c r="AB17" s="3030">
        <f t="shared" si="4"/>
        <v>1.0309278350515463</v>
      </c>
      <c r="AC17" s="3030">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59"/>
      <c r="Q18" s="3029"/>
      <c r="R18" s="773"/>
      <c r="S18" s="774"/>
      <c r="T18" s="773"/>
      <c r="U18" s="774"/>
      <c r="V18" s="773"/>
      <c r="W18" s="774"/>
      <c r="X18" s="3027"/>
      <c r="Y18" s="3361"/>
      <c r="Z18" s="3028"/>
      <c r="AA18" s="3030">
        <v>1</v>
      </c>
      <c r="AB18" s="3030">
        <v>1</v>
      </c>
      <c r="AC18" s="3030">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59"/>
      <c r="Q19" s="3029" t="str">
        <f>B19</f>
        <v>公共配套设施</v>
      </c>
      <c r="R19" s="773" t="s">
        <v>17</v>
      </c>
      <c r="S19" s="774">
        <f>F19</f>
        <v>100</v>
      </c>
      <c r="T19" s="773" t="s">
        <v>17</v>
      </c>
      <c r="U19" s="774">
        <f>H19</f>
        <v>100</v>
      </c>
      <c r="V19" s="773" t="s">
        <v>17</v>
      </c>
      <c r="W19" s="774">
        <f>J19</f>
        <v>100</v>
      </c>
      <c r="X19" s="3027"/>
      <c r="Y19" s="3361"/>
      <c r="Z19" s="3028" t="str">
        <f>Q19</f>
        <v>公共配套设施</v>
      </c>
      <c r="AA19" s="3030">
        <f t="shared" si="3"/>
        <v>1</v>
      </c>
      <c r="AB19" s="3030">
        <f t="shared" si="4"/>
        <v>1</v>
      </c>
      <c r="AC19" s="3030">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59"/>
      <c r="Q20" s="3029"/>
      <c r="R20" s="773"/>
      <c r="S20" s="774"/>
      <c r="T20" s="773"/>
      <c r="U20" s="774"/>
      <c r="V20" s="773"/>
      <c r="W20" s="774"/>
      <c r="X20" s="3027"/>
      <c r="Y20" s="3361"/>
      <c r="Z20" s="3028"/>
      <c r="AA20" s="3030">
        <v>1</v>
      </c>
      <c r="AB20" s="3030">
        <v>1</v>
      </c>
      <c r="AC20" s="3030">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59"/>
      <c r="Q21" s="3029" t="str">
        <f>B21</f>
        <v>基础设施水平</v>
      </c>
      <c r="R21" s="773" t="s">
        <v>17</v>
      </c>
      <c r="S21" s="774">
        <f>F21</f>
        <v>100</v>
      </c>
      <c r="T21" s="773" t="s">
        <v>17</v>
      </c>
      <c r="U21" s="774">
        <f>H21</f>
        <v>100</v>
      </c>
      <c r="V21" s="773" t="s">
        <v>17</v>
      </c>
      <c r="W21" s="774">
        <f>J21</f>
        <v>100</v>
      </c>
      <c r="X21" s="3027"/>
      <c r="Y21" s="3361"/>
      <c r="Z21" s="3028" t="str">
        <f>Q21</f>
        <v>基础设施水平</v>
      </c>
      <c r="AA21" s="3030">
        <f t="shared" ref="AA21" si="8">D21/F21</f>
        <v>1</v>
      </c>
      <c r="AB21" s="3030">
        <f t="shared" ref="AB21" si="9">D21/H21</f>
        <v>1</v>
      </c>
      <c r="AC21" s="3030">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59"/>
      <c r="Q22" s="3029"/>
      <c r="R22" s="773"/>
      <c r="S22" s="774"/>
      <c r="T22" s="773"/>
      <c r="U22" s="774"/>
      <c r="V22" s="773"/>
      <c r="W22" s="774"/>
      <c r="X22" s="3027"/>
      <c r="Y22" s="3361"/>
      <c r="Z22" s="3028"/>
      <c r="AA22" s="3030">
        <v>1</v>
      </c>
      <c r="AB22" s="3030">
        <v>1</v>
      </c>
      <c r="AC22" s="3030">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59"/>
      <c r="Q23" s="3029" t="str">
        <f>B23</f>
        <v>自然及人文环境</v>
      </c>
      <c r="R23" s="773" t="s">
        <v>17</v>
      </c>
      <c r="S23" s="774">
        <f>F23</f>
        <v>97</v>
      </c>
      <c r="T23" s="773" t="s">
        <v>17</v>
      </c>
      <c r="U23" s="774">
        <f>H23</f>
        <v>97</v>
      </c>
      <c r="V23" s="773" t="s">
        <v>17</v>
      </c>
      <c r="W23" s="774">
        <f>J23</f>
        <v>97</v>
      </c>
      <c r="X23" s="3027"/>
      <c r="Y23" s="3361"/>
      <c r="Z23" s="3028" t="str">
        <f>Q23</f>
        <v>自然及人文环境</v>
      </c>
      <c r="AA23" s="3030">
        <f t="shared" si="3"/>
        <v>1.0309278350515463</v>
      </c>
      <c r="AB23" s="3030">
        <f t="shared" si="4"/>
        <v>1.0309278350515463</v>
      </c>
      <c r="AC23" s="3030">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59"/>
      <c r="Q24" s="3029"/>
      <c r="R24" s="773"/>
      <c r="S24" s="774"/>
      <c r="T24" s="773"/>
      <c r="U24" s="774"/>
      <c r="V24" s="773"/>
      <c r="W24" s="774"/>
      <c r="X24" s="3027"/>
      <c r="Y24" s="3361"/>
      <c r="Z24" s="3028"/>
      <c r="AA24" s="3030">
        <v>1</v>
      </c>
      <c r="AB24" s="3030">
        <v>1</v>
      </c>
      <c r="AC24" s="3030">
        <v>1</v>
      </c>
    </row>
    <row r="25" spans="1:29" ht="15">
      <c r="A25" s="427"/>
      <c r="B25" s="3024"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59"/>
      <c r="Q25" s="3029" t="str">
        <f t="shared" ref="Q25:Q46" si="11">B25</f>
        <v>临街状况</v>
      </c>
      <c r="R25" s="773" t="s">
        <v>17</v>
      </c>
      <c r="S25" s="774">
        <f>F25</f>
        <v>110</v>
      </c>
      <c r="T25" s="773" t="s">
        <v>17</v>
      </c>
      <c r="U25" s="774">
        <f>H25</f>
        <v>100</v>
      </c>
      <c r="V25" s="773" t="s">
        <v>17</v>
      </c>
      <c r="W25" s="774">
        <f>J25</f>
        <v>100</v>
      </c>
      <c r="X25" s="3027"/>
      <c r="Y25" s="3361"/>
      <c r="Z25" s="3028" t="str">
        <f>Q25</f>
        <v>临街状况</v>
      </c>
      <c r="AA25" s="3030">
        <f t="shared" si="3"/>
        <v>0.90909090909090906</v>
      </c>
      <c r="AB25" s="3030">
        <f t="shared" si="4"/>
        <v>1</v>
      </c>
      <c r="AC25" s="3030">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59"/>
      <c r="Q26" s="3029" t="str">
        <f t="shared" si="11"/>
        <v>平面位置/可视性</v>
      </c>
      <c r="R26" s="773" t="s">
        <v>17</v>
      </c>
      <c r="S26" s="774">
        <f>F26</f>
        <v>100</v>
      </c>
      <c r="T26" s="773" t="s">
        <v>17</v>
      </c>
      <c r="U26" s="774">
        <f>H26</f>
        <v>100</v>
      </c>
      <c r="V26" s="773" t="s">
        <v>17</v>
      </c>
      <c r="W26" s="774">
        <f>J26</f>
        <v>100</v>
      </c>
      <c r="X26" s="3027"/>
      <c r="Y26" s="3361"/>
      <c r="Z26" s="3028" t="str">
        <f>Q26</f>
        <v>平面位置/可视性</v>
      </c>
      <c r="AA26" s="3030">
        <f t="shared" si="3"/>
        <v>1</v>
      </c>
      <c r="AB26" s="3030">
        <f t="shared" si="4"/>
        <v>1</v>
      </c>
      <c r="AC26" s="3030">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59"/>
      <c r="Q27" s="3006" t="str">
        <f t="shared" si="11"/>
        <v>人流量</v>
      </c>
      <c r="R27" s="769" t="s">
        <v>17</v>
      </c>
      <c r="S27" s="770">
        <f>F27</f>
        <v>100</v>
      </c>
      <c r="T27" s="769" t="s">
        <v>17</v>
      </c>
      <c r="U27" s="770">
        <f>H27</f>
        <v>97</v>
      </c>
      <c r="V27" s="769" t="s">
        <v>17</v>
      </c>
      <c r="W27" s="770">
        <f>J27</f>
        <v>97</v>
      </c>
      <c r="X27" s="771"/>
      <c r="Y27" s="3361"/>
      <c r="Z27" s="3007" t="str">
        <f>Q27</f>
        <v>人流量</v>
      </c>
      <c r="AA27" s="3030">
        <f>D27/F27</f>
        <v>1</v>
      </c>
      <c r="AB27" s="3030">
        <f>D27/H27</f>
        <v>1.0309278350515463</v>
      </c>
      <c r="AC27" s="3030">
        <f>D27/J27</f>
        <v>1.0309278350515463</v>
      </c>
    </row>
    <row r="28" spans="1:29" ht="15">
      <c r="A28" s="427"/>
      <c r="B28" s="3024"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9"/>
      <c r="Q28" s="3029" t="str">
        <f t="shared" si="11"/>
        <v>楼层</v>
      </c>
      <c r="R28" s="773" t="s">
        <v>17</v>
      </c>
      <c r="S28" s="774">
        <f t="shared" ref="S28:S46" si="12">F28</f>
        <v>100</v>
      </c>
      <c r="T28" s="773" t="s">
        <v>17</v>
      </c>
      <c r="U28" s="774">
        <f t="shared" ref="U28:U46" si="13">H28</f>
        <v>100</v>
      </c>
      <c r="V28" s="773" t="s">
        <v>17</v>
      </c>
      <c r="W28" s="774">
        <f t="shared" ref="W28:W46" si="14">J28</f>
        <v>100</v>
      </c>
      <c r="X28" s="3027"/>
      <c r="Y28" s="3361"/>
      <c r="Z28" s="3028" t="str">
        <f t="shared" ref="Z28:Z46" si="15">Q28</f>
        <v>楼层</v>
      </c>
      <c r="AA28" s="3030">
        <f t="shared" si="3"/>
        <v>1</v>
      </c>
      <c r="AB28" s="3030">
        <f t="shared" si="4"/>
        <v>1</v>
      </c>
      <c r="AC28" s="3030">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9"/>
      <c r="Q29" s="3029">
        <f t="shared" si="11"/>
        <v>111</v>
      </c>
      <c r="R29" s="773" t="s">
        <v>17</v>
      </c>
      <c r="S29" s="774">
        <f t="shared" si="12"/>
        <v>100</v>
      </c>
      <c r="T29" s="773" t="s">
        <v>17</v>
      </c>
      <c r="U29" s="774">
        <f t="shared" si="13"/>
        <v>100</v>
      </c>
      <c r="V29" s="773" t="s">
        <v>17</v>
      </c>
      <c r="W29" s="774">
        <f t="shared" si="14"/>
        <v>100</v>
      </c>
      <c r="X29" s="3027"/>
      <c r="Y29" s="3361"/>
      <c r="Z29" s="3028">
        <f t="shared" si="15"/>
        <v>111</v>
      </c>
      <c r="AA29" s="3030">
        <f t="shared" si="3"/>
        <v>1</v>
      </c>
      <c r="AB29" s="3030">
        <f t="shared" si="4"/>
        <v>1</v>
      </c>
      <c r="AC29" s="3030">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9"/>
      <c r="Q30" s="3029">
        <f t="shared" si="11"/>
        <v>111</v>
      </c>
      <c r="R30" s="773" t="s">
        <v>17</v>
      </c>
      <c r="S30" s="774">
        <f t="shared" si="12"/>
        <v>100</v>
      </c>
      <c r="T30" s="773" t="s">
        <v>17</v>
      </c>
      <c r="U30" s="774">
        <f t="shared" si="13"/>
        <v>100</v>
      </c>
      <c r="V30" s="773" t="s">
        <v>17</v>
      </c>
      <c r="W30" s="774">
        <f t="shared" si="14"/>
        <v>100</v>
      </c>
      <c r="X30" s="3027"/>
      <c r="Y30" s="3361"/>
      <c r="Z30" s="3028">
        <f t="shared" si="15"/>
        <v>111</v>
      </c>
      <c r="AA30" s="3030">
        <f t="shared" si="3"/>
        <v>1</v>
      </c>
      <c r="AB30" s="3030">
        <f t="shared" si="4"/>
        <v>1</v>
      </c>
      <c r="AC30" s="3030">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9"/>
      <c r="Q31" s="3029">
        <f t="shared" si="11"/>
        <v>111</v>
      </c>
      <c r="R31" s="773" t="s">
        <v>17</v>
      </c>
      <c r="S31" s="774">
        <f t="shared" si="12"/>
        <v>100</v>
      </c>
      <c r="T31" s="773" t="s">
        <v>17</v>
      </c>
      <c r="U31" s="774">
        <f t="shared" si="13"/>
        <v>100</v>
      </c>
      <c r="V31" s="773" t="s">
        <v>17</v>
      </c>
      <c r="W31" s="774">
        <f t="shared" si="14"/>
        <v>100</v>
      </c>
      <c r="X31" s="3027"/>
      <c r="Y31" s="3361"/>
      <c r="Z31" s="3028">
        <f t="shared" si="15"/>
        <v>111</v>
      </c>
      <c r="AA31" s="3030">
        <f t="shared" si="3"/>
        <v>1</v>
      </c>
      <c r="AB31" s="3030">
        <f t="shared" si="4"/>
        <v>1</v>
      </c>
      <c r="AC31" s="3030">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62" t="s">
        <v>2569</v>
      </c>
      <c r="Q32" s="3029" t="str">
        <f t="shared" si="11"/>
        <v>商业类型</v>
      </c>
      <c r="R32" s="773" t="s">
        <v>17</v>
      </c>
      <c r="S32" s="774">
        <f t="shared" si="12"/>
        <v>110</v>
      </c>
      <c r="T32" s="773" t="s">
        <v>17</v>
      </c>
      <c r="U32" s="774">
        <f t="shared" si="13"/>
        <v>105</v>
      </c>
      <c r="V32" s="773" t="s">
        <v>17</v>
      </c>
      <c r="W32" s="774">
        <f t="shared" si="14"/>
        <v>100</v>
      </c>
      <c r="X32" s="3027"/>
      <c r="Y32" s="3365" t="s">
        <v>2569</v>
      </c>
      <c r="Z32" s="3028" t="str">
        <f t="shared" si="15"/>
        <v>商业类型</v>
      </c>
      <c r="AA32" s="3030">
        <f t="shared" si="3"/>
        <v>0.90909090909090906</v>
      </c>
      <c r="AB32" s="3030">
        <f t="shared" si="4"/>
        <v>0.95238095238095233</v>
      </c>
      <c r="AC32" s="3030">
        <f t="shared" si="5"/>
        <v>1</v>
      </c>
    </row>
    <row r="33" spans="1:29" s="470" customFormat="1" ht="15">
      <c r="A33" s="467"/>
      <c r="B33" s="3024"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63"/>
      <c r="Q33" s="775" t="str">
        <f t="shared" si="11"/>
        <v>项目建筑规模</v>
      </c>
      <c r="R33" s="776" t="s">
        <v>17</v>
      </c>
      <c r="S33" s="777">
        <f t="shared" si="12"/>
        <v>98</v>
      </c>
      <c r="T33" s="776" t="s">
        <v>17</v>
      </c>
      <c r="U33" s="777">
        <f t="shared" si="13"/>
        <v>100</v>
      </c>
      <c r="V33" s="776" t="s">
        <v>17</v>
      </c>
      <c r="W33" s="777">
        <f t="shared" si="14"/>
        <v>102</v>
      </c>
      <c r="X33" s="778"/>
      <c r="Y33" s="3365"/>
      <c r="Z33" s="779" t="str">
        <f t="shared" si="15"/>
        <v>项目建筑规模</v>
      </c>
      <c r="AA33" s="3030">
        <f t="shared" si="3"/>
        <v>1.0204081632653061</v>
      </c>
      <c r="AB33" s="3030">
        <f t="shared" si="4"/>
        <v>1</v>
      </c>
      <c r="AC33" s="3030">
        <f t="shared" si="5"/>
        <v>0.98039215686274506</v>
      </c>
    </row>
    <row r="34" spans="1:29" ht="15">
      <c r="A34" s="471"/>
      <c r="B34" s="3024"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63"/>
      <c r="Q34" s="3029" t="str">
        <f t="shared" si="11"/>
        <v>建筑结构</v>
      </c>
      <c r="R34" s="773" t="s">
        <v>17</v>
      </c>
      <c r="S34" s="774">
        <f t="shared" si="12"/>
        <v>100</v>
      </c>
      <c r="T34" s="773" t="s">
        <v>17</v>
      </c>
      <c r="U34" s="774">
        <f t="shared" si="13"/>
        <v>100</v>
      </c>
      <c r="V34" s="773" t="s">
        <v>17</v>
      </c>
      <c r="W34" s="774">
        <f t="shared" si="14"/>
        <v>100</v>
      </c>
      <c r="X34" s="3027"/>
      <c r="Y34" s="3365"/>
      <c r="Z34" s="3028" t="str">
        <f t="shared" si="15"/>
        <v>建筑结构</v>
      </c>
      <c r="AA34" s="3030">
        <f t="shared" si="3"/>
        <v>1</v>
      </c>
      <c r="AB34" s="3030">
        <f t="shared" si="4"/>
        <v>1</v>
      </c>
      <c r="AC34" s="3030">
        <f t="shared" si="5"/>
        <v>1</v>
      </c>
    </row>
    <row r="35" spans="1:29" ht="15">
      <c r="A35" s="471"/>
      <c r="B35" s="3024"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63"/>
      <c r="Q35" s="3029" t="str">
        <f t="shared" si="11"/>
        <v>公共部分装修</v>
      </c>
      <c r="R35" s="773" t="s">
        <v>17</v>
      </c>
      <c r="S35" s="774">
        <f t="shared" si="12"/>
        <v>103</v>
      </c>
      <c r="T35" s="773" t="s">
        <v>17</v>
      </c>
      <c r="U35" s="774">
        <f t="shared" si="13"/>
        <v>103</v>
      </c>
      <c r="V35" s="773" t="s">
        <v>17</v>
      </c>
      <c r="W35" s="774">
        <f t="shared" si="14"/>
        <v>103</v>
      </c>
      <c r="X35" s="3027"/>
      <c r="Y35" s="3365"/>
      <c r="Z35" s="3028" t="str">
        <f t="shared" si="15"/>
        <v>公共部分装修</v>
      </c>
      <c r="AA35" s="3030">
        <f t="shared" si="3"/>
        <v>0.970873786407767</v>
      </c>
      <c r="AB35" s="3030">
        <f t="shared" si="4"/>
        <v>0.970873786407767</v>
      </c>
      <c r="AC35" s="3030">
        <f t="shared" si="5"/>
        <v>0.970873786407767</v>
      </c>
    </row>
    <row r="36" spans="1:29" ht="15">
      <c r="A36" s="471"/>
      <c r="B36" s="3024"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3145">
        <v>2</v>
      </c>
      <c r="L36" s="1142"/>
      <c r="M36" s="1133"/>
      <c r="N36" s="1133"/>
      <c r="O36" s="1133"/>
      <c r="P36" s="3363"/>
      <c r="Q36" s="3029" t="str">
        <f t="shared" si="11"/>
        <v>成新度</v>
      </c>
      <c r="R36" s="773" t="s">
        <v>17</v>
      </c>
      <c r="S36" s="774">
        <f t="shared" si="12"/>
        <v>98</v>
      </c>
      <c r="T36" s="773" t="s">
        <v>17</v>
      </c>
      <c r="U36" s="774">
        <f t="shared" si="13"/>
        <v>98</v>
      </c>
      <c r="V36" s="773" t="s">
        <v>17</v>
      </c>
      <c r="W36" s="774">
        <f t="shared" si="14"/>
        <v>98</v>
      </c>
      <c r="X36" s="3027"/>
      <c r="Y36" s="3365"/>
      <c r="Z36" s="3028" t="str">
        <f t="shared" si="15"/>
        <v>成新度</v>
      </c>
      <c r="AA36" s="3030">
        <f t="shared" si="3"/>
        <v>1.0204081632653061</v>
      </c>
      <c r="AB36" s="3030">
        <f t="shared" si="4"/>
        <v>1.0204081632653061</v>
      </c>
      <c r="AC36" s="3030">
        <f t="shared" si="5"/>
        <v>1.0204081632653061</v>
      </c>
    </row>
    <row r="37" spans="1:29" s="117" customFormat="1" ht="15">
      <c r="A37" s="472"/>
      <c r="B37" s="3024"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63"/>
      <c r="Q37" s="3006" t="str">
        <f t="shared" si="11"/>
        <v>市政基础设施</v>
      </c>
      <c r="R37" s="769" t="s">
        <v>17</v>
      </c>
      <c r="S37" s="770">
        <f t="shared" si="12"/>
        <v>100</v>
      </c>
      <c r="T37" s="769" t="s">
        <v>17</v>
      </c>
      <c r="U37" s="770">
        <f t="shared" si="13"/>
        <v>100</v>
      </c>
      <c r="V37" s="769" t="s">
        <v>17</v>
      </c>
      <c r="W37" s="770">
        <f t="shared" si="14"/>
        <v>100</v>
      </c>
      <c r="X37" s="771"/>
      <c r="Y37" s="3365"/>
      <c r="Z37" s="3007" t="str">
        <f t="shared" si="15"/>
        <v>市政基础设施</v>
      </c>
      <c r="AA37" s="772">
        <f t="shared" si="3"/>
        <v>1</v>
      </c>
      <c r="AB37" s="772">
        <f t="shared" si="4"/>
        <v>1</v>
      </c>
      <c r="AC37" s="772">
        <f t="shared" si="5"/>
        <v>1</v>
      </c>
    </row>
    <row r="38" spans="1:29" ht="15">
      <c r="A38" s="471"/>
      <c r="B38" s="3024"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63" t="s">
        <v>2569</v>
      </c>
      <c r="Q38" s="3029" t="str">
        <f t="shared" si="11"/>
        <v>业态</v>
      </c>
      <c r="R38" s="773" t="s">
        <v>17</v>
      </c>
      <c r="S38" s="774">
        <f t="shared" si="12"/>
        <v>100</v>
      </c>
      <c r="T38" s="773" t="s">
        <v>17</v>
      </c>
      <c r="U38" s="774">
        <f t="shared" si="13"/>
        <v>100</v>
      </c>
      <c r="V38" s="773" t="s">
        <v>17</v>
      </c>
      <c r="W38" s="774">
        <f t="shared" si="14"/>
        <v>100</v>
      </c>
      <c r="X38" s="3027"/>
      <c r="Y38" s="3365" t="s">
        <v>2569</v>
      </c>
      <c r="Z38" s="3028" t="str">
        <f t="shared" si="15"/>
        <v>业态</v>
      </c>
      <c r="AA38" s="3030">
        <f t="shared" si="3"/>
        <v>1</v>
      </c>
      <c r="AB38" s="3030">
        <f t="shared" si="4"/>
        <v>1</v>
      </c>
      <c r="AC38" s="3030">
        <f t="shared" si="5"/>
        <v>1</v>
      </c>
    </row>
    <row r="39" spans="1:29" ht="15">
      <c r="A39" s="471"/>
      <c r="B39" s="3024"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63"/>
      <c r="Q39" s="3029" t="str">
        <f t="shared" si="11"/>
        <v>层高</v>
      </c>
      <c r="R39" s="773" t="s">
        <v>17</v>
      </c>
      <c r="S39" s="774">
        <f t="shared" si="12"/>
        <v>100</v>
      </c>
      <c r="T39" s="773" t="s">
        <v>17</v>
      </c>
      <c r="U39" s="774">
        <f t="shared" si="13"/>
        <v>100</v>
      </c>
      <c r="V39" s="773" t="s">
        <v>17</v>
      </c>
      <c r="W39" s="774">
        <f t="shared" si="14"/>
        <v>100</v>
      </c>
      <c r="X39" s="3027"/>
      <c r="Y39" s="3365"/>
      <c r="Z39" s="3028" t="str">
        <f t="shared" si="15"/>
        <v>层高</v>
      </c>
      <c r="AA39" s="3030">
        <f t="shared" si="3"/>
        <v>1</v>
      </c>
      <c r="AB39" s="3030">
        <f t="shared" si="4"/>
        <v>1</v>
      </c>
      <c r="AC39" s="3030">
        <f t="shared" si="5"/>
        <v>1</v>
      </c>
    </row>
    <row r="40" spans="1:29" ht="15">
      <c r="A40" s="471"/>
      <c r="B40" s="3024"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63"/>
      <c r="Q40" s="3029" t="str">
        <f t="shared" si="11"/>
        <v>单套建筑面积</v>
      </c>
      <c r="R40" s="773" t="s">
        <v>17</v>
      </c>
      <c r="S40" s="774">
        <f t="shared" si="12"/>
        <v>100</v>
      </c>
      <c r="T40" s="773" t="s">
        <v>17</v>
      </c>
      <c r="U40" s="774">
        <f t="shared" si="13"/>
        <v>100</v>
      </c>
      <c r="V40" s="773" t="s">
        <v>17</v>
      </c>
      <c r="W40" s="774">
        <f t="shared" si="14"/>
        <v>100</v>
      </c>
      <c r="X40" s="3027"/>
      <c r="Y40" s="3365"/>
      <c r="Z40" s="3028" t="str">
        <f t="shared" si="15"/>
        <v>单套建筑面积</v>
      </c>
      <c r="AA40" s="3030">
        <f t="shared" si="3"/>
        <v>1</v>
      </c>
      <c r="AB40" s="3030">
        <f t="shared" si="4"/>
        <v>1</v>
      </c>
      <c r="AC40" s="3030">
        <f t="shared" si="5"/>
        <v>1</v>
      </c>
    </row>
    <row r="41" spans="1:29" s="470" customFormat="1" ht="15">
      <c r="A41" s="467"/>
      <c r="B41" s="3031"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63"/>
      <c r="Q41" s="775" t="str">
        <f t="shared" si="11"/>
        <v>进深比</v>
      </c>
      <c r="R41" s="776" t="s">
        <v>17</v>
      </c>
      <c r="S41" s="777">
        <f t="shared" si="12"/>
        <v>100</v>
      </c>
      <c r="T41" s="776" t="s">
        <v>17</v>
      </c>
      <c r="U41" s="777">
        <f t="shared" si="13"/>
        <v>100</v>
      </c>
      <c r="V41" s="776" t="s">
        <v>17</v>
      </c>
      <c r="W41" s="777">
        <f t="shared" si="14"/>
        <v>100</v>
      </c>
      <c r="X41" s="778"/>
      <c r="Y41" s="3365"/>
      <c r="Z41" s="779" t="str">
        <f t="shared" si="15"/>
        <v>进深比</v>
      </c>
      <c r="AA41" s="3030">
        <f t="shared" si="3"/>
        <v>1</v>
      </c>
      <c r="AB41" s="3030">
        <f t="shared" si="4"/>
        <v>1</v>
      </c>
      <c r="AC41" s="3030">
        <f t="shared" si="5"/>
        <v>1</v>
      </c>
    </row>
    <row r="42" spans="1:29" ht="15">
      <c r="A42" s="471"/>
      <c r="B42" s="3024"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63"/>
      <c r="Q42" s="3029" t="str">
        <f t="shared" si="11"/>
        <v>内部装修</v>
      </c>
      <c r="R42" s="773" t="s">
        <v>17</v>
      </c>
      <c r="S42" s="774">
        <f t="shared" si="12"/>
        <v>100</v>
      </c>
      <c r="T42" s="773" t="s">
        <v>17</v>
      </c>
      <c r="U42" s="774">
        <f t="shared" si="13"/>
        <v>100</v>
      </c>
      <c r="V42" s="773" t="s">
        <v>17</v>
      </c>
      <c r="W42" s="774">
        <f t="shared" si="14"/>
        <v>100</v>
      </c>
      <c r="X42" s="3027"/>
      <c r="Y42" s="3365"/>
      <c r="Z42" s="3028" t="str">
        <f t="shared" si="15"/>
        <v>内部装修</v>
      </c>
      <c r="AA42" s="3030">
        <f t="shared" si="3"/>
        <v>1</v>
      </c>
      <c r="AB42" s="3030">
        <f t="shared" si="4"/>
        <v>1</v>
      </c>
      <c r="AC42" s="3030">
        <f t="shared" si="5"/>
        <v>1</v>
      </c>
    </row>
    <row r="43" spans="1:29" ht="15">
      <c r="A43" s="471"/>
      <c r="B43" s="3024"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63"/>
      <c r="Q43" s="3029" t="str">
        <f t="shared" si="11"/>
        <v>内部装修维护情况</v>
      </c>
      <c r="R43" s="773" t="s">
        <v>17</v>
      </c>
      <c r="S43" s="774">
        <f t="shared" si="12"/>
        <v>100</v>
      </c>
      <c r="T43" s="773" t="s">
        <v>17</v>
      </c>
      <c r="U43" s="774">
        <f t="shared" si="13"/>
        <v>100</v>
      </c>
      <c r="V43" s="773" t="s">
        <v>17</v>
      </c>
      <c r="W43" s="774">
        <f t="shared" si="14"/>
        <v>100</v>
      </c>
      <c r="X43" s="3027"/>
      <c r="Y43" s="3365"/>
      <c r="Z43" s="3028" t="str">
        <f t="shared" si="15"/>
        <v>内部装修维护情况</v>
      </c>
      <c r="AA43" s="3030">
        <f t="shared" si="3"/>
        <v>1</v>
      </c>
      <c r="AB43" s="3030">
        <f t="shared" si="4"/>
        <v>1</v>
      </c>
      <c r="AC43" s="3030">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63"/>
      <c r="Q44" s="3006">
        <f t="shared" si="11"/>
        <v>111</v>
      </c>
      <c r="R44" s="769" t="s">
        <v>17</v>
      </c>
      <c r="S44" s="770">
        <f t="shared" si="12"/>
        <v>100</v>
      </c>
      <c r="T44" s="769" t="s">
        <v>17</v>
      </c>
      <c r="U44" s="770">
        <f t="shared" si="13"/>
        <v>100</v>
      </c>
      <c r="V44" s="769" t="s">
        <v>17</v>
      </c>
      <c r="W44" s="770">
        <f t="shared" si="14"/>
        <v>100</v>
      </c>
      <c r="X44" s="771"/>
      <c r="Y44" s="3365"/>
      <c r="Z44" s="3007">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63"/>
      <c r="Q45" s="3029">
        <f t="shared" si="11"/>
        <v>111</v>
      </c>
      <c r="R45" s="773" t="s">
        <v>17</v>
      </c>
      <c r="S45" s="774">
        <f t="shared" si="12"/>
        <v>100</v>
      </c>
      <c r="T45" s="773" t="s">
        <v>17</v>
      </c>
      <c r="U45" s="774">
        <f t="shared" si="13"/>
        <v>100</v>
      </c>
      <c r="V45" s="773" t="s">
        <v>17</v>
      </c>
      <c r="W45" s="774">
        <f t="shared" si="14"/>
        <v>100</v>
      </c>
      <c r="X45" s="3027"/>
      <c r="Y45" s="3365"/>
      <c r="Z45" s="3028">
        <f t="shared" si="15"/>
        <v>111</v>
      </c>
      <c r="AA45" s="3030">
        <f t="shared" si="3"/>
        <v>1</v>
      </c>
      <c r="AB45" s="3030">
        <f t="shared" si="4"/>
        <v>1</v>
      </c>
      <c r="AC45" s="3030">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64"/>
      <c r="Q46" s="3029">
        <f t="shared" si="11"/>
        <v>111</v>
      </c>
      <c r="R46" s="773" t="s">
        <v>17</v>
      </c>
      <c r="S46" s="774">
        <f t="shared" si="12"/>
        <v>100</v>
      </c>
      <c r="T46" s="773" t="s">
        <v>17</v>
      </c>
      <c r="U46" s="774">
        <f t="shared" si="13"/>
        <v>100</v>
      </c>
      <c r="V46" s="773" t="s">
        <v>17</v>
      </c>
      <c r="W46" s="774">
        <f t="shared" si="14"/>
        <v>100</v>
      </c>
      <c r="X46" s="3027"/>
      <c r="Y46" s="3366"/>
      <c r="Z46" s="3028">
        <f t="shared" si="15"/>
        <v>111</v>
      </c>
      <c r="AA46" s="3030">
        <f t="shared" si="3"/>
        <v>1</v>
      </c>
      <c r="AB46" s="3030">
        <f t="shared" si="4"/>
        <v>1</v>
      </c>
      <c r="AC46" s="3030">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53" t="str">
        <f>A47</f>
        <v>成交单价（元/平方米）</v>
      </c>
      <c r="Q47" s="3353"/>
      <c r="R47" s="3387">
        <f>E47</f>
        <v>63500</v>
      </c>
      <c r="S47" s="3387"/>
      <c r="T47" s="3387">
        <f>G47</f>
        <v>53500</v>
      </c>
      <c r="U47" s="3387"/>
      <c r="V47" s="3387">
        <f>I47</f>
        <v>49000</v>
      </c>
      <c r="W47" s="3387"/>
      <c r="X47" s="758"/>
      <c r="Y47" s="780"/>
      <c r="Z47" s="758"/>
      <c r="AA47" s="758"/>
      <c r="AB47" s="758"/>
      <c r="AC47" s="758"/>
    </row>
    <row r="48" spans="1:29" ht="15.75" thickBot="1">
      <c r="A48" s="485" t="s">
        <v>2582</v>
      </c>
      <c r="B48" s="486"/>
      <c r="C48" s="1415">
        <f>R49</f>
        <v>57487</v>
      </c>
      <c r="D48" s="1416"/>
      <c r="E48" s="1417">
        <f>R48</f>
        <v>59352</v>
      </c>
      <c r="F48" s="1417"/>
      <c r="G48" s="1415">
        <f>T48</f>
        <v>58219</v>
      </c>
      <c r="H48" s="1416"/>
      <c r="I48" s="1417">
        <f>V48</f>
        <v>54890</v>
      </c>
      <c r="J48" s="1416"/>
      <c r="K48" s="783"/>
      <c r="L48" s="1145"/>
      <c r="M48" s="1146"/>
      <c r="N48" s="1133"/>
      <c r="O48" s="1146"/>
      <c r="P48" s="3353" t="str">
        <f>A48</f>
        <v>比较价值（元/平方米）</v>
      </c>
      <c r="Q48" s="3353"/>
      <c r="R48" s="3354">
        <f>IF(F1="售价",ROUND(PRODUCT(R47,AA7:AA46),0),ROUND(PRODUCT(R47,AA7:AA46),1))</f>
        <v>59352</v>
      </c>
      <c r="S48" s="3354"/>
      <c r="T48" s="3354">
        <f>IF(F1="售价",ROUND(PRODUCT(T47,AB7:AB46),0),ROUND(PRODUCT(T47,AB7:AB46),1))</f>
        <v>58219</v>
      </c>
      <c r="U48" s="3354"/>
      <c r="V48" s="3354">
        <f>IF(F1="售价",ROUND(PRODUCT(V47,AC7:AC46),0),ROUND(PRODUCT(V47,AC7:AC46),1))</f>
        <v>54890</v>
      </c>
      <c r="W48" s="3354"/>
      <c r="X48" s="758"/>
      <c r="Y48" s="758"/>
      <c r="Z48" s="758"/>
      <c r="AA48" s="758"/>
      <c r="AB48" s="758"/>
      <c r="AC48" s="758"/>
    </row>
    <row r="49" spans="1:29" ht="15.75" thickBot="1">
      <c r="A49" s="491" t="s">
        <v>2583</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1106</v>
      </c>
      <c r="D90" s="3032" t="s">
        <v>3137</v>
      </c>
      <c r="E90" s="3032" t="s">
        <v>3129</v>
      </c>
      <c r="F90" s="3032" t="s">
        <v>3130</v>
      </c>
      <c r="G90" s="3032" t="s">
        <v>3131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SheetLayoutView="90" workbookViewId="0">
      <selection activeCell="H38" sqref="H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35</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626</v>
      </c>
      <c r="C2" s="1847" t="s">
        <v>1591</v>
      </c>
      <c r="D2" s="1940">
        <f ca="1">C40+J29+L46</f>
        <v>6256672</v>
      </c>
      <c r="E2" s="1848" t="s">
        <v>1592</v>
      </c>
      <c r="F2" s="1849"/>
      <c r="G2" s="1850"/>
      <c r="H2" s="1842"/>
      <c r="I2" s="1842"/>
      <c r="J2" s="1842"/>
      <c r="K2" s="1843"/>
      <c r="L2" s="1842"/>
      <c r="M2" s="1842"/>
    </row>
    <row r="3" spans="1:37" ht="18" customHeight="1" thickBot="1">
      <c r="A3" s="1851" t="s">
        <v>1593</v>
      </c>
      <c r="B3" s="1852">
        <f ca="1">IF(ISERROR(D2/F43),0,ROUND(D2/F43,0))</f>
        <v>32749</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346043</v>
      </c>
      <c r="D5" s="1824" t="s">
        <v>1601</v>
      </c>
      <c r="E5" s="1295"/>
      <c r="F5" s="1296"/>
      <c r="G5" s="1853"/>
      <c r="H5" s="343">
        <v>1</v>
      </c>
      <c r="I5" s="344" t="s">
        <v>1600</v>
      </c>
      <c r="J5" s="1294">
        <f ca="1">J6+J10+J12</f>
        <v>0</v>
      </c>
      <c r="K5" s="1824" t="s">
        <v>1601</v>
      </c>
      <c r="L5" s="1295"/>
      <c r="M5" s="1296"/>
    </row>
    <row r="6" spans="1:37" ht="18" customHeight="1">
      <c r="A6" s="1293" t="s">
        <v>1035</v>
      </c>
      <c r="B6" s="3349" t="s">
        <v>1403</v>
      </c>
      <c r="C6" s="1298">
        <f ca="1">ROUND(F6*F8*F7*(1-F9),0)</f>
        <v>345180</v>
      </c>
      <c r="D6" s="163" t="s">
        <v>3032</v>
      </c>
      <c r="E6" s="346" t="s">
        <v>1405</v>
      </c>
      <c r="F6" s="347">
        <f ca="1">INDIRECT("'数据-取费表'!u"&amp;$G$1)</f>
        <v>5.5</v>
      </c>
      <c r="G6" s="1853"/>
      <c r="H6" s="1293" t="s">
        <v>1035</v>
      </c>
      <c r="I6" s="3349" t="s">
        <v>1403</v>
      </c>
      <c r="J6" s="345">
        <f ca="1">ROUND(M6*M8*M7*(1-M9),0)</f>
        <v>0</v>
      </c>
      <c r="K6" s="1836" t="s">
        <v>3033</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191.05</v>
      </c>
      <c r="G7" s="1853"/>
      <c r="H7" s="348"/>
      <c r="I7" s="3350"/>
      <c r="J7" s="350"/>
      <c r="K7" s="351"/>
      <c r="L7" s="346" t="s">
        <v>1406</v>
      </c>
      <c r="M7" s="347">
        <f ca="1">F7</f>
        <v>191.05</v>
      </c>
    </row>
    <row r="8" spans="1:37" ht="18" customHeight="1">
      <c r="A8" s="348"/>
      <c r="B8" s="3350"/>
      <c r="C8" s="350"/>
      <c r="D8" s="351"/>
      <c r="E8" s="346" t="s">
        <v>1407</v>
      </c>
      <c r="F8" s="347">
        <f ca="1">INDIRECT("'数据-取费表'!ai"&amp;$G$1)</f>
        <v>365</v>
      </c>
      <c r="G8" s="1853"/>
      <c r="H8" s="348"/>
      <c r="I8" s="3350"/>
      <c r="J8" s="350"/>
      <c r="K8" s="351"/>
      <c r="L8" s="346" t="s">
        <v>1407</v>
      </c>
      <c r="M8" s="347">
        <f ca="1">INDIRECT("'数据-取费表'!ai"&amp;$G$1)</f>
        <v>365</v>
      </c>
    </row>
    <row r="9" spans="1:37" ht="18" customHeight="1">
      <c r="A9" s="348"/>
      <c r="B9" s="3351"/>
      <c r="C9" s="350"/>
      <c r="D9" s="351"/>
      <c r="E9" s="346" t="s">
        <v>1408</v>
      </c>
      <c r="F9" s="356">
        <f ca="1">INDIRECT("'数据-取费表'!w"&amp;$G$1)</f>
        <v>0.1</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863</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826298</v>
      </c>
      <c r="D13" s="1333" t="s">
        <v>1415</v>
      </c>
      <c r="E13" s="1333" t="s">
        <v>1416</v>
      </c>
      <c r="F13" s="1334">
        <f ca="1">INDIRECT("'数据-取费表'!y"&amp;$G$1)</f>
        <v>0.78</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668675</v>
      </c>
      <c r="D14" s="1802" t="s">
        <v>1418</v>
      </c>
      <c r="E14" s="1796"/>
      <c r="F14" s="363"/>
      <c r="G14" s="1853"/>
      <c r="H14" s="1203" t="s">
        <v>1035</v>
      </c>
      <c r="I14" s="346" t="s">
        <v>1419</v>
      </c>
      <c r="J14" s="24">
        <f ca="1">C29</f>
        <v>1059357</v>
      </c>
      <c r="K14" s="15"/>
      <c r="L14" s="981"/>
      <c r="M14" s="982"/>
    </row>
    <row r="15" spans="1:37" s="1860" customFormat="1" ht="18" customHeight="1" thickBot="1">
      <c r="A15" s="1203" t="s">
        <v>1036</v>
      </c>
      <c r="B15" s="346" t="s">
        <v>1420</v>
      </c>
      <c r="C15" s="24">
        <f ca="1">ROUND(C14*F15,0)</f>
        <v>20060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30086</v>
      </c>
      <c r="K16" s="1339" t="s">
        <v>1425</v>
      </c>
      <c r="L16" s="1340"/>
      <c r="M16" s="1296"/>
    </row>
    <row r="17" spans="1:37" s="1860" customFormat="1" ht="18" customHeight="1">
      <c r="A17" s="1203" t="s">
        <v>1390</v>
      </c>
      <c r="B17" s="346" t="s">
        <v>1426</v>
      </c>
      <c r="C17" s="24">
        <f ca="1">ROUND(F17*(F43+INDIRECT("'数据-取费表'!S"&amp;$G$1)),0)</f>
        <v>38210</v>
      </c>
      <c r="D17" s="346" t="s">
        <v>1427</v>
      </c>
      <c r="E17" s="346" t="s">
        <v>1428</v>
      </c>
      <c r="F17" s="26">
        <f>'数据-取费表'!B35</f>
        <v>200</v>
      </c>
      <c r="G17" s="1856"/>
      <c r="H17" s="1203" t="s">
        <v>1035</v>
      </c>
      <c r="I17" s="346" t="s">
        <v>1429</v>
      </c>
      <c r="J17" s="24">
        <f ca="1">ROUND(IF(项目基本情况!B11="自然人",J5*M17,J18+J19+J20),0)</f>
        <v>8899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10030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736975</v>
      </c>
      <c r="D19" s="139" t="s">
        <v>1436</v>
      </c>
      <c r="E19" s="1820"/>
      <c r="F19" s="26"/>
      <c r="G19" s="1853"/>
      <c r="H19" s="1203" t="s">
        <v>1036</v>
      </c>
      <c r="I19" s="346" t="s">
        <v>1437</v>
      </c>
      <c r="J19" s="24">
        <f ca="1">IF(K19="按租金收入计税",ROUND(J5*M19,0),ROUND(C29*M19*0.7,0))</f>
        <v>8899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14740</v>
      </c>
      <c r="D20" s="368" t="s">
        <v>1440</v>
      </c>
      <c r="E20" s="346" t="s">
        <v>1422</v>
      </c>
      <c r="F20" s="366">
        <f>'数据-取费表'!B37</f>
        <v>0.02</v>
      </c>
      <c r="G20" s="1856"/>
      <c r="H20" s="1203" t="s">
        <v>1389</v>
      </c>
      <c r="I20" s="163" t="s">
        <v>1441</v>
      </c>
      <c r="J20" s="25">
        <f ca="1">ROUND(M20*M21,0)</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21187</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35706</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-30086</v>
      </c>
      <c r="K25" s="1347" t="s">
        <v>1464</v>
      </c>
      <c r="L25" s="1348"/>
      <c r="M25" s="1349"/>
    </row>
    <row r="26" spans="1:37" ht="18" customHeight="1">
      <c r="A26" s="1203" t="s">
        <v>1034</v>
      </c>
      <c r="B26" s="346" t="s">
        <v>1465</v>
      </c>
      <c r="C26" s="24">
        <f ca="1">ROUND((C19+C20)*F26,0)</f>
        <v>187929</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1059357</v>
      </c>
      <c r="D29" s="1344"/>
      <c r="E29" s="1342"/>
      <c r="F29" s="1345"/>
      <c r="G29" s="1856"/>
      <c r="H29" s="379" t="s">
        <v>1033</v>
      </c>
      <c r="I29" s="380" t="s">
        <v>1479</v>
      </c>
      <c r="J29" s="381">
        <f ca="1">ROUND(J26/(1+F40)^F41,0)</f>
        <v>0</v>
      </c>
      <c r="K29" s="382" t="s">
        <v>1480</v>
      </c>
      <c r="L29" s="383"/>
      <c r="M29" s="384">
        <f ca="1">INDIRECT("'数据-取费表'!k"&amp;$G$1)</f>
        <v>191.05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89742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59981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18456</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41525</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21187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ROUND(C13*F37,0)</f>
        <v>1653</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6920.9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256301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6256672</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35</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32749</v>
      </c>
      <c r="D43" s="382" t="s">
        <v>1488</v>
      </c>
      <c r="E43" s="383" t="s">
        <v>1489</v>
      </c>
      <c r="F43" s="384">
        <f ca="1">INDIRECT("'数据-取费表'!k"&amp;$G$1)</f>
        <v>191.05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-8986504</v>
      </c>
      <c r="D45" s="1942" t="s">
        <v>1604</v>
      </c>
      <c r="E45" s="1868"/>
      <c r="F45" s="1868"/>
      <c r="O45" s="1871" t="s">
        <v>1519</v>
      </c>
      <c r="P45" s="1841"/>
      <c r="Q45" s="1841"/>
      <c r="R45" s="1841"/>
    </row>
    <row r="46" spans="1:18" s="1844" customFormat="1" ht="13.5" thickBot="1">
      <c r="A46" s="1872" t="s">
        <v>1520</v>
      </c>
      <c r="C46" s="1873">
        <f ca="1">ROUND(C45/10000,0)</f>
        <v>-899</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6256672</v>
      </c>
      <c r="R47" s="1888" t="s">
        <v>1529</v>
      </c>
    </row>
    <row r="48" spans="1:18" s="1844" customFormat="1" ht="28.5" thickBot="1">
      <c r="A48" s="1362" t="s">
        <v>1135</v>
      </c>
      <c r="B48" s="344" t="s">
        <v>1401</v>
      </c>
      <c r="C48" s="1819">
        <f ca="1">C49+C53+C55</f>
        <v>0</v>
      </c>
      <c r="D48" s="1364"/>
      <c r="E48" s="1365"/>
      <c r="F48" s="1183"/>
      <c r="G48" s="791"/>
      <c r="H48" s="792"/>
      <c r="I48" s="1889" t="s">
        <v>1530</v>
      </c>
      <c r="J48" s="1890" t="s">
        <v>3106</v>
      </c>
      <c r="K48" s="1891" t="s">
        <v>1531</v>
      </c>
      <c r="L48" s="1892">
        <f ca="1">INDIRECT("'数据-取费表'!f"&amp;$G$1)</f>
        <v>35</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2005</v>
      </c>
      <c r="K49" s="1891" t="s">
        <v>1535</v>
      </c>
      <c r="L49" s="1895"/>
      <c r="O49" s="1896" t="s">
        <v>1042</v>
      </c>
      <c r="P49" s="1887" t="s">
        <v>1536</v>
      </c>
      <c r="Q49" s="1888">
        <f ca="1">C29</f>
        <v>1059357</v>
      </c>
      <c r="R49" s="1888" t="s">
        <v>1529</v>
      </c>
    </row>
    <row r="50" spans="1:18" s="1844" customFormat="1" ht="13.5" thickBot="1">
      <c r="A50" s="1197"/>
      <c r="B50" s="1200"/>
      <c r="C50" s="1201"/>
      <c r="D50" s="1174"/>
      <c r="E50" s="1279" t="s">
        <v>1406</v>
      </c>
      <c r="F50" s="1280">
        <f ca="1">F7</f>
        <v>191.05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3046675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35</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v>
      </c>
      <c r="K53" s="3347" t="s">
        <v>1548</v>
      </c>
      <c r="L53" s="3348"/>
      <c r="O53" s="1886" t="s">
        <v>1046</v>
      </c>
      <c r="P53" s="1887" t="s">
        <v>1549</v>
      </c>
      <c r="Q53" s="1888">
        <f ca="1">Q47+Q48</f>
        <v>6256672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826298</v>
      </c>
      <c r="D56" s="1916"/>
      <c r="E56" s="1917"/>
      <c r="F56" s="1909"/>
      <c r="I56" s="1918" t="s">
        <v>1554</v>
      </c>
      <c r="J56" s="1919" t="s">
        <v>3059</v>
      </c>
      <c r="K56" s="1889" t="s">
        <v>1555</v>
      </c>
      <c r="L56" s="1892" t="str">
        <f ca="1">IF(L48&lt;J51,"——",L48-J51)</f>
        <v>——</v>
      </c>
      <c r="O56" s="1886" t="s">
        <v>1040</v>
      </c>
      <c r="P56" s="1887" t="s">
        <v>1528</v>
      </c>
      <c r="Q56" s="1888">
        <f ca="1">C40+J29</f>
        <v>6256672</v>
      </c>
      <c r="R56" s="1888" t="s">
        <v>1529</v>
      </c>
    </row>
    <row r="57" spans="1:18" s="1844" customFormat="1" ht="24.75" thickBot="1">
      <c r="A57" s="1920"/>
      <c r="B57" s="1171" t="s">
        <v>1478</v>
      </c>
      <c r="C57" s="281">
        <f ca="1">C29</f>
        <v>1059357</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111826</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88986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88986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6256672</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21187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1653</v>
      </c>
      <c r="D65" s="1185" t="s">
        <v>1454</v>
      </c>
      <c r="E65" s="1171" t="s">
        <v>1455</v>
      </c>
      <c r="F65" s="375">
        <f t="shared" ca="1" si="0"/>
        <v>2E-3</v>
      </c>
      <c r="I65" s="1931" t="s">
        <v>1579</v>
      </c>
      <c r="J65" s="1932">
        <v>40</v>
      </c>
      <c r="K65" s="1932">
        <v>30</v>
      </c>
      <c r="L65" s="1932">
        <v>50</v>
      </c>
      <c r="M65" s="1934">
        <v>0.02</v>
      </c>
      <c r="O65" s="1886" t="s">
        <v>1040</v>
      </c>
      <c r="P65" s="1887" t="s">
        <v>1580</v>
      </c>
      <c r="Q65" s="1888">
        <f ca="1">C40+J29</f>
        <v>6256672</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-111826</v>
      </c>
      <c r="D67" s="1184" t="s">
        <v>1464</v>
      </c>
      <c r="E67" s="1189"/>
      <c r="F67" s="1190"/>
      <c r="O67" s="1896" t="s">
        <v>1042</v>
      </c>
      <c r="P67" s="1887" t="s">
        <v>1562</v>
      </c>
      <c r="Q67" s="1935">
        <f ca="1">L51</f>
        <v>3046675</v>
      </c>
      <c r="R67" s="1888" t="s">
        <v>1582</v>
      </c>
    </row>
    <row r="68" spans="1:18" s="1844" customFormat="1" ht="16.5" thickBot="1">
      <c r="A68" s="1168" t="s">
        <v>1032</v>
      </c>
      <c r="B68" s="1169" t="s">
        <v>1485</v>
      </c>
      <c r="C68" s="345">
        <f ca="1">ROUND(C67*(1-((1+F70)/(1+F68))^F69)/(F68-F70),0)</f>
        <v>-2729832</v>
      </c>
      <c r="D68" s="1186" t="s">
        <v>1469</v>
      </c>
      <c r="E68" s="1171" t="s">
        <v>1470</v>
      </c>
      <c r="F68" s="356">
        <f ca="1">F40</f>
        <v>5.5E-2</v>
      </c>
      <c r="O68" s="1896" t="s">
        <v>1043</v>
      </c>
      <c r="P68" s="1936" t="s">
        <v>1583</v>
      </c>
      <c r="Q68" s="1888">
        <f ca="1">ROUND(Q69-Q70*Q71,0)</f>
        <v>186066</v>
      </c>
      <c r="R68" s="1888" t="s">
        <v>1051</v>
      </c>
    </row>
    <row r="69" spans="1:18" s="1844" customFormat="1" ht="13.5" thickBot="1">
      <c r="A69" s="1172"/>
      <c r="B69" s="1173"/>
      <c r="C69" s="350"/>
      <c r="D69" s="1191" t="s">
        <v>1473</v>
      </c>
      <c r="E69" s="1171" t="s">
        <v>1474</v>
      </c>
      <c r="F69" s="378">
        <f ca="1">F41</f>
        <v>35</v>
      </c>
      <c r="O69" s="1896" t="s">
        <v>1048</v>
      </c>
      <c r="P69" s="1936" t="s">
        <v>1584</v>
      </c>
      <c r="Q69" s="1888">
        <f ca="1">C39</f>
        <v>256301</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826298</v>
      </c>
      <c r="R70" s="1888" t="s">
        <v>1529</v>
      </c>
    </row>
    <row r="71" spans="1:18" s="1844" customFormat="1" ht="13.5" thickBot="1">
      <c r="A71" s="1192" t="s">
        <v>1033</v>
      </c>
      <c r="B71" s="1193" t="s">
        <v>1487</v>
      </c>
      <c r="C71" s="381">
        <f ca="1">ROUND(C68/F71,0)</f>
        <v>-14289</v>
      </c>
      <c r="D71" s="1194" t="s">
        <v>1488</v>
      </c>
      <c r="E71" s="1195" t="s">
        <v>1489</v>
      </c>
      <c r="F71" s="384">
        <f ca="1">F43</f>
        <v>191.05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70235</v>
      </c>
      <c r="D75" s="1844"/>
      <c r="E75" s="1844"/>
      <c r="F75" s="1844"/>
      <c r="K75" s="1870"/>
      <c r="L75" s="1844"/>
      <c r="O75" s="1886" t="s">
        <v>1046</v>
      </c>
      <c r="P75" s="1887" t="s">
        <v>1549</v>
      </c>
      <c r="Q75" s="1888">
        <f ca="1">Q65+Q66</f>
        <v>6256672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0.72599999999999998</v>
      </c>
    </row>
    <row r="80" spans="1:18">
      <c r="B80" s="385" t="s">
        <v>1511</v>
      </c>
      <c r="C80" s="317">
        <f ca="1">ROUND(C75/C39,3)</f>
        <v>0.27400000000000002</v>
      </c>
    </row>
    <row r="81" spans="2:3">
      <c r="B81" s="313" t="s">
        <v>1512</v>
      </c>
      <c r="C81" s="281"/>
    </row>
    <row r="82" spans="2:3">
      <c r="B82" s="316" t="s">
        <v>1513</v>
      </c>
      <c r="C82" s="318">
        <f ca="1">1-C83</f>
        <v>0.86799999999999999</v>
      </c>
    </row>
    <row r="83" spans="2:3">
      <c r="B83" s="316" t="s">
        <v>1514</v>
      </c>
      <c r="C83" s="317">
        <f ca="1">ROUND(C13/C40,3)</f>
        <v>0.13200000000000001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SheetLayoutView="90" workbookViewId="0">
      <selection activeCell="G47" sqref="G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3315</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t="e">
        <f ca="1">C6+C10+C12</f>
        <v>#N/A</v>
      </c>
      <c r="D5" s="1824" t="s">
        <v>1601</v>
      </c>
      <c r="E5" s="1295"/>
      <c r="F5" s="1296"/>
      <c r="G5" s="1853"/>
      <c r="H5" s="343">
        <v>1</v>
      </c>
      <c r="I5" s="344" t="s">
        <v>1600</v>
      </c>
      <c r="J5" s="1294" t="e">
        <f ca="1">J6+J10+J12</f>
        <v>#N/A</v>
      </c>
      <c r="K5" s="1824" t="s">
        <v>1601</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02"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2990" t="s">
        <v>1418</v>
      </c>
      <c r="E14" s="2985"/>
      <c r="F14" s="363"/>
      <c r="G14" s="1853"/>
      <c r="H14" s="1203" t="s">
        <v>1035</v>
      </c>
      <c r="I14" s="346" t="s">
        <v>1419</v>
      </c>
      <c r="J14" s="24" t="e">
        <f ca="1">C29</f>
        <v>#N/A</v>
      </c>
      <c r="K14" s="3001"/>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92"/>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2990" t="s">
        <v>1430</v>
      </c>
      <c r="L17" s="298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2988"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99"/>
      <c r="F19" s="26"/>
      <c r="G19" s="1853"/>
      <c r="H19" s="1203" t="s">
        <v>1036</v>
      </c>
      <c r="I19" s="346" t="s">
        <v>1437</v>
      </c>
      <c r="J19" s="24" t="e">
        <f ca="1">IF(K19="按租金收入计税",ROUND(J5*M19,0),ROUND(C29*M19*0.7,0))</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9"/>
      <c r="F22" s="26"/>
      <c r="G22" s="1853"/>
      <c r="H22" s="1203" t="s">
        <v>1039</v>
      </c>
      <c r="I22" s="346" t="s">
        <v>1449</v>
      </c>
      <c r="J22" s="24" t="e">
        <f ca="1">ROUND(J14*M22,0)</f>
        <v>#N/A</v>
      </c>
      <c r="K22" s="2988"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2988" t="s">
        <v>1454</v>
      </c>
      <c r="L23" s="346" t="s">
        <v>1455</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99"/>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92"/>
      <c r="F30" s="1296"/>
      <c r="G30" s="1853"/>
      <c r="H30" s="744"/>
      <c r="I30" s="745"/>
      <c r="J30" s="746"/>
      <c r="K30" s="747"/>
      <c r="L30" s="748"/>
      <c r="M30" s="749"/>
    </row>
    <row r="31" spans="1:37" ht="18" customHeight="1">
      <c r="A31" s="1203" t="s">
        <v>1035</v>
      </c>
      <c r="B31" s="346" t="s">
        <v>1429</v>
      </c>
      <c r="C31" s="24" t="e">
        <f ca="1">ROUND(IF(项目基本情况!B11="自然人",C5*F31,C32+C33+C34),0)</f>
        <v>#N/A</v>
      </c>
      <c r="D31" s="2990" t="s">
        <v>1430</v>
      </c>
      <c r="E31" s="298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2988"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2988"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2988" t="s">
        <v>1454</v>
      </c>
      <c r="E37" s="346" t="s">
        <v>1455</v>
      </c>
      <c r="F37" s="375"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4" t="e">
        <f ca="1">C5-C30</f>
        <v>#N/A</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98"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299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9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1"/>
      <c r="B63" s="1177"/>
      <c r="C63" s="29"/>
      <c r="D63" s="1187"/>
      <c r="E63" s="1171" t="s">
        <v>1499</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5"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3314</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ROUND(D2/10000,0)</f>
        <v>#N/A</v>
      </c>
      <c r="C2" s="1847" t="s">
        <v>1516</v>
      </c>
      <c r="D2" s="1940" t="e">
        <f ca="1">C40+J29+L46</f>
        <v>#N/A</v>
      </c>
      <c r="E2" s="1848" t="s">
        <v>1592</v>
      </c>
      <c r="F2" s="1849"/>
      <c r="G2" s="1850"/>
      <c r="H2" s="1842"/>
      <c r="I2" s="1842"/>
      <c r="J2" s="1842"/>
      <c r="K2" s="1843"/>
      <c r="L2" s="1842"/>
      <c r="M2" s="1842"/>
    </row>
    <row r="3" spans="1:37" ht="18" customHeight="1" thickBot="1">
      <c r="A3" s="1851" t="s">
        <v>1517</v>
      </c>
      <c r="B3" s="1852">
        <f ca="1">IF(ISERROR(D2/F43),0,ROUND(D2/F43,0))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13"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3022" t="s">
        <v>1418</v>
      </c>
      <c r="E14" s="3021"/>
      <c r="F14" s="363"/>
      <c r="G14" s="1853"/>
      <c r="H14" s="1203" t="s">
        <v>1035</v>
      </c>
      <c r="I14" s="346" t="s">
        <v>1419</v>
      </c>
      <c r="J14" s="24" t="e">
        <f ca="1">C29</f>
        <v>#N/A</v>
      </c>
      <c r="K14" s="3012"/>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3026"/>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3022" t="s">
        <v>1430</v>
      </c>
      <c r="L17" s="3025"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3025"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3010"/>
      <c r="F19" s="26"/>
      <c r="G19" s="1853"/>
      <c r="H19" s="1203" t="s">
        <v>1036</v>
      </c>
      <c r="I19" s="346" t="s">
        <v>1437</v>
      </c>
      <c r="J19" s="24" t="e">
        <f ca="1">IF(K19="按租金收入计税",ROUND(J5*M19,0),ROUND(C29*M19*0.7,0))</f>
        <v>#N/A</v>
      </c>
      <c r="K19" s="1830" t="s">
        <v>3105</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0"/>
      <c r="F22" s="26"/>
      <c r="G22" s="1853"/>
      <c r="H22" s="1203" t="s">
        <v>1039</v>
      </c>
      <c r="I22" s="346" t="s">
        <v>1449</v>
      </c>
      <c r="J22" s="24" t="e">
        <f ca="1">ROUND(J14*M22,0)</f>
        <v>#N/A</v>
      </c>
      <c r="K22" s="3025"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3025"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ROUND(J5*M24,0)</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0"/>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3026"/>
      <c r="F30" s="1296"/>
      <c r="G30" s="1853"/>
      <c r="H30" s="744"/>
      <c r="I30" s="745"/>
      <c r="J30" s="746"/>
      <c r="K30" s="747"/>
      <c r="L30" s="748"/>
      <c r="M30" s="749"/>
    </row>
    <row r="31" spans="1:37" ht="18" customHeight="1">
      <c r="A31" s="1203" t="s">
        <v>1035</v>
      </c>
      <c r="B31" s="346" t="s">
        <v>1429</v>
      </c>
      <c r="C31" s="24" t="e">
        <f ca="1">ROUND(IF(项目基本情况!B11="自然人",C5*F31,C32+C33+C34),0)</f>
        <v>#N/A</v>
      </c>
      <c r="D31" s="3022" t="s">
        <v>1430</v>
      </c>
      <c r="E31" s="3025"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3025"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3025"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3025"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3009"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t="e">
        <f ca="1">'收益法 (商业无租约)'!F6</f>
        <v>#N/A</v>
      </c>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t="e">
        <f ca="1">'收益法 (商业无租约)'!F9</f>
        <v>#N/A</v>
      </c>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t="e">
        <f ca="1">ROUND(IF(F53="押一",C49/12*F11,IF(F53="押二",C49/12*2*F11,IF(F53="押三",C49/12*3*F11,C54*F11))),0)</f>
        <v>#N/A</v>
      </c>
      <c r="D53" s="1826" t="s">
        <v>3046</v>
      </c>
      <c r="E53" s="357" t="s">
        <v>1410</v>
      </c>
      <c r="F53" s="1368" t="s">
        <v>3108</v>
      </c>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301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301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IF(项目基本情况!B11="自然人","——",IF(D61="按租金收入计税",ROUND(C48*F61,0),IF(D61="按房产原值计税",ROUND(C57*F61*0.7,0),INDIRECT("'数据-取费表'!Aj"&amp;$G$1))))</f>
        <v>#N/A</v>
      </c>
      <c r="D61" s="1830" t="s">
        <v>3105</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IF(项目基本情况!B11="自然人","——",ROUND(F62*F63,0))</f>
        <v>#N/A</v>
      </c>
      <c r="D62" s="1186" t="s">
        <v>1442</v>
      </c>
      <c r="E62" s="1171" t="s">
        <v>1443</v>
      </c>
      <c r="F62" s="370">
        <f t="shared" si="0"/>
        <v>24</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ROUND(C57*F64,0)</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ROUND(C48*F66,0)</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'收益法 (商业无租约)'!F42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3" workbookViewId="0">
      <selection activeCell="E17" sqref="E17"/>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1633</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43021</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379.58000000000004</v>
      </c>
      <c r="C22" s="3339" t="s">
        <v>33</v>
      </c>
      <c r="D22" s="3340"/>
      <c r="E22" s="3340"/>
      <c r="F22" s="3340"/>
      <c r="G22" s="3340"/>
      <c r="H22" s="3340"/>
      <c r="I22" s="3340"/>
      <c r="J22" s="3340"/>
      <c r="K22" s="3340"/>
      <c r="L22" s="3340"/>
      <c r="M22" s="3340"/>
      <c r="N22" s="3340"/>
      <c r="O22" s="3340"/>
      <c r="P22" s="3340"/>
      <c r="Q22" s="3485"/>
      <c r="R22" s="715">
        <f ca="1">ROUND(S22*10000/B22,0)</f>
        <v>43021</v>
      </c>
      <c r="S22" s="24">
        <f ca="1">SUM(S24:S10000)</f>
        <v>1633</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v>191.05</v>
      </c>
      <c r="C24" s="718">
        <v>1</v>
      </c>
      <c r="D24" s="719" t="s">
        <v>3112</v>
      </c>
      <c r="E24" s="718">
        <v>1</v>
      </c>
      <c r="F24" s="719"/>
      <c r="G24" s="718">
        <v>1</v>
      </c>
      <c r="H24" s="719"/>
      <c r="I24" s="718">
        <v>1</v>
      </c>
      <c r="J24" s="719"/>
      <c r="K24" s="718">
        <v>1</v>
      </c>
      <c r="L24" s="719"/>
      <c r="M24" s="718">
        <v>1</v>
      </c>
      <c r="N24" s="719"/>
      <c r="O24" s="718">
        <v>1</v>
      </c>
      <c r="P24" s="719"/>
      <c r="Q24" s="718">
        <v>1</v>
      </c>
      <c r="R24" s="720">
        <f ca="1">'结果表（办公）'!G20</f>
        <v>43016</v>
      </c>
      <c r="S24" s="718">
        <f t="shared" ref="S24:S54" ca="1" si="11">ROUND(R24*B24/10000,0)</f>
        <v>822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4"/>
      <c r="C25" s="24">
        <f>IF(B25="",1,(LOOKUP(B25,$3:$3,$4:$4)-LOOKUP($B$24,$3:$3,$4:$4)+100)/100)</f>
        <v>1</v>
      </c>
      <c r="D25" s="719" t="s">
        <v>3112</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4"/>
      <c r="C26" s="24">
        <f t="shared" ref="C26:C89" si="12">IF(B26="",1,(LOOKUP(B26,$3:$3,$4:$4)-LOOKUP($B$24,$3:$3,$4:$4)+100)/100)</f>
        <v>1</v>
      </c>
      <c r="D26" s="719" t="s">
        <v>3112</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4"/>
      <c r="C27" s="24">
        <f t="shared" si="12"/>
        <v>1</v>
      </c>
      <c r="D27" s="719" t="s">
        <v>3112</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3004"/>
      <c r="C28" s="24">
        <f t="shared" si="12"/>
        <v>1</v>
      </c>
      <c r="D28" s="719" t="s">
        <v>3112</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3004"/>
      <c r="C29" s="24">
        <f t="shared" si="12"/>
        <v>1</v>
      </c>
      <c r="D29" s="719" t="s">
        <v>3112</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3004"/>
      <c r="C30" s="24">
        <f t="shared" si="12"/>
        <v>1</v>
      </c>
      <c r="D30" s="719" t="s">
        <v>3112</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v>803</v>
      </c>
      <c r="B31" s="3004">
        <v>188.53</v>
      </c>
      <c r="C31" s="24">
        <f t="shared" si="12"/>
        <v>1</v>
      </c>
      <c r="D31" s="719" t="s">
        <v>3112</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43016</v>
      </c>
      <c r="S31" s="360">
        <f t="shared" ca="1" si="11"/>
        <v>811</v>
      </c>
    </row>
    <row r="32" spans="1:45">
      <c r="A32" s="158"/>
      <c r="B32" s="3004"/>
      <c r="C32" s="24">
        <f t="shared" si="12"/>
        <v>1</v>
      </c>
      <c r="D32" s="719"/>
      <c r="E32" s="24">
        <f t="shared" si="13"/>
        <v>0.03</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3004"/>
      <c r="C33" s="24">
        <f t="shared" si="12"/>
        <v>1</v>
      </c>
      <c r="D33" s="719"/>
      <c r="E33" s="24">
        <f t="shared" si="13"/>
        <v>0.03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5">
      <c r="A34" s="3003"/>
      <c r="B34" s="3004"/>
      <c r="C34" s="24">
        <f t="shared" si="12"/>
        <v>1</v>
      </c>
      <c r="D34" s="719"/>
      <c r="E34" s="24">
        <f t="shared" si="13"/>
        <v>0.03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30829</v>
      </c>
      <c r="C2" s="2" t="s">
        <v>133</v>
      </c>
      <c r="D2" s="242"/>
      <c r="E2" s="242"/>
      <c r="F2" s="242"/>
      <c r="G2" s="242"/>
    </row>
    <row r="3" spans="1:7" s="243" customFormat="1" ht="18" customHeight="1" thickBot="1">
      <c r="A3" s="246" t="s">
        <v>85</v>
      </c>
      <c r="B3" s="247">
        <f ca="1">ROUND(B2*10000/'数据-汇总表'!E3,0)</f>
        <v>1613661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191.05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v>
      </c>
      <c r="D19" s="1038">
        <f>'数据-汇总表'!E3</f>
        <v>191.05</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2024</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5257</v>
      </c>
      <c r="D27" s="278">
        <f>C29</f>
        <v>5.0000000000000001E-3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5257</v>
      </c>
      <c r="D28" s="278"/>
      <c r="E28" s="279"/>
      <c r="F28" s="289"/>
      <c r="G28" s="290"/>
    </row>
    <row r="29" spans="1:7" s="257" customFormat="1" ht="13.5" customHeight="1">
      <c r="A29" s="953" t="s">
        <v>792</v>
      </c>
      <c r="B29" s="291" t="s">
        <v>1063</v>
      </c>
      <c r="C29" s="281">
        <f>ROUND(C21*F27*'数据-取费表'!B21/'数据-取费表'!B20,4)</f>
        <v>5.0000000000000001E-3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67</v>
      </c>
      <c r="D34" s="260"/>
      <c r="E34" s="263"/>
      <c r="F34" s="300">
        <f>IF('数据-取费表'!B24=0,1,'数据-取费表'!N16)</f>
        <v>1</v>
      </c>
      <c r="G34" s="262" t="s">
        <v>116</v>
      </c>
    </row>
    <row r="35" spans="1:7" ht="13.5" customHeight="1">
      <c r="A35" s="953" t="s">
        <v>796</v>
      </c>
      <c r="B35" s="258" t="s">
        <v>60</v>
      </c>
      <c r="C35" s="263">
        <f>ROUND(C34*F35,0)</f>
        <v>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4</v>
      </c>
      <c r="D37" s="260">
        <f>'数据-汇总表'!E3</f>
        <v>191.05</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v>
      </c>
      <c r="D42" s="281"/>
      <c r="E42" s="281"/>
      <c r="F42" s="282"/>
      <c r="G42" s="3344" t="s">
        <v>121</v>
      </c>
    </row>
    <row r="43" spans="1:7" ht="13.5" customHeight="1">
      <c r="A43" s="953" t="s">
        <v>792</v>
      </c>
      <c r="B43" s="258" t="s">
        <v>1064</v>
      </c>
      <c r="C43" s="281">
        <f ca="1">ROUND(IF('数据-取费表'!B22&lt;=1,C39*F22*'数据-取费表'!B21/2,C39*(POWER((1+F22),'数据-取费表'!B21/2)-1)),0)</f>
        <v>0</v>
      </c>
      <c r="D43" s="281"/>
      <c r="E43" s="281"/>
      <c r="F43" s="282"/>
      <c r="G43" s="3345"/>
    </row>
    <row r="44" spans="1:7" ht="13.5" customHeight="1">
      <c r="A44" s="953" t="s">
        <v>793</v>
      </c>
      <c r="B44" s="258" t="s">
        <v>1066</v>
      </c>
      <c r="C44" s="281">
        <f ca="1">ROUND(IF('数据-取费表'!B22&lt;=1,C40*F22*'数据-取费表'!B21/2,C40*(POWER((1+F22),'数据-取费表'!B21/2)-1)),4)</f>
        <v>1E-3</v>
      </c>
      <c r="D44" s="281"/>
      <c r="E44" s="281"/>
      <c r="F44" s="282"/>
      <c r="G44" s="3346"/>
    </row>
    <row r="45" spans="1:7" s="257" customFormat="1" ht="13.5" customHeight="1">
      <c r="A45" s="950" t="s">
        <v>786</v>
      </c>
      <c r="B45" s="287" t="s">
        <v>112</v>
      </c>
      <c r="C45" s="288">
        <f>C46</f>
        <v>19</v>
      </c>
      <c r="D45" s="278">
        <f>C47</f>
        <v>5.0000000000000001E-3</v>
      </c>
      <c r="E45" s="279" t="s">
        <v>129</v>
      </c>
      <c r="F45" s="289"/>
      <c r="G45" s="290" t="s">
        <v>1072</v>
      </c>
    </row>
    <row r="46" spans="1:7" s="257" customFormat="1" ht="13.5" customHeight="1">
      <c r="A46" s="953" t="s">
        <v>794</v>
      </c>
      <c r="B46" s="291" t="s">
        <v>1065</v>
      </c>
      <c r="C46" s="292">
        <f>ROUND((C33+C39)*F27,0)</f>
        <v>19</v>
      </c>
      <c r="D46" s="306"/>
      <c r="E46" s="279"/>
      <c r="F46" s="289"/>
      <c r="G46" s="290"/>
    </row>
    <row r="47" spans="1:7" s="257" customFormat="1" ht="13.5" customHeight="1">
      <c r="A47" s="953" t="s">
        <v>792</v>
      </c>
      <c r="B47" s="291" t="s">
        <v>1067</v>
      </c>
      <c r="C47" s="281">
        <f>ROUND(C40*F27,4)</f>
        <v>5.0000000000000001E-3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106</v>
      </c>
      <c r="D49" s="275"/>
      <c r="E49" s="275"/>
      <c r="F49" s="307"/>
      <c r="G49" s="277" t="s">
        <v>1073</v>
      </c>
    </row>
    <row r="50" spans="1:7" s="301" customFormat="1" ht="24">
      <c r="A50" s="950" t="s">
        <v>789</v>
      </c>
      <c r="B50" s="253" t="s">
        <v>124</v>
      </c>
      <c r="C50" s="275"/>
      <c r="D50" s="275"/>
      <c r="E50" s="275"/>
      <c r="F50" s="307">
        <f>IF('数据-取费表'!B24=0,'数据-取费表'!N16,1)</f>
        <v>0.78</v>
      </c>
      <c r="G50" s="290" t="s">
        <v>125</v>
      </c>
    </row>
    <row r="51" spans="1:7" ht="16.5" customHeight="1">
      <c r="A51" s="950" t="s">
        <v>790</v>
      </c>
      <c r="B51" s="253" t="s">
        <v>132</v>
      </c>
      <c r="C51" s="275">
        <f ca="1">ROUND(C49*F50,0)</f>
        <v>83</v>
      </c>
      <c r="D51" s="275"/>
      <c r="E51" s="275"/>
      <c r="F51" s="307"/>
      <c r="G51" s="277" t="s">
        <v>64</v>
      </c>
    </row>
    <row r="52" spans="1:7" s="251" customFormat="1" ht="16.5" thickBot="1">
      <c r="A52" s="308" t="s">
        <v>65</v>
      </c>
      <c r="B52" s="309"/>
      <c r="C52" s="310">
        <f ca="1">C31+C51</f>
        <v>30829</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89" t="s">
        <v>156</v>
      </c>
      <c r="B1" s="3489"/>
      <c r="C1" s="3489"/>
      <c r="D1" s="3489"/>
      <c r="E1" s="3489"/>
      <c r="F1" s="34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0" t="s">
        <v>169</v>
      </c>
      <c r="B2" s="3490"/>
      <c r="C2" s="3490"/>
      <c r="D2" s="3490"/>
      <c r="E2" s="3490"/>
      <c r="F2" s="34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89" t="s">
        <v>871</v>
      </c>
      <c r="B1" s="34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43405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6" t="s">
        <v>3163</v>
      </c>
      <c r="C7" s="3037" t="s">
        <v>3164</v>
      </c>
      <c r="D7" s="3038" t="s">
        <v>3165</v>
      </c>
      <c r="E7" s="3038" t="s">
        <v>3166</v>
      </c>
      <c r="F7" s="3039" t="s">
        <v>3167</v>
      </c>
      <c r="G7" s="3039" t="s">
        <v>3168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t="e">
        <f ca="1">IF(D20="——",S22,S22-F20)</f>
        <v>#N/A</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t="e">
        <f ca="1">R22</f>
        <v>#N/A</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1203.8499999999999</v>
      </c>
      <c r="C22" s="3339" t="s">
        <v>33</v>
      </c>
      <c r="D22" s="3340"/>
      <c r="E22" s="3340"/>
      <c r="F22" s="3340"/>
      <c r="G22" s="3340"/>
      <c r="H22" s="3340"/>
      <c r="I22" s="3340"/>
      <c r="J22" s="3340"/>
      <c r="K22" s="3340"/>
      <c r="L22" s="3340"/>
      <c r="M22" s="3340"/>
      <c r="N22" s="3340"/>
      <c r="O22" s="3340"/>
      <c r="P22" s="3340"/>
      <c r="Q22" s="3485"/>
      <c r="R22" s="715" t="e">
        <f ca="1">ROUND(S22*10000/B22,0)</f>
        <v>#N/A</v>
      </c>
      <c r="S22" s="24" t="e">
        <f ca="1">SUM(S24:S10000)</f>
        <v>#N/A</v>
      </c>
    </row>
    <row r="23" spans="1:45" s="12" customFormat="1" ht="24">
      <c r="A23" s="11" t="s">
        <v>3027</v>
      </c>
      <c r="B23" s="11" t="s">
        <v>3028</v>
      </c>
      <c r="C23" s="11" t="s">
        <v>3029</v>
      </c>
      <c r="D23" s="11" t="str">
        <f>B5</f>
        <v>建筑类型</v>
      </c>
      <c r="E23" s="11" t="s">
        <v>3029</v>
      </c>
      <c r="F23" s="11" t="str">
        <f>B7</f>
        <v>可视性</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3115</v>
      </c>
      <c r="B24" s="717">
        <v>174.63</v>
      </c>
      <c r="C24" s="718">
        <v>1</v>
      </c>
      <c r="D24" s="719" t="s">
        <v>3112</v>
      </c>
      <c r="E24" s="718">
        <v>1</v>
      </c>
      <c r="F24" s="719" t="s">
        <v>3150</v>
      </c>
      <c r="G24" s="718">
        <v>1</v>
      </c>
      <c r="H24" s="719"/>
      <c r="I24" s="718">
        <v>1</v>
      </c>
      <c r="J24" s="719"/>
      <c r="K24" s="718">
        <v>1</v>
      </c>
      <c r="L24" s="719"/>
      <c r="M24" s="718">
        <v>1</v>
      </c>
      <c r="N24" s="719"/>
      <c r="O24" s="718">
        <v>1</v>
      </c>
      <c r="P24" s="719">
        <v>1</v>
      </c>
      <c r="Q24" s="718">
        <v>1</v>
      </c>
      <c r="R24" s="720" t="e">
        <f ca="1">'结果表 (商业有租约)'!I118</f>
        <v>#N/A</v>
      </c>
      <c r="S24" s="718" t="e">
        <f t="shared" ref="S24:S87" ca="1" si="5">ROUND(R24*B24/10000,0)</f>
        <v>#N/A</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4">
        <v>124.02</v>
      </c>
      <c r="C25" s="24">
        <f>IF(B25="",1,(LOOKUP(B25,$3:$3,$4:$4)-LOOKUP($B$24,$3:$3,$4:$4)+100)/100)</f>
        <v>1</v>
      </c>
      <c r="D25" s="719" t="s">
        <v>3112</v>
      </c>
      <c r="E25" s="24">
        <f>(SUMIF($5:$5,D25,$6:$6)-SUMIF($5:$5,$D$24,$6:$6)+100)/100</f>
        <v>1</v>
      </c>
      <c r="F25" s="719" t="s">
        <v>3150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#N/A</v>
      </c>
      <c r="S25" s="360" t="e">
        <f t="shared" ca="1" si="5"/>
        <v>#N/A</v>
      </c>
    </row>
    <row r="26" spans="1:45">
      <c r="A26" s="158">
        <v>103</v>
      </c>
      <c r="B26" s="3004">
        <v>309.76</v>
      </c>
      <c r="C26" s="24">
        <f t="shared" ref="C26:C89" si="6">IF(B26="",1,(LOOKUP(B26,$3:$3,$4:$4)-LOOKUP($B$24,$3:$3,$4:$4)+100)/100)</f>
        <v>1.01</v>
      </c>
      <c r="D26" s="719" t="s">
        <v>3112</v>
      </c>
      <c r="E26" s="24">
        <f t="shared" ref="E26:E89" si="7">(SUMIF($5:$5,D26,$6:$6)-SUMIF($5:$5,$D$24,$6:$6)+100)/100</f>
        <v>1</v>
      </c>
      <c r="F26" s="719" t="s">
        <v>3150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#N/A</v>
      </c>
      <c r="S26" s="360" t="e">
        <f t="shared" ca="1" si="5"/>
        <v>#N/A</v>
      </c>
    </row>
    <row r="27" spans="1:45">
      <c r="A27" s="158">
        <v>104</v>
      </c>
      <c r="B27" s="3004">
        <v>288.77</v>
      </c>
      <c r="C27" s="24">
        <f t="shared" si="6"/>
        <v>1.01</v>
      </c>
      <c r="D27" s="719" t="s">
        <v>3112</v>
      </c>
      <c r="E27" s="24">
        <f t="shared" si="7"/>
        <v>1</v>
      </c>
      <c r="F27" s="719" t="s">
        <v>3150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#N/A</v>
      </c>
      <c r="S27" s="360" t="e">
        <f t="shared" ca="1" si="5"/>
        <v>#N/A</v>
      </c>
    </row>
    <row r="28" spans="1:45">
      <c r="A28" s="158">
        <v>105</v>
      </c>
      <c r="B28" s="3004">
        <v>123.87</v>
      </c>
      <c r="C28" s="24">
        <f t="shared" si="6"/>
        <v>1</v>
      </c>
      <c r="D28" s="719" t="s">
        <v>3112</v>
      </c>
      <c r="E28" s="24">
        <f t="shared" si="7"/>
        <v>1</v>
      </c>
      <c r="F28" s="719" t="s">
        <v>3150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#N/A</v>
      </c>
      <c r="S28" s="360" t="e">
        <f t="shared" ca="1" si="5"/>
        <v>#N/A</v>
      </c>
    </row>
    <row r="29" spans="1:45">
      <c r="A29" s="158">
        <v>106</v>
      </c>
      <c r="B29" s="3004">
        <v>182.8</v>
      </c>
      <c r="C29" s="24">
        <f t="shared" si="6"/>
        <v>1</v>
      </c>
      <c r="D29" s="719" t="s">
        <v>3112</v>
      </c>
      <c r="E29" s="24">
        <f t="shared" si="7"/>
        <v>1</v>
      </c>
      <c r="F29" s="719" t="s">
        <v>3150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#N/A</v>
      </c>
      <c r="S29" s="360" t="e">
        <f t="shared" ca="1" si="5"/>
        <v>#N/A</v>
      </c>
    </row>
    <row r="30" spans="1:45">
      <c r="A30" s="158"/>
      <c r="B30" s="3004"/>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4"/>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4"/>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4"/>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3"/>
      <c r="B34" s="3004"/>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20"/>
  <sheetViews>
    <sheetView workbookViewId="0"/>
  </sheetViews>
  <sheetFormatPr defaultRowHeight="13.5"/>
  <cols>
    <col min="11" max="11" width="30.875" customWidth="1"/>
    <col min="12" max="12" width="29.875" customWidth="1"/>
  </cols>
  <sheetData>
    <row r="1" spans="10:15" ht="14.25" thickBot="1">
      <c r="J1" s="2975"/>
      <c r="K1" s="2976"/>
      <c r="L1" s="2976"/>
      <c r="M1" s="2976"/>
      <c r="N1" s="2976"/>
    </row>
    <row r="2" spans="10:15" ht="14.25" thickBot="1">
      <c r="J2" s="2977"/>
      <c r="K2" s="2977"/>
      <c r="L2" s="2977"/>
      <c r="M2" s="2977"/>
      <c r="N2" s="2977"/>
    </row>
    <row r="3" spans="10:15" ht="14.25" thickBot="1">
      <c r="J3" s="2977"/>
      <c r="K3" s="2977"/>
      <c r="L3" s="2977"/>
      <c r="M3" s="2977"/>
      <c r="N3" s="2977"/>
    </row>
    <row r="4" spans="10:15" ht="14.25" thickBot="1">
      <c r="J4" s="2977"/>
      <c r="K4" s="2977"/>
      <c r="L4" s="2977"/>
      <c r="M4" s="2977"/>
      <c r="N4" s="2977"/>
      <c r="O4" s="2979"/>
    </row>
    <row r="5" spans="10:15" ht="14.25" thickBot="1">
      <c r="J5" s="2977"/>
      <c r="K5" s="2977"/>
      <c r="L5" s="2977"/>
      <c r="M5" s="2977"/>
      <c r="N5" s="2977"/>
      <c r="O5" s="2979"/>
    </row>
    <row r="6" spans="10:15" ht="14.25" thickBot="1">
      <c r="J6" s="2977"/>
      <c r="K6" s="2977"/>
      <c r="L6" s="2977"/>
      <c r="M6" s="2977"/>
      <c r="N6" s="2977"/>
    </row>
    <row r="7" spans="10:15" ht="14.25" thickBot="1">
      <c r="J7" s="2977"/>
      <c r="K7" s="2977"/>
      <c r="L7" s="2977"/>
      <c r="M7" s="2977"/>
      <c r="N7" s="2977"/>
    </row>
    <row r="8" spans="10:15" ht="14.25" thickBot="1">
      <c r="J8" s="2977"/>
      <c r="K8" s="2977"/>
      <c r="L8" s="2977"/>
      <c r="M8" s="2977"/>
      <c r="N8" s="2977"/>
    </row>
    <row r="9" spans="10:15" ht="14.25" thickBot="1">
      <c r="J9" s="2977"/>
      <c r="K9" s="2977"/>
      <c r="L9" s="2977"/>
      <c r="M9" s="2977"/>
      <c r="N9" s="2977"/>
    </row>
    <row r="10" spans="10:15" ht="14.25" thickBot="1">
      <c r="J10" s="2977"/>
      <c r="K10" s="2977"/>
      <c r="L10" s="2977"/>
      <c r="M10" s="2977"/>
      <c r="N10" s="2977"/>
    </row>
    <row r="11" spans="10:15" ht="14.25" thickBot="1">
      <c r="J11" s="2977"/>
      <c r="K11" s="2977"/>
      <c r="L11" s="2977"/>
      <c r="M11" s="2977"/>
      <c r="N11" s="2977"/>
      <c r="O11" s="2979"/>
    </row>
    <row r="12" spans="10:15" ht="14.25" thickBot="1">
      <c r="J12" s="2977"/>
      <c r="K12" s="2977"/>
      <c r="L12" s="2977"/>
      <c r="M12" s="2977"/>
      <c r="N12" s="2977"/>
      <c r="O12" s="2979"/>
    </row>
    <row r="13" spans="10:15" ht="14.25" thickBot="1">
      <c r="J13" s="3493"/>
      <c r="K13" s="3494"/>
      <c r="L13" s="3495"/>
      <c r="M13" s="2978"/>
      <c r="N13" s="2977"/>
    </row>
    <row r="20" spans="11:11">
      <c r="K20" s="2979"/>
    </row>
  </sheetData>
  <mergeCells count="1">
    <mergeCell ref="J13:L13"/>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B1" workbookViewId="0">
      <selection activeCell="I20" sqref="I20"/>
    </sheetView>
  </sheetViews>
  <sheetFormatPr defaultRowHeight="13.5"/>
  <sheetData>
    <row r="1" spans="1:56" s="3040" customFormat="1" ht="26.25" customHeight="1">
      <c r="A1" s="3496" t="s">
        <v>3169</v>
      </c>
      <c r="B1" s="3496"/>
      <c r="C1" s="3496"/>
      <c r="D1" s="3496"/>
      <c r="E1" s="3496"/>
      <c r="F1" s="3496"/>
      <c r="G1" s="3496"/>
      <c r="H1" s="3496"/>
      <c r="I1" s="3496"/>
      <c r="J1" s="3496"/>
      <c r="K1" s="3496"/>
      <c r="L1" s="3496"/>
      <c r="M1" s="3496"/>
      <c r="N1" s="3496"/>
      <c r="O1" s="3496"/>
      <c r="P1" s="3496"/>
      <c r="Q1" s="3496"/>
      <c r="R1" s="3496"/>
      <c r="S1" s="3496"/>
      <c r="T1" s="3496"/>
      <c r="U1" s="3496"/>
      <c r="V1" s="3496"/>
      <c r="W1" s="3496"/>
      <c r="X1" s="3496"/>
      <c r="Y1" s="3496"/>
      <c r="Z1" s="3496"/>
      <c r="AA1" s="3496"/>
      <c r="AB1" s="3496"/>
      <c r="AC1" s="3496"/>
      <c r="AD1" s="3496"/>
      <c r="AE1" s="3496"/>
      <c r="AF1" s="3496"/>
      <c r="AG1" s="3496"/>
      <c r="AH1" s="3496"/>
      <c r="AI1" s="3496"/>
      <c r="AJ1" s="3496"/>
      <c r="AK1" s="3496"/>
      <c r="AL1" s="3496"/>
      <c r="AM1" s="3496"/>
      <c r="AN1" s="3496"/>
      <c r="AO1" s="3496"/>
      <c r="AP1" s="3496"/>
      <c r="AQ1" s="3496"/>
      <c r="AR1" s="3496"/>
      <c r="AS1" s="3496"/>
      <c r="AT1" s="3496"/>
      <c r="AU1" s="3496"/>
      <c r="AV1" s="3496"/>
      <c r="AW1" s="3496"/>
      <c r="AX1" s="3496"/>
      <c r="AY1" s="3496"/>
      <c r="AZ1" s="3496"/>
      <c r="BA1" s="3496"/>
      <c r="BB1" s="3496"/>
      <c r="BC1" s="3496"/>
      <c r="BD1" s="3040" ph="1"/>
    </row>
    <row r="2" spans="1:56" s="3041" customFormat="1" ht="18" customHeight="1">
      <c r="A2" s="3497" t="s">
        <v>3170</v>
      </c>
      <c r="B2" s="3498" t="s">
        <v>3171</v>
      </c>
      <c r="C2" s="3498" t="s">
        <v>3172</v>
      </c>
      <c r="D2" s="3498" t="s">
        <v>3173</v>
      </c>
      <c r="E2" s="3498" t="s">
        <v>3174</v>
      </c>
      <c r="F2" s="3500" t="s">
        <v>3175</v>
      </c>
      <c r="G2" s="3501" t="s">
        <v>3176</v>
      </c>
      <c r="H2" s="3501" t="s">
        <v>3177</v>
      </c>
      <c r="I2" s="3498" t="s">
        <v>3178</v>
      </c>
      <c r="J2" s="3498" t="s">
        <v>3179</v>
      </c>
      <c r="K2" s="3498" t="s">
        <v>3180</v>
      </c>
      <c r="L2" s="3498" t="s">
        <v>3181</v>
      </c>
      <c r="M2" s="3502" t="s">
        <v>3182</v>
      </c>
      <c r="N2" s="3504" t="s">
        <v>3183</v>
      </c>
      <c r="O2" s="3502" t="s">
        <v>3184</v>
      </c>
      <c r="P2" s="3502" t="s">
        <v>3185</v>
      </c>
      <c r="Q2" s="3506" t="s">
        <v>3186</v>
      </c>
      <c r="R2" s="3499" t="s">
        <v>3187</v>
      </c>
      <c r="S2" s="3499"/>
      <c r="T2" s="3499" t="s">
        <v>3188</v>
      </c>
      <c r="U2" s="3499"/>
      <c r="V2" s="3499" t="s">
        <v>3189</v>
      </c>
      <c r="W2" s="3499"/>
      <c r="X2" s="3499" t="s">
        <v>3190</v>
      </c>
      <c r="Y2" s="3499"/>
      <c r="Z2" s="3499" t="s">
        <v>3191</v>
      </c>
      <c r="AA2" s="3499"/>
      <c r="AB2" s="3499" t="s">
        <v>3192</v>
      </c>
      <c r="AC2" s="3499"/>
      <c r="AD2" s="3499" t="s">
        <v>3193</v>
      </c>
      <c r="AE2" s="3499"/>
      <c r="AF2" s="3499" t="s">
        <v>3194</v>
      </c>
      <c r="AG2" s="3499"/>
      <c r="AH2" s="3499"/>
      <c r="AI2" s="3499" t="s">
        <v>3195</v>
      </c>
      <c r="AJ2" s="3499"/>
      <c r="AK2" s="3499"/>
      <c r="AL2" s="3499" t="s">
        <v>3196</v>
      </c>
      <c r="AM2" s="3499"/>
      <c r="AN2" s="3504" t="s">
        <v>3197</v>
      </c>
      <c r="AO2" s="3505" t="s">
        <v>3198</v>
      </c>
      <c r="AP2" s="3502" t="s">
        <v>3199</v>
      </c>
      <c r="AQ2" s="3502" t="s">
        <v>3200</v>
      </c>
      <c r="AR2" s="3502" t="s">
        <v>3201</v>
      </c>
      <c r="AS2" s="3502" t="s">
        <v>3202</v>
      </c>
      <c r="AT2" s="3502" t="s">
        <v>3203</v>
      </c>
      <c r="AU2" s="3502" t="s">
        <v>3204</v>
      </c>
      <c r="AV2" s="3502" t="s">
        <v>3205</v>
      </c>
      <c r="AW2" s="3502" t="s">
        <v>3206</v>
      </c>
      <c r="AX2" s="3502" t="s">
        <v>3207</v>
      </c>
      <c r="AY2" s="3502" t="s">
        <v>3208</v>
      </c>
      <c r="AZ2" s="3502" t="s">
        <v>3209</v>
      </c>
      <c r="BA2" s="3502" t="s">
        <v>3210</v>
      </c>
      <c r="BB2" s="3504" t="s">
        <v>3211</v>
      </c>
      <c r="BC2" s="3505" t="s">
        <v>3212</v>
      </c>
    </row>
    <row r="3" spans="1:56" s="3041" customFormat="1" ht="18" customHeight="1">
      <c r="A3" s="3497"/>
      <c r="B3" s="3499"/>
      <c r="C3" s="3498"/>
      <c r="D3" s="3498"/>
      <c r="E3" s="3499"/>
      <c r="F3" s="3500"/>
      <c r="G3" s="3501"/>
      <c r="H3" s="3501"/>
      <c r="I3" s="3498"/>
      <c r="J3" s="3498"/>
      <c r="K3" s="3498"/>
      <c r="L3" s="3499"/>
      <c r="M3" s="3503"/>
      <c r="N3" s="3505"/>
      <c r="O3" s="3503"/>
      <c r="P3" s="3503"/>
      <c r="Q3" s="3507"/>
      <c r="R3" s="3042" t="s">
        <v>3213</v>
      </c>
      <c r="S3" s="3042" t="s">
        <v>3214</v>
      </c>
      <c r="T3" s="3042" t="s">
        <v>3213</v>
      </c>
      <c r="U3" s="3042" t="s">
        <v>3214</v>
      </c>
      <c r="V3" s="3042" t="s">
        <v>3213</v>
      </c>
      <c r="W3" s="3042" t="s">
        <v>3214</v>
      </c>
      <c r="X3" s="3042" t="s">
        <v>3213</v>
      </c>
      <c r="Y3" s="3042" t="s">
        <v>3214</v>
      </c>
      <c r="Z3" s="3042" t="s">
        <v>3213</v>
      </c>
      <c r="AA3" s="3042" t="s">
        <v>3214</v>
      </c>
      <c r="AB3" s="3042" t="s">
        <v>3213</v>
      </c>
      <c r="AC3" s="3042" t="s">
        <v>3214</v>
      </c>
      <c r="AD3" s="3042" t="s">
        <v>3213</v>
      </c>
      <c r="AE3" s="3042" t="s">
        <v>3214</v>
      </c>
      <c r="AF3" s="3043" t="s">
        <v>3213</v>
      </c>
      <c r="AG3" s="3042" t="s">
        <v>3214</v>
      </c>
      <c r="AH3" s="3042" t="s">
        <v>3215</v>
      </c>
      <c r="AI3" s="3042" t="s">
        <v>3213</v>
      </c>
      <c r="AJ3" s="3042" t="s">
        <v>3214</v>
      </c>
      <c r="AK3" s="3042" t="s">
        <v>3215</v>
      </c>
      <c r="AL3" s="3042" t="s">
        <v>3213</v>
      </c>
      <c r="AM3" s="3042" t="s">
        <v>3214</v>
      </c>
      <c r="AN3" s="3505"/>
      <c r="AO3" s="3505"/>
      <c r="AP3" s="3503"/>
      <c r="AQ3" s="3503"/>
      <c r="AR3" s="3503"/>
      <c r="AS3" s="3503"/>
      <c r="AT3" s="3503"/>
      <c r="AU3" s="3503"/>
      <c r="AV3" s="3503"/>
      <c r="AW3" s="3503"/>
      <c r="AX3" s="3503"/>
      <c r="AY3" s="3503"/>
      <c r="AZ3" s="3503"/>
      <c r="BA3" s="3503"/>
      <c r="BB3" s="3505"/>
      <c r="BC3" s="3505"/>
    </row>
    <row r="4" spans="1:56" s="3058" customFormat="1" ht="26.25" customHeight="1">
      <c r="A4" s="3044">
        <v>1</v>
      </c>
      <c r="B4" s="3045" t="s">
        <v>3216</v>
      </c>
      <c r="C4" s="3046" t="s">
        <v>3217</v>
      </c>
      <c r="D4" s="3046" t="s">
        <v>3218</v>
      </c>
      <c r="E4" s="3045">
        <v>182.36</v>
      </c>
      <c r="F4" s="3047" t="s">
        <v>3219</v>
      </c>
      <c r="G4" s="3048">
        <v>43266</v>
      </c>
      <c r="H4" s="3048">
        <v>45091</v>
      </c>
      <c r="I4" s="3046" t="s">
        <v>3220</v>
      </c>
      <c r="J4" s="3049"/>
      <c r="K4" s="3049"/>
      <c r="L4" s="3046"/>
      <c r="M4" s="3050">
        <v>52139.76</v>
      </c>
      <c r="N4" s="3051">
        <v>156419.29</v>
      </c>
      <c r="O4" s="3050">
        <v>156419.29</v>
      </c>
      <c r="P4" s="3050">
        <f t="shared" ref="P4" si="0">N4-O4</f>
        <v>0</v>
      </c>
      <c r="Q4" s="3052">
        <v>43510</v>
      </c>
      <c r="R4" s="3045"/>
      <c r="S4" s="3045"/>
      <c r="T4" s="3045"/>
      <c r="U4" s="3045"/>
      <c r="V4" s="3045"/>
      <c r="W4" s="3046"/>
      <c r="X4" s="3045"/>
      <c r="Y4" s="3046"/>
      <c r="Z4" s="3045"/>
      <c r="AA4" s="3046"/>
      <c r="AB4" s="3045"/>
      <c r="AC4" s="3046"/>
      <c r="AD4" s="3053"/>
      <c r="AE4" s="3046"/>
      <c r="AF4" s="3054">
        <v>156419.29</v>
      </c>
      <c r="AG4" s="3055">
        <v>43126</v>
      </c>
      <c r="AH4" s="3045" t="s">
        <v>3221</v>
      </c>
      <c r="AI4" s="3045"/>
      <c r="AJ4" s="3045"/>
      <c r="AK4" s="3045"/>
      <c r="AL4" s="3045"/>
      <c r="AM4" s="3046"/>
      <c r="AN4" s="3056">
        <f>AF4</f>
        <v>156419.29</v>
      </c>
      <c r="AO4" s="3057">
        <v>0</v>
      </c>
      <c r="AP4" s="3056"/>
      <c r="AQ4" s="3056"/>
      <c r="AR4" s="3056"/>
      <c r="AS4" s="3056"/>
      <c r="AT4" s="3056"/>
      <c r="AU4" s="3056"/>
      <c r="AV4" s="3056"/>
      <c r="AW4" s="3056">
        <v>0</v>
      </c>
      <c r="AX4" s="3056"/>
      <c r="AY4" s="3056"/>
      <c r="AZ4" s="3056"/>
      <c r="BA4" s="3056"/>
      <c r="BB4" s="3056">
        <f t="shared" ref="BB4" si="1">SUM(AP4:BA4)</f>
        <v>0</v>
      </c>
      <c r="BC4" s="3056">
        <f t="shared" ref="BC4:BC5" si="2">AN4+AO4-BB4</f>
        <v>156419.29</v>
      </c>
    </row>
    <row r="5" spans="1:56" s="3041" customFormat="1" ht="26.25" customHeight="1">
      <c r="A5" s="3059">
        <v>2</v>
      </c>
      <c r="B5" s="3060" t="s">
        <v>3222</v>
      </c>
      <c r="C5" s="3061" t="s">
        <v>3223</v>
      </c>
      <c r="D5" s="3062" t="s">
        <v>3224</v>
      </c>
      <c r="E5" s="3060">
        <v>979.32</v>
      </c>
      <c r="F5" s="3063" t="s">
        <v>3225</v>
      </c>
      <c r="G5" s="3048">
        <v>43191</v>
      </c>
      <c r="H5" s="3048">
        <v>45016</v>
      </c>
      <c r="I5" s="3061" t="s">
        <v>3226</v>
      </c>
      <c r="J5" s="3064"/>
      <c r="K5" s="3064"/>
      <c r="L5" s="3061"/>
      <c r="M5" s="3065">
        <v>193619.73</v>
      </c>
      <c r="N5" s="3066">
        <v>580859.18000000005</v>
      </c>
      <c r="O5" s="3065">
        <v>580859.18000000005</v>
      </c>
      <c r="P5" s="3065">
        <v>0</v>
      </c>
      <c r="Q5" s="3067">
        <v>43464</v>
      </c>
      <c r="R5" s="3060"/>
      <c r="S5" s="3060"/>
      <c r="T5" s="3060"/>
      <c r="U5" s="3060"/>
      <c r="V5" s="3060"/>
      <c r="W5" s="3061"/>
      <c r="X5" s="3060"/>
      <c r="Y5" s="3061"/>
      <c r="Z5" s="3060"/>
      <c r="AA5" s="3061"/>
      <c r="AB5" s="3060"/>
      <c r="AC5" s="3061"/>
      <c r="AD5" s="3068"/>
      <c r="AE5" s="3061"/>
      <c r="AF5" s="3069">
        <v>580859.18000000005</v>
      </c>
      <c r="AG5" s="3070">
        <v>43131</v>
      </c>
      <c r="AH5" s="3060" t="s">
        <v>3227</v>
      </c>
      <c r="AI5" s="3060"/>
      <c r="AJ5" s="3060"/>
      <c r="AK5" s="3060"/>
      <c r="AL5" s="3060"/>
      <c r="AM5" s="3061"/>
      <c r="AN5" s="3071">
        <f t="shared" ref="AN5" si="3">AF5</f>
        <v>580859.18000000005</v>
      </c>
      <c r="AO5" s="3072">
        <v>0</v>
      </c>
      <c r="AP5" s="3071"/>
      <c r="AQ5" s="3071"/>
      <c r="AR5" s="3071"/>
      <c r="AS5" s="3071"/>
      <c r="AT5" s="3071"/>
      <c r="AU5" s="3071"/>
      <c r="AV5" s="3071"/>
      <c r="AW5" s="3071">
        <v>0</v>
      </c>
      <c r="AX5" s="3071"/>
      <c r="AY5" s="3071"/>
      <c r="AZ5" s="3071"/>
      <c r="BA5" s="3071"/>
      <c r="BB5" s="3071">
        <v>0</v>
      </c>
      <c r="BC5" s="3071">
        <f t="shared" si="2"/>
        <v>580859.18000000005</v>
      </c>
    </row>
    <row r="6" spans="1:56" s="3041" customFormat="1" ht="26.25" customHeight="1">
      <c r="A6" s="3073"/>
      <c r="B6" s="3074" t="s">
        <v>3228</v>
      </c>
      <c r="C6" s="3075"/>
      <c r="D6" s="3075"/>
      <c r="E6" s="3074">
        <f>E4+E5</f>
        <v>1161.68</v>
      </c>
      <c r="F6" s="3076"/>
      <c r="G6" s="3048"/>
      <c r="H6" s="3048"/>
      <c r="I6" s="3075"/>
      <c r="J6" s="3077"/>
      <c r="K6" s="3077"/>
      <c r="L6" s="3074"/>
      <c r="M6" s="3078">
        <f>M4+M5</f>
        <v>245759.49000000002</v>
      </c>
      <c r="N6" s="3078">
        <f>N4+N5</f>
        <v>737278.47000000009</v>
      </c>
      <c r="O6" s="3078">
        <f t="shared" ref="O6:BC6" si="4">O4+O5</f>
        <v>737278.47000000009</v>
      </c>
      <c r="P6" s="3078">
        <f t="shared" si="4"/>
        <v>0</v>
      </c>
      <c r="Q6" s="3078">
        <v>0</v>
      </c>
      <c r="R6" s="3078">
        <f t="shared" si="4"/>
        <v>0</v>
      </c>
      <c r="S6" s="3078">
        <f t="shared" si="4"/>
        <v>0</v>
      </c>
      <c r="T6" s="3078">
        <f t="shared" si="4"/>
        <v>0</v>
      </c>
      <c r="U6" s="3078">
        <f t="shared" si="4"/>
        <v>0</v>
      </c>
      <c r="V6" s="3078">
        <f t="shared" si="4"/>
        <v>0</v>
      </c>
      <c r="W6" s="3078">
        <f t="shared" si="4"/>
        <v>0</v>
      </c>
      <c r="X6" s="3078">
        <f t="shared" si="4"/>
        <v>0</v>
      </c>
      <c r="Y6" s="3078">
        <f t="shared" si="4"/>
        <v>0</v>
      </c>
      <c r="Z6" s="3078">
        <f t="shared" si="4"/>
        <v>0</v>
      </c>
      <c r="AA6" s="3078">
        <f t="shared" si="4"/>
        <v>0</v>
      </c>
      <c r="AB6" s="3078">
        <f t="shared" si="4"/>
        <v>0</v>
      </c>
      <c r="AC6" s="3078">
        <f t="shared" si="4"/>
        <v>0</v>
      </c>
      <c r="AD6" s="3078">
        <f t="shared" si="4"/>
        <v>0</v>
      </c>
      <c r="AE6" s="3078">
        <f t="shared" si="4"/>
        <v>0</v>
      </c>
      <c r="AF6" s="3078">
        <f t="shared" si="4"/>
        <v>737278.47000000009</v>
      </c>
      <c r="AG6" s="3078"/>
      <c r="AH6" s="3078"/>
      <c r="AI6" s="3078">
        <f t="shared" si="4"/>
        <v>0</v>
      </c>
      <c r="AJ6" s="3078">
        <f t="shared" si="4"/>
        <v>0</v>
      </c>
      <c r="AK6" s="3078">
        <f t="shared" si="4"/>
        <v>0</v>
      </c>
      <c r="AL6" s="3078">
        <f t="shared" si="4"/>
        <v>0</v>
      </c>
      <c r="AM6" s="3078">
        <f t="shared" si="4"/>
        <v>0</v>
      </c>
      <c r="AN6" s="3078">
        <f t="shared" si="4"/>
        <v>737278.47000000009</v>
      </c>
      <c r="AO6" s="3078">
        <f t="shared" si="4"/>
        <v>0</v>
      </c>
      <c r="AP6" s="3078">
        <f t="shared" si="4"/>
        <v>0</v>
      </c>
      <c r="AQ6" s="3078">
        <f t="shared" si="4"/>
        <v>0</v>
      </c>
      <c r="AR6" s="3078">
        <f t="shared" si="4"/>
        <v>0</v>
      </c>
      <c r="AS6" s="3078">
        <f t="shared" si="4"/>
        <v>0</v>
      </c>
      <c r="AT6" s="3078">
        <f t="shared" si="4"/>
        <v>0</v>
      </c>
      <c r="AU6" s="3078">
        <f t="shared" si="4"/>
        <v>0</v>
      </c>
      <c r="AV6" s="3078">
        <f t="shared" si="4"/>
        <v>0</v>
      </c>
      <c r="AW6" s="3078">
        <f t="shared" si="4"/>
        <v>0</v>
      </c>
      <c r="AX6" s="3078">
        <f t="shared" si="4"/>
        <v>0</v>
      </c>
      <c r="AY6" s="3078">
        <f t="shared" si="4"/>
        <v>0</v>
      </c>
      <c r="AZ6" s="3078">
        <f t="shared" si="4"/>
        <v>0</v>
      </c>
      <c r="BA6" s="3078">
        <f t="shared" si="4"/>
        <v>0</v>
      </c>
      <c r="BB6" s="3078">
        <f t="shared" si="4"/>
        <v>0</v>
      </c>
      <c r="BC6" s="3078">
        <f t="shared" si="4"/>
        <v>737278.47000000009</v>
      </c>
    </row>
    <row r="7" spans="1:56" s="3041" customFormat="1" ht="26.25" customHeight="1">
      <c r="A7" s="3059">
        <v>3</v>
      </c>
      <c r="B7" s="3060" t="s">
        <v>3229</v>
      </c>
      <c r="C7" s="3061" t="s">
        <v>3230</v>
      </c>
      <c r="D7" s="3062" t="s">
        <v>3231</v>
      </c>
      <c r="E7" s="3060">
        <v>169.47</v>
      </c>
      <c r="F7" s="3063" t="s">
        <v>3232</v>
      </c>
      <c r="G7" s="3048">
        <v>43191</v>
      </c>
      <c r="H7" s="3048">
        <v>44286</v>
      </c>
      <c r="I7" s="3061" t="s">
        <v>3233</v>
      </c>
      <c r="J7" s="3064"/>
      <c r="K7" s="3064"/>
      <c r="L7" s="3061"/>
      <c r="M7" s="3065">
        <v>29897.33</v>
      </c>
      <c r="N7" s="3066">
        <v>89692</v>
      </c>
      <c r="O7" s="3065">
        <v>89692</v>
      </c>
      <c r="P7" s="3065"/>
      <c r="Q7" s="3067">
        <v>43343</v>
      </c>
      <c r="R7" s="3060"/>
      <c r="S7" s="3060"/>
      <c r="T7" s="3060"/>
      <c r="U7" s="3060"/>
      <c r="V7" s="3060"/>
      <c r="W7" s="3061"/>
      <c r="X7" s="3060"/>
      <c r="Y7" s="3061"/>
      <c r="Z7" s="3060"/>
      <c r="AA7" s="3061"/>
      <c r="AB7" s="3060"/>
      <c r="AC7" s="3061"/>
      <c r="AD7" s="3068"/>
      <c r="AE7" s="3061"/>
      <c r="AF7" s="3069">
        <v>89692</v>
      </c>
      <c r="AG7" s="3070">
        <v>43175</v>
      </c>
      <c r="AH7" s="3060" t="s">
        <v>3234</v>
      </c>
      <c r="AI7" s="3060"/>
      <c r="AJ7" s="3060"/>
      <c r="AK7" s="3060"/>
      <c r="AL7" s="3060"/>
      <c r="AM7" s="3061"/>
      <c r="AN7" s="3071">
        <f>AF7</f>
        <v>89692</v>
      </c>
      <c r="AO7" s="3072"/>
      <c r="AP7" s="3071"/>
      <c r="AQ7" s="3071"/>
      <c r="AR7" s="3071"/>
      <c r="AS7" s="3071"/>
      <c r="AT7" s="3071"/>
      <c r="AU7" s="3071"/>
      <c r="AV7" s="3071"/>
      <c r="AW7" s="3071"/>
      <c r="AX7" s="3071"/>
      <c r="AY7" s="3071"/>
      <c r="AZ7" s="3071"/>
      <c r="BA7" s="3071"/>
      <c r="BB7" s="3071"/>
      <c r="BC7" s="3071">
        <f>AN7+AO7-BB7</f>
        <v>89692</v>
      </c>
    </row>
    <row r="8" spans="1:56" s="3041" customFormat="1" ht="26.25" customHeight="1">
      <c r="A8" s="3059">
        <v>4</v>
      </c>
      <c r="B8" s="3060" t="s">
        <v>3235</v>
      </c>
      <c r="C8" s="3061" t="s">
        <v>3236</v>
      </c>
      <c r="D8" s="3062" t="s">
        <v>3237</v>
      </c>
      <c r="E8" s="3060">
        <v>159.19</v>
      </c>
      <c r="F8" s="3063" t="s">
        <v>3238</v>
      </c>
      <c r="G8" s="3048"/>
      <c r="H8" s="3048"/>
      <c r="I8" s="3061"/>
      <c r="J8" s="3064"/>
      <c r="K8" s="3064"/>
      <c r="L8" s="3061"/>
      <c r="M8" s="3065"/>
      <c r="N8" s="3066">
        <v>92966.96</v>
      </c>
      <c r="O8" s="3065">
        <v>92966.96</v>
      </c>
      <c r="P8" s="3065">
        <v>0</v>
      </c>
      <c r="Q8" s="3067">
        <v>43380</v>
      </c>
      <c r="R8" s="3060"/>
      <c r="S8" s="3060"/>
      <c r="T8" s="3060"/>
      <c r="U8" s="3060"/>
      <c r="V8" s="3060"/>
      <c r="W8" s="3061"/>
      <c r="X8" s="3060"/>
      <c r="Y8" s="3061"/>
      <c r="Z8" s="3060"/>
      <c r="AA8" s="3061"/>
      <c r="AB8" s="3060"/>
      <c r="AC8" s="3061"/>
      <c r="AD8" s="3068"/>
      <c r="AE8" s="3061"/>
      <c r="AF8" s="3069">
        <v>92966.96</v>
      </c>
      <c r="AG8" s="3070">
        <v>43185</v>
      </c>
      <c r="AH8" s="3060" t="s">
        <v>3239</v>
      </c>
      <c r="AI8" s="3060"/>
      <c r="AJ8" s="3060"/>
      <c r="AK8" s="3060"/>
      <c r="AL8" s="3060"/>
      <c r="AM8" s="3061"/>
      <c r="AN8" s="3071">
        <f>AF8</f>
        <v>92966.96</v>
      </c>
      <c r="AO8" s="3072"/>
      <c r="AP8" s="3071"/>
      <c r="AQ8" s="3071"/>
      <c r="AR8" s="3071"/>
      <c r="AS8" s="3071"/>
      <c r="AT8" s="3071"/>
      <c r="AU8" s="3071"/>
      <c r="AV8" s="3071"/>
      <c r="AW8" s="3071"/>
      <c r="AX8" s="3071"/>
      <c r="AY8" s="3071"/>
      <c r="AZ8" s="3071"/>
      <c r="BA8" s="3071"/>
      <c r="BB8" s="3071"/>
      <c r="BC8" s="3071">
        <f>AN8</f>
        <v>92966.96</v>
      </c>
    </row>
    <row r="9" spans="1:56" s="3041" customFormat="1" ht="26.25" customHeight="1">
      <c r="A9" s="3073"/>
      <c r="B9" s="3074" t="s">
        <v>3240</v>
      </c>
      <c r="C9" s="3075"/>
      <c r="D9" s="3075"/>
      <c r="E9" s="3074">
        <f>E7+E8</f>
        <v>328.65999999999997</v>
      </c>
      <c r="F9" s="3074"/>
      <c r="G9" s="3079"/>
      <c r="H9" s="3079"/>
      <c r="I9" s="3074"/>
      <c r="J9" s="3074">
        <f t="shared" ref="J9:BB9" si="5">J7</f>
        <v>0</v>
      </c>
      <c r="K9" s="3074">
        <f t="shared" si="5"/>
        <v>0</v>
      </c>
      <c r="L9" s="3074">
        <f t="shared" si="5"/>
        <v>0</v>
      </c>
      <c r="M9" s="3074">
        <f>M7+M8</f>
        <v>29897.33</v>
      </c>
      <c r="N9" s="3074">
        <f t="shared" ref="N9:O9" si="6">N7+N8</f>
        <v>182658.96000000002</v>
      </c>
      <c r="O9" s="3074">
        <f t="shared" si="6"/>
        <v>182658.96000000002</v>
      </c>
      <c r="P9" s="3074">
        <f t="shared" si="5"/>
        <v>0</v>
      </c>
      <c r="Q9" s="3074"/>
      <c r="R9" s="3074">
        <f t="shared" si="5"/>
        <v>0</v>
      </c>
      <c r="S9" s="3074">
        <f t="shared" si="5"/>
        <v>0</v>
      </c>
      <c r="T9" s="3074">
        <f t="shared" si="5"/>
        <v>0</v>
      </c>
      <c r="U9" s="3074">
        <f t="shared" si="5"/>
        <v>0</v>
      </c>
      <c r="V9" s="3074">
        <f t="shared" si="5"/>
        <v>0</v>
      </c>
      <c r="W9" s="3074">
        <f t="shared" si="5"/>
        <v>0</v>
      </c>
      <c r="X9" s="3074">
        <f t="shared" si="5"/>
        <v>0</v>
      </c>
      <c r="Y9" s="3074">
        <f t="shared" si="5"/>
        <v>0</v>
      </c>
      <c r="Z9" s="3074">
        <f t="shared" si="5"/>
        <v>0</v>
      </c>
      <c r="AA9" s="3074">
        <f t="shared" si="5"/>
        <v>0</v>
      </c>
      <c r="AB9" s="3074">
        <f t="shared" si="5"/>
        <v>0</v>
      </c>
      <c r="AC9" s="3074">
        <f t="shared" si="5"/>
        <v>0</v>
      </c>
      <c r="AD9" s="3074">
        <f t="shared" si="5"/>
        <v>0</v>
      </c>
      <c r="AE9" s="3074">
        <f t="shared" si="5"/>
        <v>0</v>
      </c>
      <c r="AF9" s="3074">
        <f>AF7+AF8</f>
        <v>182658.96000000002</v>
      </c>
      <c r="AG9" s="3074"/>
      <c r="AH9" s="3074"/>
      <c r="AI9" s="3074">
        <f t="shared" si="5"/>
        <v>0</v>
      </c>
      <c r="AJ9" s="3074">
        <f t="shared" si="5"/>
        <v>0</v>
      </c>
      <c r="AK9" s="3074">
        <f t="shared" si="5"/>
        <v>0</v>
      </c>
      <c r="AL9" s="3074">
        <f t="shared" si="5"/>
        <v>0</v>
      </c>
      <c r="AM9" s="3074">
        <f t="shared" si="5"/>
        <v>0</v>
      </c>
      <c r="AN9" s="3074">
        <f>AN7+AN8</f>
        <v>182658.96000000002</v>
      </c>
      <c r="AO9" s="3074">
        <f t="shared" si="5"/>
        <v>0</v>
      </c>
      <c r="AP9" s="3074">
        <f t="shared" si="5"/>
        <v>0</v>
      </c>
      <c r="AQ9" s="3074">
        <f t="shared" si="5"/>
        <v>0</v>
      </c>
      <c r="AR9" s="3074">
        <f t="shared" si="5"/>
        <v>0</v>
      </c>
      <c r="AS9" s="3074">
        <f t="shared" si="5"/>
        <v>0</v>
      </c>
      <c r="AT9" s="3074">
        <f t="shared" si="5"/>
        <v>0</v>
      </c>
      <c r="AU9" s="3074">
        <f t="shared" si="5"/>
        <v>0</v>
      </c>
      <c r="AV9" s="3074">
        <f t="shared" si="5"/>
        <v>0</v>
      </c>
      <c r="AW9" s="3074">
        <f t="shared" si="5"/>
        <v>0</v>
      </c>
      <c r="AX9" s="3074">
        <f t="shared" si="5"/>
        <v>0</v>
      </c>
      <c r="AY9" s="3074">
        <f t="shared" si="5"/>
        <v>0</v>
      </c>
      <c r="AZ9" s="3074">
        <f t="shared" si="5"/>
        <v>0</v>
      </c>
      <c r="BA9" s="3074">
        <f t="shared" si="5"/>
        <v>0</v>
      </c>
      <c r="BB9" s="3074">
        <f t="shared" si="5"/>
        <v>0</v>
      </c>
      <c r="BC9" s="3074">
        <f>BC7+BC8</f>
        <v>182658.96000000002</v>
      </c>
    </row>
    <row r="10" spans="1:56" s="3041" customFormat="1" ht="26.25" customHeight="1">
      <c r="A10" s="3059">
        <v>5</v>
      </c>
      <c r="B10" s="3060" t="s">
        <v>3241</v>
      </c>
      <c r="C10" s="3061" t="s">
        <v>3242</v>
      </c>
      <c r="D10" s="3061"/>
      <c r="E10" s="3060">
        <v>244.49</v>
      </c>
      <c r="F10" s="3060">
        <v>36</v>
      </c>
      <c r="G10" s="3080">
        <v>43332</v>
      </c>
      <c r="H10" s="3080">
        <v>43423</v>
      </c>
      <c r="I10" s="3060" t="s">
        <v>3243</v>
      </c>
      <c r="J10" s="3060"/>
      <c r="K10" s="3060"/>
      <c r="L10" s="3060"/>
      <c r="M10" s="3060">
        <v>33464.57</v>
      </c>
      <c r="N10" s="3060">
        <v>100393.71</v>
      </c>
      <c r="O10" s="3060">
        <v>100393.71</v>
      </c>
      <c r="P10" s="3060">
        <v>0</v>
      </c>
      <c r="Q10" s="3070">
        <v>43423</v>
      </c>
      <c r="R10" s="3060"/>
      <c r="S10" s="3060"/>
      <c r="T10" s="3060"/>
      <c r="U10" s="3060"/>
      <c r="V10" s="3060"/>
      <c r="W10" s="3060"/>
      <c r="X10" s="3060"/>
      <c r="Y10" s="3060"/>
      <c r="Z10" s="3060"/>
      <c r="AA10" s="3060"/>
      <c r="AB10" s="3060"/>
      <c r="AC10" s="3060"/>
      <c r="AD10" s="3060"/>
      <c r="AE10" s="3060"/>
      <c r="AF10" s="3060">
        <v>100393.71</v>
      </c>
      <c r="AG10" s="3070">
        <v>43210</v>
      </c>
      <c r="AH10" s="3060" t="s">
        <v>3244</v>
      </c>
      <c r="AI10" s="3060"/>
      <c r="AJ10" s="3060"/>
      <c r="AK10" s="3060"/>
      <c r="AL10" s="3060"/>
      <c r="AM10" s="3060"/>
      <c r="AN10" s="3060">
        <v>100393.71</v>
      </c>
      <c r="AO10" s="3060"/>
      <c r="AP10" s="3060"/>
      <c r="AQ10" s="3060"/>
      <c r="AR10" s="3060"/>
      <c r="AS10" s="3060"/>
      <c r="AT10" s="3060"/>
      <c r="AU10" s="3060"/>
      <c r="AV10" s="3060"/>
      <c r="AW10" s="3060"/>
      <c r="AX10" s="3060"/>
      <c r="AY10" s="3060"/>
      <c r="AZ10" s="3060"/>
      <c r="BA10" s="3060"/>
      <c r="BB10" s="3060"/>
      <c r="BC10" s="3060">
        <v>100393.71</v>
      </c>
    </row>
    <row r="11" spans="1:56" s="3041" customFormat="1" ht="26.25" customHeight="1">
      <c r="A11" s="3059">
        <v>6</v>
      </c>
      <c r="B11" s="3060" t="s">
        <v>3245</v>
      </c>
      <c r="C11" s="3061" t="s">
        <v>3246</v>
      </c>
      <c r="D11" s="3061"/>
      <c r="E11" s="3060">
        <v>275.75</v>
      </c>
      <c r="F11" s="3060">
        <v>36</v>
      </c>
      <c r="G11" s="3080">
        <v>43266</v>
      </c>
      <c r="H11" s="3080">
        <v>44361</v>
      </c>
      <c r="I11" s="3060" t="s">
        <v>3247</v>
      </c>
      <c r="J11" s="3060"/>
      <c r="K11" s="3060"/>
      <c r="L11" s="3060"/>
      <c r="M11" s="3060">
        <v>38582.019999999997</v>
      </c>
      <c r="N11" s="3060">
        <v>115746.06</v>
      </c>
      <c r="O11" s="3060">
        <v>115746.06</v>
      </c>
      <c r="P11" s="3060">
        <v>0</v>
      </c>
      <c r="Q11" s="3060"/>
      <c r="R11" s="3060"/>
      <c r="S11" s="3060"/>
      <c r="T11" s="3060"/>
      <c r="U11" s="3060"/>
      <c r="V11" s="3060"/>
      <c r="W11" s="3060"/>
      <c r="X11" s="3060"/>
      <c r="Y11" s="3060"/>
      <c r="Z11" s="3060"/>
      <c r="AA11" s="3060"/>
      <c r="AB11" s="3060"/>
      <c r="AC11" s="3060"/>
      <c r="AD11" s="3060"/>
      <c r="AE11" s="3060"/>
      <c r="AF11" s="3060">
        <v>115746.06</v>
      </c>
      <c r="AG11" s="3070">
        <v>43240</v>
      </c>
      <c r="AH11" s="3060" t="s">
        <v>3248</v>
      </c>
      <c r="AI11" s="3060"/>
      <c r="AJ11" s="3060"/>
      <c r="AK11" s="3060"/>
      <c r="AL11" s="3060"/>
      <c r="AM11" s="3060"/>
      <c r="AN11" s="3071">
        <f>AF11</f>
        <v>115746.06</v>
      </c>
      <c r="AO11" s="3060"/>
      <c r="AP11" s="3060"/>
      <c r="AQ11" s="3060"/>
      <c r="AR11" s="3060"/>
      <c r="AS11" s="3060"/>
      <c r="AT11" s="3060"/>
      <c r="AU11" s="3060"/>
      <c r="AV11" s="3060"/>
      <c r="AW11" s="3060"/>
      <c r="AX11" s="3060"/>
      <c r="AY11" s="3060"/>
      <c r="AZ11" s="3060"/>
      <c r="BA11" s="3060"/>
      <c r="BB11" s="3060"/>
      <c r="BC11" s="3060">
        <v>100393.71</v>
      </c>
    </row>
    <row r="12" spans="1:56" s="3041" customFormat="1" ht="26.25" customHeight="1">
      <c r="A12" s="3073"/>
      <c r="B12" s="3074" t="s">
        <v>3249</v>
      </c>
      <c r="C12" s="3075"/>
      <c r="D12" s="3075"/>
      <c r="E12" s="3074">
        <f>E10+E11</f>
        <v>520.24</v>
      </c>
      <c r="F12" s="3074"/>
      <c r="G12" s="3079"/>
      <c r="H12" s="3079"/>
      <c r="I12" s="3074"/>
      <c r="J12" s="3074"/>
      <c r="K12" s="3074"/>
      <c r="L12" s="3074"/>
      <c r="M12" s="3074">
        <f>M10+M11</f>
        <v>72046.59</v>
      </c>
      <c r="N12" s="3074">
        <f t="shared" ref="N12:BC12" si="7">N10+N11</f>
        <v>216139.77000000002</v>
      </c>
      <c r="O12" s="3074">
        <f t="shared" si="7"/>
        <v>216139.77000000002</v>
      </c>
      <c r="P12" s="3074">
        <f t="shared" si="7"/>
        <v>0</v>
      </c>
      <c r="Q12" s="3074"/>
      <c r="R12" s="3074">
        <f t="shared" si="7"/>
        <v>0</v>
      </c>
      <c r="S12" s="3074">
        <f t="shared" si="7"/>
        <v>0</v>
      </c>
      <c r="T12" s="3074">
        <f t="shared" si="7"/>
        <v>0</v>
      </c>
      <c r="U12" s="3074">
        <f t="shared" si="7"/>
        <v>0</v>
      </c>
      <c r="V12" s="3074">
        <f t="shared" si="7"/>
        <v>0</v>
      </c>
      <c r="W12" s="3074">
        <f t="shared" si="7"/>
        <v>0</v>
      </c>
      <c r="X12" s="3074">
        <f t="shared" si="7"/>
        <v>0</v>
      </c>
      <c r="Y12" s="3074">
        <f t="shared" si="7"/>
        <v>0</v>
      </c>
      <c r="Z12" s="3074">
        <f t="shared" si="7"/>
        <v>0</v>
      </c>
      <c r="AA12" s="3074">
        <f t="shared" si="7"/>
        <v>0</v>
      </c>
      <c r="AB12" s="3074">
        <f t="shared" si="7"/>
        <v>0</v>
      </c>
      <c r="AC12" s="3074">
        <f t="shared" si="7"/>
        <v>0</v>
      </c>
      <c r="AD12" s="3074">
        <f t="shared" si="7"/>
        <v>0</v>
      </c>
      <c r="AE12" s="3074">
        <f t="shared" si="7"/>
        <v>0</v>
      </c>
      <c r="AF12" s="3074">
        <f t="shared" si="7"/>
        <v>216139.77000000002</v>
      </c>
      <c r="AG12" s="3074"/>
      <c r="AH12" s="3074"/>
      <c r="AI12" s="3074">
        <f t="shared" si="7"/>
        <v>0</v>
      </c>
      <c r="AJ12" s="3074">
        <f t="shared" si="7"/>
        <v>0</v>
      </c>
      <c r="AK12" s="3074">
        <f t="shared" si="7"/>
        <v>0</v>
      </c>
      <c r="AL12" s="3074">
        <f t="shared" si="7"/>
        <v>0</v>
      </c>
      <c r="AM12" s="3074">
        <f t="shared" si="7"/>
        <v>0</v>
      </c>
      <c r="AN12" s="3074">
        <f t="shared" si="7"/>
        <v>216139.77000000002</v>
      </c>
      <c r="AO12" s="3074">
        <f t="shared" si="7"/>
        <v>0</v>
      </c>
      <c r="AP12" s="3074">
        <f t="shared" si="7"/>
        <v>0</v>
      </c>
      <c r="AQ12" s="3074">
        <f t="shared" si="7"/>
        <v>0</v>
      </c>
      <c r="AR12" s="3074">
        <f t="shared" si="7"/>
        <v>0</v>
      </c>
      <c r="AS12" s="3074">
        <f t="shared" si="7"/>
        <v>0</v>
      </c>
      <c r="AT12" s="3074">
        <f t="shared" si="7"/>
        <v>0</v>
      </c>
      <c r="AU12" s="3074">
        <f t="shared" si="7"/>
        <v>0</v>
      </c>
      <c r="AV12" s="3074">
        <f t="shared" si="7"/>
        <v>0</v>
      </c>
      <c r="AW12" s="3074">
        <f t="shared" si="7"/>
        <v>0</v>
      </c>
      <c r="AX12" s="3074">
        <f t="shared" si="7"/>
        <v>0</v>
      </c>
      <c r="AY12" s="3074">
        <f t="shared" si="7"/>
        <v>0</v>
      </c>
      <c r="AZ12" s="3074">
        <f t="shared" si="7"/>
        <v>0</v>
      </c>
      <c r="BA12" s="3074">
        <f t="shared" si="7"/>
        <v>0</v>
      </c>
      <c r="BB12" s="3074">
        <f t="shared" si="7"/>
        <v>0</v>
      </c>
      <c r="BC12" s="3074">
        <f t="shared" si="7"/>
        <v>200787.42</v>
      </c>
    </row>
    <row r="13" spans="1:56" s="3041" customFormat="1" ht="26.25" customHeight="1">
      <c r="A13" s="3059">
        <v>7</v>
      </c>
      <c r="B13" s="3060" t="s">
        <v>3250</v>
      </c>
      <c r="C13" s="3061" t="s">
        <v>3251</v>
      </c>
      <c r="D13" s="3061" t="s">
        <v>3252</v>
      </c>
      <c r="E13" s="3060">
        <v>159.5</v>
      </c>
      <c r="F13" s="3060">
        <v>24</v>
      </c>
      <c r="G13" s="3080">
        <v>43344</v>
      </c>
      <c r="H13" s="3080">
        <v>44074</v>
      </c>
      <c r="I13" s="3060" t="s">
        <v>3253</v>
      </c>
      <c r="J13" s="3060"/>
      <c r="K13" s="3060"/>
      <c r="L13" s="3060"/>
      <c r="M13" s="3060">
        <v>25227.58</v>
      </c>
      <c r="N13" s="3060">
        <v>75682.740000000005</v>
      </c>
      <c r="O13" s="3060">
        <v>75682.740000000005</v>
      </c>
      <c r="P13" s="3060">
        <v>0</v>
      </c>
      <c r="Q13" s="3070">
        <v>43496</v>
      </c>
      <c r="R13" s="3060"/>
      <c r="S13" s="3060"/>
      <c r="T13" s="3060"/>
      <c r="U13" s="3060"/>
      <c r="V13" s="3060"/>
      <c r="W13" s="3060"/>
      <c r="X13" s="3060"/>
      <c r="Y13" s="3060"/>
      <c r="Z13" s="3060"/>
      <c r="AA13" s="3060"/>
      <c r="AB13" s="3060"/>
      <c r="AC13" s="3060"/>
      <c r="AD13" s="3060"/>
      <c r="AE13" s="3060"/>
      <c r="AF13" s="3060">
        <v>75682.740000000005</v>
      </c>
      <c r="AG13" s="3070">
        <v>43288</v>
      </c>
      <c r="AH13" s="3060" t="s">
        <v>3254</v>
      </c>
      <c r="AI13" s="3060"/>
      <c r="AJ13" s="3060"/>
      <c r="AK13" s="3060"/>
      <c r="AL13" s="3060"/>
      <c r="AM13" s="3060"/>
      <c r="AN13" s="3060">
        <v>75682.740000000005</v>
      </c>
      <c r="AO13" s="3060">
        <v>0</v>
      </c>
      <c r="AP13" s="3060"/>
      <c r="AQ13" s="3060"/>
      <c r="AR13" s="3060"/>
      <c r="AS13" s="3060"/>
      <c r="AT13" s="3060"/>
      <c r="AU13" s="3060"/>
      <c r="AV13" s="3060"/>
      <c r="AW13" s="3060">
        <v>0</v>
      </c>
      <c r="AX13" s="3060"/>
      <c r="AY13" s="3060"/>
      <c r="AZ13" s="3060"/>
      <c r="BA13" s="3060"/>
      <c r="BB13" s="3060">
        <v>0</v>
      </c>
      <c r="BC13" s="3060">
        <v>75682.740000000005</v>
      </c>
    </row>
    <row r="14" spans="1:56" s="3058" customFormat="1" ht="26.25" customHeight="1">
      <c r="A14" s="3044">
        <v>8</v>
      </c>
      <c r="B14" s="3046" t="s">
        <v>3255</v>
      </c>
      <c r="C14" s="3046" t="s">
        <v>3256</v>
      </c>
      <c r="D14" s="3046" t="s">
        <v>3252</v>
      </c>
      <c r="E14" s="3045">
        <v>174.63</v>
      </c>
      <c r="F14" s="3045">
        <v>60</v>
      </c>
      <c r="G14" s="3080">
        <v>43296</v>
      </c>
      <c r="H14" s="3080">
        <v>45121</v>
      </c>
      <c r="I14" s="3045" t="s">
        <v>3257</v>
      </c>
      <c r="J14" s="3045"/>
      <c r="K14" s="3045"/>
      <c r="L14" s="3045"/>
      <c r="M14" s="3045">
        <v>54975.71</v>
      </c>
      <c r="N14" s="3045">
        <v>164927.13</v>
      </c>
      <c r="O14" s="3045">
        <v>164927.13</v>
      </c>
      <c r="P14" s="3045"/>
      <c r="Q14" s="3055">
        <v>43569</v>
      </c>
      <c r="R14" s="3045"/>
      <c r="S14" s="3045"/>
      <c r="T14" s="3045"/>
      <c r="U14" s="3045"/>
      <c r="V14" s="3045"/>
      <c r="W14" s="3045"/>
      <c r="X14" s="3045"/>
      <c r="Y14" s="3045"/>
      <c r="Z14" s="3045"/>
      <c r="AA14" s="3045"/>
      <c r="AB14" s="3045"/>
      <c r="AC14" s="3045"/>
      <c r="AD14" s="3045"/>
      <c r="AE14" s="3045"/>
      <c r="AF14" s="3045">
        <v>329854.26</v>
      </c>
      <c r="AG14" s="3055">
        <v>43299</v>
      </c>
      <c r="AH14" s="3046" t="s">
        <v>3258</v>
      </c>
      <c r="AI14" s="3045"/>
      <c r="AJ14" s="3045"/>
      <c r="AK14" s="3045"/>
      <c r="AL14" s="3045"/>
      <c r="AM14" s="3045"/>
      <c r="AN14" s="3056">
        <v>329854.26</v>
      </c>
      <c r="AO14" s="3045"/>
      <c r="AP14" s="3045"/>
      <c r="AQ14" s="3045"/>
      <c r="AR14" s="3045"/>
      <c r="AS14" s="3045"/>
      <c r="AT14" s="3045"/>
      <c r="AU14" s="3045"/>
      <c r="AV14" s="3056" t="e">
        <f>AN14+AH14-AU14</f>
        <v>#VALUE!</v>
      </c>
      <c r="AW14" s="3056"/>
      <c r="AX14" s="3056"/>
      <c r="AY14" s="3056"/>
      <c r="AZ14" s="3056"/>
      <c r="BA14" s="3056"/>
      <c r="BB14" s="3056"/>
      <c r="BC14" s="3056">
        <v>329854.26</v>
      </c>
    </row>
    <row r="15" spans="1:56" s="3041" customFormat="1" ht="26.25" customHeight="1">
      <c r="A15" s="3073"/>
      <c r="B15" s="3074" t="s">
        <v>3259</v>
      </c>
      <c r="C15" s="3075"/>
      <c r="D15" s="3075"/>
      <c r="E15" s="3074">
        <f>E13+E14</f>
        <v>334.13</v>
      </c>
      <c r="F15" s="3074"/>
      <c r="G15" s="3079"/>
      <c r="H15" s="3079"/>
      <c r="I15" s="3074"/>
      <c r="J15" s="3074" t="e">
        <f>J13+#REF!</f>
        <v>#REF!</v>
      </c>
      <c r="K15" s="3074" t="e">
        <f>K13+#REF!</f>
        <v>#REF!</v>
      </c>
      <c r="L15" s="3074" t="e">
        <f>L13+#REF!</f>
        <v>#REF!</v>
      </c>
      <c r="M15" s="3074">
        <f>M13+M14</f>
        <v>80203.290000000008</v>
      </c>
      <c r="N15" s="3074">
        <f t="shared" ref="N15:BC15" si="8">N13+N14</f>
        <v>240609.87</v>
      </c>
      <c r="O15" s="3074">
        <f t="shared" si="8"/>
        <v>240609.87</v>
      </c>
      <c r="P15" s="3074">
        <f t="shared" si="8"/>
        <v>0</v>
      </c>
      <c r="Q15" s="3074"/>
      <c r="R15" s="3074">
        <f t="shared" si="8"/>
        <v>0</v>
      </c>
      <c r="S15" s="3074">
        <f t="shared" si="8"/>
        <v>0</v>
      </c>
      <c r="T15" s="3074">
        <f t="shared" si="8"/>
        <v>0</v>
      </c>
      <c r="U15" s="3074">
        <f t="shared" si="8"/>
        <v>0</v>
      </c>
      <c r="V15" s="3074">
        <f t="shared" si="8"/>
        <v>0</v>
      </c>
      <c r="W15" s="3074">
        <f t="shared" si="8"/>
        <v>0</v>
      </c>
      <c r="X15" s="3074">
        <f t="shared" si="8"/>
        <v>0</v>
      </c>
      <c r="Y15" s="3074">
        <f t="shared" si="8"/>
        <v>0</v>
      </c>
      <c r="Z15" s="3074">
        <f t="shared" si="8"/>
        <v>0</v>
      </c>
      <c r="AA15" s="3074">
        <f t="shared" si="8"/>
        <v>0</v>
      </c>
      <c r="AB15" s="3074">
        <f t="shared" si="8"/>
        <v>0</v>
      </c>
      <c r="AC15" s="3074">
        <f t="shared" si="8"/>
        <v>0</v>
      </c>
      <c r="AD15" s="3074">
        <f t="shared" si="8"/>
        <v>0</v>
      </c>
      <c r="AE15" s="3074">
        <f t="shared" si="8"/>
        <v>0</v>
      </c>
      <c r="AF15" s="3074">
        <f t="shared" si="8"/>
        <v>405537</v>
      </c>
      <c r="AG15" s="3074"/>
      <c r="AH15" s="3074"/>
      <c r="AI15" s="3074">
        <f t="shared" si="8"/>
        <v>0</v>
      </c>
      <c r="AJ15" s="3074">
        <f t="shared" si="8"/>
        <v>0</v>
      </c>
      <c r="AK15" s="3074">
        <f t="shared" si="8"/>
        <v>0</v>
      </c>
      <c r="AL15" s="3074">
        <f t="shared" si="8"/>
        <v>0</v>
      </c>
      <c r="AM15" s="3074">
        <f t="shared" si="8"/>
        <v>0</v>
      </c>
      <c r="AN15" s="3074">
        <f t="shared" si="8"/>
        <v>405537</v>
      </c>
      <c r="AO15" s="3074">
        <f t="shared" si="8"/>
        <v>0</v>
      </c>
      <c r="AP15" s="3074">
        <f t="shared" si="8"/>
        <v>0</v>
      </c>
      <c r="AQ15" s="3074">
        <f t="shared" si="8"/>
        <v>0</v>
      </c>
      <c r="AR15" s="3074">
        <f t="shared" si="8"/>
        <v>0</v>
      </c>
      <c r="AS15" s="3074">
        <f t="shared" si="8"/>
        <v>0</v>
      </c>
      <c r="AT15" s="3074">
        <f t="shared" si="8"/>
        <v>0</v>
      </c>
      <c r="AU15" s="3074">
        <f t="shared" si="8"/>
        <v>0</v>
      </c>
      <c r="AV15" s="3074" t="e">
        <f t="shared" si="8"/>
        <v>#VALUE!</v>
      </c>
      <c r="AW15" s="3074">
        <f t="shared" si="8"/>
        <v>0</v>
      </c>
      <c r="AX15" s="3074">
        <f t="shared" si="8"/>
        <v>0</v>
      </c>
      <c r="AY15" s="3074">
        <f t="shared" si="8"/>
        <v>0</v>
      </c>
      <c r="AZ15" s="3074">
        <f t="shared" si="8"/>
        <v>0</v>
      </c>
      <c r="BA15" s="3074">
        <f t="shared" si="8"/>
        <v>0</v>
      </c>
      <c r="BB15" s="3074">
        <f t="shared" si="8"/>
        <v>0</v>
      </c>
      <c r="BC15" s="3074">
        <f t="shared" si="8"/>
        <v>405537</v>
      </c>
    </row>
    <row r="16" spans="1:56" s="3041" customFormat="1" ht="26.25" customHeight="1">
      <c r="A16" s="3059">
        <v>9</v>
      </c>
      <c r="B16" s="3060" t="s">
        <v>3260</v>
      </c>
      <c r="C16" s="3061" t="s">
        <v>3261</v>
      </c>
      <c r="D16" s="3061" t="s">
        <v>3252</v>
      </c>
      <c r="E16" s="3060">
        <v>169.77</v>
      </c>
      <c r="F16" s="3060">
        <v>36</v>
      </c>
      <c r="G16" s="3080">
        <v>43344</v>
      </c>
      <c r="H16" s="3080">
        <v>44439</v>
      </c>
      <c r="I16" s="3060" t="s">
        <v>3262</v>
      </c>
      <c r="J16" s="3060"/>
      <c r="K16" s="3060"/>
      <c r="L16" s="3060"/>
      <c r="M16" s="3060">
        <v>26335.57</v>
      </c>
      <c r="N16" s="3060">
        <v>79006.710000000006</v>
      </c>
      <c r="O16" s="3060">
        <v>79006.710000000006</v>
      </c>
      <c r="P16" s="3060">
        <v>0</v>
      </c>
      <c r="Q16" s="3060"/>
      <c r="R16" s="3060"/>
      <c r="S16" s="3060"/>
      <c r="T16" s="3060"/>
      <c r="U16" s="3060"/>
      <c r="V16" s="3060"/>
      <c r="W16" s="3060"/>
      <c r="X16" s="3060"/>
      <c r="Y16" s="3060"/>
      <c r="Z16" s="3060"/>
      <c r="AA16" s="3060"/>
      <c r="AB16" s="3060"/>
      <c r="AC16" s="3060"/>
      <c r="AD16" s="3060"/>
      <c r="AE16" s="3060"/>
      <c r="AF16" s="3060">
        <v>79006.710000000006</v>
      </c>
      <c r="AG16" s="3070">
        <v>43314</v>
      </c>
      <c r="AH16" s="3060" t="s">
        <v>3263</v>
      </c>
      <c r="AI16" s="3060"/>
      <c r="AJ16" s="3060"/>
      <c r="AK16" s="3060"/>
      <c r="AL16" s="3060"/>
      <c r="AM16" s="3060"/>
      <c r="AN16" s="3060">
        <v>79006.710000000006</v>
      </c>
      <c r="AO16" s="3060"/>
      <c r="AP16" s="3060"/>
      <c r="AQ16" s="3060"/>
      <c r="AR16" s="3060"/>
      <c r="AS16" s="3060"/>
      <c r="AT16" s="3060"/>
      <c r="AU16" s="3060"/>
      <c r="AV16" s="3060"/>
      <c r="AW16" s="3060"/>
      <c r="AX16" s="3060"/>
      <c r="AY16" s="3060"/>
      <c r="AZ16" s="3060"/>
      <c r="BA16" s="3060"/>
      <c r="BB16" s="3060"/>
      <c r="BC16" s="3060">
        <v>79006.710000000006</v>
      </c>
    </row>
    <row r="17" spans="1:56" s="3041" customFormat="1" ht="26.25" customHeight="1">
      <c r="A17" s="3059">
        <v>10</v>
      </c>
      <c r="B17" s="3060" t="s">
        <v>3264</v>
      </c>
      <c r="C17" s="3061" t="s">
        <v>3265</v>
      </c>
      <c r="D17" s="3061" t="s">
        <v>3252</v>
      </c>
      <c r="E17" s="3060">
        <v>275.75</v>
      </c>
      <c r="F17" s="3060">
        <v>24</v>
      </c>
      <c r="G17" s="3080">
        <v>43383</v>
      </c>
      <c r="H17" s="3080">
        <v>44113</v>
      </c>
      <c r="I17" s="3060" t="s">
        <v>3266</v>
      </c>
      <c r="J17" s="3060"/>
      <c r="K17" s="3060"/>
      <c r="L17" s="3060"/>
      <c r="M17" s="3060">
        <v>38833.64</v>
      </c>
      <c r="N17" s="3060">
        <v>116500.93</v>
      </c>
      <c r="O17" s="3060">
        <v>116500.93</v>
      </c>
      <c r="P17" s="3060">
        <v>0</v>
      </c>
      <c r="Q17" s="3060"/>
      <c r="R17" s="3060"/>
      <c r="S17" s="3060"/>
      <c r="T17" s="3060"/>
      <c r="U17" s="3060"/>
      <c r="V17" s="3060"/>
      <c r="W17" s="3060"/>
      <c r="X17" s="3060"/>
      <c r="Y17" s="3060"/>
      <c r="Z17" s="3060"/>
      <c r="AA17" s="3060"/>
      <c r="AB17" s="3060"/>
      <c r="AC17" s="3060"/>
      <c r="AD17" s="3060"/>
      <c r="AE17" s="3060"/>
      <c r="AF17" s="3060">
        <v>116500.93</v>
      </c>
      <c r="AG17" s="3070">
        <v>43326</v>
      </c>
      <c r="AH17" s="3060" t="s">
        <v>3267</v>
      </c>
      <c r="AI17" s="3060"/>
      <c r="AJ17" s="3060"/>
      <c r="AK17" s="3060"/>
      <c r="AL17" s="3060"/>
      <c r="AM17" s="3060"/>
      <c r="AN17" s="3060">
        <v>116500.93</v>
      </c>
      <c r="AO17" s="3060"/>
      <c r="AP17" s="3060"/>
      <c r="AQ17" s="3060"/>
      <c r="AR17" s="3060"/>
      <c r="AS17" s="3060"/>
      <c r="AT17" s="3060"/>
      <c r="AU17" s="3060"/>
      <c r="AV17" s="3060"/>
      <c r="AW17" s="3060"/>
      <c r="AX17" s="3060"/>
      <c r="AY17" s="3060"/>
      <c r="AZ17" s="3060"/>
      <c r="BA17" s="3060"/>
      <c r="BB17" s="3060"/>
      <c r="BC17" s="3060">
        <v>116500.93</v>
      </c>
    </row>
    <row r="18" spans="1:56" s="3041" customFormat="1" ht="26.25" customHeight="1">
      <c r="A18" s="3059">
        <v>11</v>
      </c>
      <c r="B18" s="3060" t="s">
        <v>3268</v>
      </c>
      <c r="C18" s="3061" t="s">
        <v>3269</v>
      </c>
      <c r="D18" s="3061" t="s">
        <v>3231</v>
      </c>
      <c r="E18" s="3060">
        <v>212.19</v>
      </c>
      <c r="F18" s="3060">
        <v>36</v>
      </c>
      <c r="G18" s="3080">
        <v>43374</v>
      </c>
      <c r="H18" s="3080">
        <v>44469</v>
      </c>
      <c r="I18" s="3060" t="s">
        <v>3270</v>
      </c>
      <c r="J18" s="3060"/>
      <c r="K18" s="3060"/>
      <c r="L18" s="3060"/>
      <c r="M18" s="3060">
        <v>34852.21</v>
      </c>
      <c r="N18" s="3060">
        <v>104556.63</v>
      </c>
      <c r="O18" s="3060">
        <v>104556.63</v>
      </c>
      <c r="P18" s="3060">
        <v>0</v>
      </c>
      <c r="Q18" s="3070">
        <v>43524</v>
      </c>
      <c r="R18" s="3060"/>
      <c r="S18" s="3060"/>
      <c r="T18" s="3060"/>
      <c r="U18" s="3060"/>
      <c r="V18" s="3060"/>
      <c r="W18" s="3060"/>
      <c r="X18" s="3060"/>
      <c r="Y18" s="3060"/>
      <c r="Z18" s="3060"/>
      <c r="AA18" s="3060"/>
      <c r="AB18" s="3060"/>
      <c r="AC18" s="3060"/>
      <c r="AD18" s="3060"/>
      <c r="AE18" s="3060"/>
      <c r="AF18" s="3060">
        <v>104556.63</v>
      </c>
      <c r="AG18" s="3070">
        <v>43339</v>
      </c>
      <c r="AH18" s="3060" t="s">
        <v>3271</v>
      </c>
      <c r="AI18" s="3060"/>
      <c r="AJ18" s="3060"/>
      <c r="AK18" s="3060"/>
      <c r="AL18" s="3060"/>
      <c r="AM18" s="3060"/>
      <c r="AN18" s="3060">
        <v>104556.63</v>
      </c>
      <c r="AO18" s="3060"/>
      <c r="AP18" s="3060"/>
      <c r="AQ18" s="3060"/>
      <c r="AR18" s="3060"/>
      <c r="AS18" s="3060"/>
      <c r="AT18" s="3060"/>
      <c r="AU18" s="3060"/>
      <c r="AV18" s="3060"/>
      <c r="AW18" s="3060"/>
      <c r="AX18" s="3060"/>
      <c r="AY18" s="3060"/>
      <c r="AZ18" s="3060"/>
      <c r="BA18" s="3060"/>
      <c r="BB18" s="3060"/>
      <c r="BC18" s="3060">
        <v>104556.63</v>
      </c>
    </row>
    <row r="19" spans="1:56" s="3041" customFormat="1" ht="26.25" customHeight="1">
      <c r="A19" s="3059">
        <v>12</v>
      </c>
      <c r="B19" s="3060" t="s">
        <v>3272</v>
      </c>
      <c r="C19" s="3061" t="s">
        <v>3273</v>
      </c>
      <c r="D19" s="3061" t="s">
        <v>3231</v>
      </c>
      <c r="E19" s="3060">
        <v>244.49</v>
      </c>
      <c r="F19" s="3060">
        <v>24</v>
      </c>
      <c r="G19" s="3080" t="s">
        <v>3274</v>
      </c>
      <c r="H19" s="3080" t="s">
        <v>3275</v>
      </c>
      <c r="I19" s="3060" t="s">
        <v>3276</v>
      </c>
      <c r="J19" s="3060"/>
      <c r="K19" s="3060"/>
      <c r="L19" s="3060"/>
      <c r="M19" s="3060">
        <v>35695.54</v>
      </c>
      <c r="N19" s="3060">
        <v>107086.62</v>
      </c>
      <c r="O19" s="3060">
        <v>107086.62</v>
      </c>
      <c r="P19" s="3060">
        <v>0</v>
      </c>
      <c r="Q19" s="3070">
        <v>43488</v>
      </c>
      <c r="R19" s="3060"/>
      <c r="S19" s="3060"/>
      <c r="T19" s="3060"/>
      <c r="U19" s="3060"/>
      <c r="V19" s="3060"/>
      <c r="W19" s="3060"/>
      <c r="X19" s="3060"/>
      <c r="Y19" s="3060"/>
      <c r="Z19" s="3060"/>
      <c r="AA19" s="3060"/>
      <c r="AB19" s="3060"/>
      <c r="AC19" s="3060"/>
      <c r="AD19" s="3060"/>
      <c r="AE19" s="3060"/>
      <c r="AF19" s="3060">
        <v>107086.62</v>
      </c>
      <c r="AG19" s="3070" t="s">
        <v>3277</v>
      </c>
      <c r="AH19" s="3060" t="s">
        <v>3278</v>
      </c>
      <c r="AI19" s="3060"/>
      <c r="AJ19" s="3060"/>
      <c r="AK19" s="3060"/>
      <c r="AL19" s="3060"/>
      <c r="AM19" s="3060"/>
      <c r="AN19" s="3060">
        <v>107086.62</v>
      </c>
      <c r="AO19" s="3060"/>
      <c r="AP19" s="3060"/>
      <c r="AQ19" s="3060"/>
      <c r="AR19" s="3060"/>
      <c r="AS19" s="3060"/>
      <c r="AT19" s="3060"/>
      <c r="AU19" s="3060"/>
      <c r="AV19" s="3060"/>
      <c r="AW19" s="3060"/>
      <c r="AX19" s="3060"/>
      <c r="AY19" s="3060"/>
      <c r="AZ19" s="3060"/>
      <c r="BA19" s="3060"/>
      <c r="BB19" s="3060"/>
      <c r="BC19" s="3060">
        <v>107086.62</v>
      </c>
    </row>
    <row r="20" spans="1:56" s="3058" customFormat="1" ht="26.25" customHeight="1">
      <c r="A20" s="3044">
        <v>13</v>
      </c>
      <c r="B20" s="3045" t="s">
        <v>3279</v>
      </c>
      <c r="C20" s="3046" t="s">
        <v>3280</v>
      </c>
      <c r="D20" s="3046" t="s">
        <v>3231</v>
      </c>
      <c r="E20" s="3045">
        <v>433.78</v>
      </c>
      <c r="F20" s="3045">
        <v>72</v>
      </c>
      <c r="G20" s="3080">
        <v>43332</v>
      </c>
      <c r="H20" s="3080">
        <v>45523</v>
      </c>
      <c r="I20" s="3045" t="s">
        <v>3281</v>
      </c>
      <c r="J20" s="3045"/>
      <c r="K20" s="3045"/>
      <c r="L20" s="3045"/>
      <c r="M20" s="3045">
        <v>15041.32</v>
      </c>
      <c r="N20" s="3045">
        <v>225619.83</v>
      </c>
      <c r="O20" s="3045">
        <v>225619.83</v>
      </c>
      <c r="P20" s="3045">
        <v>0</v>
      </c>
      <c r="Q20" s="3055"/>
      <c r="R20" s="3045"/>
      <c r="S20" s="3045"/>
      <c r="T20" s="3045"/>
      <c r="U20" s="3045"/>
      <c r="V20" s="3045"/>
      <c r="W20" s="3045"/>
      <c r="X20" s="3045"/>
      <c r="Y20" s="3045"/>
      <c r="Z20" s="3045"/>
      <c r="AA20" s="3045"/>
      <c r="AB20" s="3045"/>
      <c r="AC20" s="3045"/>
      <c r="AD20" s="3045"/>
      <c r="AE20" s="3045"/>
      <c r="AF20" s="3045">
        <v>225619.83</v>
      </c>
      <c r="AG20" s="3055" t="s">
        <v>3282</v>
      </c>
      <c r="AH20" s="3045" t="s">
        <v>3283</v>
      </c>
      <c r="AI20" s="3045"/>
      <c r="AJ20" s="3045"/>
      <c r="AK20" s="3045"/>
      <c r="AL20" s="3045"/>
      <c r="AM20" s="3045"/>
      <c r="AN20" s="3045">
        <v>225619.83</v>
      </c>
      <c r="AO20" s="3045"/>
      <c r="AP20" s="3045"/>
      <c r="AQ20" s="3045"/>
      <c r="AR20" s="3045"/>
      <c r="AS20" s="3045"/>
      <c r="AT20" s="3045"/>
      <c r="AU20" s="3045"/>
      <c r="AV20" s="3045"/>
      <c r="AW20" s="3045"/>
      <c r="AX20" s="3045"/>
      <c r="AY20" s="3045"/>
      <c r="AZ20" s="3045"/>
      <c r="BA20" s="3045"/>
      <c r="BB20" s="3045"/>
      <c r="BC20" s="3045">
        <v>225619.83</v>
      </c>
    </row>
    <row r="21" spans="1:56" s="3041" customFormat="1" ht="26.25" customHeight="1">
      <c r="A21" s="3073"/>
      <c r="B21" s="3074" t="s">
        <v>3284</v>
      </c>
      <c r="C21" s="3075"/>
      <c r="D21" s="3075"/>
      <c r="E21" s="3074">
        <f>E16+E17+E18+E19+E20</f>
        <v>1335.98</v>
      </c>
      <c r="F21" s="3074">
        <f>F16+F17+F18+F19+F20</f>
        <v>192</v>
      </c>
      <c r="G21" s="3079"/>
      <c r="H21" s="3079"/>
      <c r="I21" s="3074"/>
      <c r="J21" s="3074">
        <f t="shared" ref="J21:L21" si="9">J16+J17+J18+J19</f>
        <v>0</v>
      </c>
      <c r="K21" s="3074">
        <f t="shared" si="9"/>
        <v>0</v>
      </c>
      <c r="L21" s="3074">
        <f t="shared" si="9"/>
        <v>0</v>
      </c>
      <c r="M21" s="3074">
        <f>M16+M17+M18+M19+M20</f>
        <v>150758.28</v>
      </c>
      <c r="N21" s="3074">
        <f t="shared" ref="N21:BC21" si="10">N16+N17+N18+N19+N20</f>
        <v>632770.72</v>
      </c>
      <c r="O21" s="3074">
        <f t="shared" si="10"/>
        <v>632770.72</v>
      </c>
      <c r="P21" s="3074">
        <f t="shared" si="10"/>
        <v>0</v>
      </c>
      <c r="Q21" s="3074">
        <f t="shared" si="10"/>
        <v>87012</v>
      </c>
      <c r="R21" s="3074">
        <f t="shared" si="10"/>
        <v>0</v>
      </c>
      <c r="S21" s="3074">
        <f t="shared" si="10"/>
        <v>0</v>
      </c>
      <c r="T21" s="3074">
        <f t="shared" si="10"/>
        <v>0</v>
      </c>
      <c r="U21" s="3074">
        <f t="shared" si="10"/>
        <v>0</v>
      </c>
      <c r="V21" s="3074">
        <f t="shared" si="10"/>
        <v>0</v>
      </c>
      <c r="W21" s="3074">
        <f t="shared" si="10"/>
        <v>0</v>
      </c>
      <c r="X21" s="3074">
        <f t="shared" si="10"/>
        <v>0</v>
      </c>
      <c r="Y21" s="3074">
        <f t="shared" si="10"/>
        <v>0</v>
      </c>
      <c r="Z21" s="3074">
        <f t="shared" si="10"/>
        <v>0</v>
      </c>
      <c r="AA21" s="3074">
        <f t="shared" si="10"/>
        <v>0</v>
      </c>
      <c r="AB21" s="3074">
        <f t="shared" si="10"/>
        <v>0</v>
      </c>
      <c r="AC21" s="3074">
        <f t="shared" si="10"/>
        <v>0</v>
      </c>
      <c r="AD21" s="3074">
        <f t="shared" si="10"/>
        <v>0</v>
      </c>
      <c r="AE21" s="3074">
        <f t="shared" si="10"/>
        <v>0</v>
      </c>
      <c r="AF21" s="3074">
        <f t="shared" si="10"/>
        <v>632770.72</v>
      </c>
      <c r="AG21" s="3074" t="e">
        <f t="shared" si="10"/>
        <v>#VALUE!</v>
      </c>
      <c r="AH21" s="3074" t="e">
        <f t="shared" si="10"/>
        <v>#VALUE!</v>
      </c>
      <c r="AI21" s="3074">
        <f t="shared" si="10"/>
        <v>0</v>
      </c>
      <c r="AJ21" s="3074">
        <f t="shared" si="10"/>
        <v>0</v>
      </c>
      <c r="AK21" s="3074">
        <f t="shared" si="10"/>
        <v>0</v>
      </c>
      <c r="AL21" s="3074">
        <f t="shared" si="10"/>
        <v>0</v>
      </c>
      <c r="AM21" s="3074">
        <f t="shared" si="10"/>
        <v>0</v>
      </c>
      <c r="AN21" s="3074">
        <f t="shared" si="10"/>
        <v>632770.72</v>
      </c>
      <c r="AO21" s="3074">
        <f t="shared" si="10"/>
        <v>0</v>
      </c>
      <c r="AP21" s="3074">
        <f t="shared" si="10"/>
        <v>0</v>
      </c>
      <c r="AQ21" s="3074">
        <f t="shared" si="10"/>
        <v>0</v>
      </c>
      <c r="AR21" s="3074">
        <f t="shared" si="10"/>
        <v>0</v>
      </c>
      <c r="AS21" s="3074">
        <f t="shared" si="10"/>
        <v>0</v>
      </c>
      <c r="AT21" s="3074">
        <f t="shared" si="10"/>
        <v>0</v>
      </c>
      <c r="AU21" s="3074">
        <f t="shared" si="10"/>
        <v>0</v>
      </c>
      <c r="AV21" s="3074">
        <f t="shared" si="10"/>
        <v>0</v>
      </c>
      <c r="AW21" s="3074">
        <f t="shared" si="10"/>
        <v>0</v>
      </c>
      <c r="AX21" s="3074">
        <f t="shared" si="10"/>
        <v>0</v>
      </c>
      <c r="AY21" s="3074">
        <f t="shared" si="10"/>
        <v>0</v>
      </c>
      <c r="AZ21" s="3074">
        <f t="shared" si="10"/>
        <v>0</v>
      </c>
      <c r="BA21" s="3074">
        <f t="shared" si="10"/>
        <v>0</v>
      </c>
      <c r="BB21" s="3074">
        <f t="shared" si="10"/>
        <v>0</v>
      </c>
      <c r="BC21" s="3074">
        <f t="shared" si="10"/>
        <v>632770.72</v>
      </c>
    </row>
    <row r="22" spans="1:56" s="3041" customFormat="1" ht="26.25" customHeight="1">
      <c r="A22" s="3059">
        <v>14</v>
      </c>
      <c r="B22" s="3060" t="s">
        <v>3285</v>
      </c>
      <c r="C22" s="3061" t="s">
        <v>3286</v>
      </c>
      <c r="D22" s="3061" t="s">
        <v>3287</v>
      </c>
      <c r="E22" s="3060">
        <v>554.20000000000005</v>
      </c>
      <c r="F22" s="3060">
        <v>36</v>
      </c>
      <c r="G22" s="3079">
        <v>43461</v>
      </c>
      <c r="H22" s="3079">
        <v>44556</v>
      </c>
      <c r="I22" s="3060" t="s">
        <v>3288</v>
      </c>
      <c r="J22" s="3060"/>
      <c r="K22" s="3060"/>
      <c r="L22" s="3060"/>
      <c r="M22" s="3060">
        <v>79227.509999999995</v>
      </c>
      <c r="N22" s="3060">
        <v>237682.53</v>
      </c>
      <c r="O22" s="3060">
        <v>237682.53</v>
      </c>
      <c r="P22" s="3060">
        <v>0</v>
      </c>
      <c r="Q22" s="3060">
        <v>43642</v>
      </c>
      <c r="R22" s="3060"/>
      <c r="S22" s="3060"/>
      <c r="T22" s="3060"/>
      <c r="U22" s="3060"/>
      <c r="V22" s="3060"/>
      <c r="W22" s="3060"/>
      <c r="X22" s="3060"/>
      <c r="Y22" s="3060"/>
      <c r="Z22" s="3060"/>
      <c r="AA22" s="3060"/>
      <c r="AB22" s="3060"/>
      <c r="AC22" s="3060"/>
      <c r="AD22" s="3060"/>
      <c r="AE22" s="3060"/>
      <c r="AF22" s="3060">
        <v>237682.53</v>
      </c>
      <c r="AG22" s="3060">
        <v>43372</v>
      </c>
      <c r="AH22" s="3060" t="s">
        <v>3289</v>
      </c>
      <c r="AI22" s="3060"/>
      <c r="AJ22" s="3060"/>
      <c r="AK22" s="3060"/>
      <c r="AL22" s="3060"/>
      <c r="AM22" s="3060"/>
      <c r="AN22" s="3060">
        <v>237682.53</v>
      </c>
      <c r="AO22" s="3060"/>
      <c r="AP22" s="3060"/>
      <c r="AQ22" s="3060"/>
      <c r="AR22" s="3060"/>
      <c r="AS22" s="3060"/>
      <c r="AT22" s="3060"/>
      <c r="AU22" s="3060"/>
      <c r="AV22" s="3060"/>
      <c r="AW22" s="3060"/>
      <c r="AX22" s="3060"/>
      <c r="AY22" s="3060"/>
      <c r="AZ22" s="3060"/>
      <c r="BA22" s="3060"/>
      <c r="BB22" s="3060"/>
      <c r="BC22" s="3060">
        <v>237682.53</v>
      </c>
    </row>
    <row r="23" spans="1:56" s="3041" customFormat="1" ht="26.25" customHeight="1">
      <c r="A23" s="3073"/>
      <c r="B23" s="3074" t="s">
        <v>3290</v>
      </c>
      <c r="C23" s="3075"/>
      <c r="D23" s="3075"/>
      <c r="E23" s="3074">
        <f>E22</f>
        <v>554.20000000000005</v>
      </c>
      <c r="F23" s="3074"/>
      <c r="G23" s="3079"/>
      <c r="H23" s="3079"/>
      <c r="I23" s="3074"/>
      <c r="J23" s="3074">
        <f t="shared" ref="J23:BC23" si="11">J22</f>
        <v>0</v>
      </c>
      <c r="K23" s="3074">
        <f t="shared" si="11"/>
        <v>0</v>
      </c>
      <c r="L23" s="3074">
        <f t="shared" si="11"/>
        <v>0</v>
      </c>
      <c r="M23" s="3074">
        <f t="shared" si="11"/>
        <v>79227.509999999995</v>
      </c>
      <c r="N23" s="3074">
        <f t="shared" si="11"/>
        <v>237682.53</v>
      </c>
      <c r="O23" s="3074">
        <f t="shared" si="11"/>
        <v>237682.53</v>
      </c>
      <c r="P23" s="3074">
        <f t="shared" si="11"/>
        <v>0</v>
      </c>
      <c r="Q23" s="3074">
        <f t="shared" si="11"/>
        <v>43642</v>
      </c>
      <c r="R23" s="3074">
        <f t="shared" si="11"/>
        <v>0</v>
      </c>
      <c r="S23" s="3074">
        <f t="shared" si="11"/>
        <v>0</v>
      </c>
      <c r="T23" s="3074">
        <f t="shared" si="11"/>
        <v>0</v>
      </c>
      <c r="U23" s="3074">
        <f t="shared" si="11"/>
        <v>0</v>
      </c>
      <c r="V23" s="3074">
        <f t="shared" si="11"/>
        <v>0</v>
      </c>
      <c r="W23" s="3074">
        <f t="shared" si="11"/>
        <v>0</v>
      </c>
      <c r="X23" s="3074">
        <f t="shared" si="11"/>
        <v>0</v>
      </c>
      <c r="Y23" s="3074">
        <f t="shared" si="11"/>
        <v>0</v>
      </c>
      <c r="Z23" s="3074">
        <f t="shared" si="11"/>
        <v>0</v>
      </c>
      <c r="AA23" s="3074">
        <f t="shared" si="11"/>
        <v>0</v>
      </c>
      <c r="AB23" s="3074">
        <f t="shared" si="11"/>
        <v>0</v>
      </c>
      <c r="AC23" s="3074">
        <f t="shared" si="11"/>
        <v>0</v>
      </c>
      <c r="AD23" s="3074">
        <f t="shared" si="11"/>
        <v>0</v>
      </c>
      <c r="AE23" s="3074">
        <f t="shared" si="11"/>
        <v>0</v>
      </c>
      <c r="AF23" s="3074">
        <f t="shared" si="11"/>
        <v>237682.53</v>
      </c>
      <c r="AG23" s="3074">
        <f t="shared" si="11"/>
        <v>43372</v>
      </c>
      <c r="AH23" s="3074" t="str">
        <f t="shared" si="11"/>
        <v>2019.03.27-2019.06.26</v>
      </c>
      <c r="AI23" s="3074">
        <f t="shared" si="11"/>
        <v>0</v>
      </c>
      <c r="AJ23" s="3074">
        <f t="shared" si="11"/>
        <v>0</v>
      </c>
      <c r="AK23" s="3074">
        <f t="shared" si="11"/>
        <v>0</v>
      </c>
      <c r="AL23" s="3074">
        <f t="shared" si="11"/>
        <v>0</v>
      </c>
      <c r="AM23" s="3074">
        <f t="shared" si="11"/>
        <v>0</v>
      </c>
      <c r="AN23" s="3074">
        <f t="shared" si="11"/>
        <v>237682.53</v>
      </c>
      <c r="AO23" s="3074">
        <f t="shared" si="11"/>
        <v>0</v>
      </c>
      <c r="AP23" s="3074">
        <f t="shared" si="11"/>
        <v>0</v>
      </c>
      <c r="AQ23" s="3074">
        <f t="shared" si="11"/>
        <v>0</v>
      </c>
      <c r="AR23" s="3074">
        <f t="shared" si="11"/>
        <v>0</v>
      </c>
      <c r="AS23" s="3074">
        <f t="shared" si="11"/>
        <v>0</v>
      </c>
      <c r="AT23" s="3074">
        <f t="shared" si="11"/>
        <v>0</v>
      </c>
      <c r="AU23" s="3074">
        <f t="shared" si="11"/>
        <v>0</v>
      </c>
      <c r="AV23" s="3074">
        <f t="shared" si="11"/>
        <v>0</v>
      </c>
      <c r="AW23" s="3074">
        <f t="shared" si="11"/>
        <v>0</v>
      </c>
      <c r="AX23" s="3074">
        <f t="shared" si="11"/>
        <v>0</v>
      </c>
      <c r="AY23" s="3074">
        <f t="shared" si="11"/>
        <v>0</v>
      </c>
      <c r="AZ23" s="3074">
        <f t="shared" si="11"/>
        <v>0</v>
      </c>
      <c r="BA23" s="3074">
        <f t="shared" si="11"/>
        <v>0</v>
      </c>
      <c r="BB23" s="3074">
        <f t="shared" si="11"/>
        <v>0</v>
      </c>
      <c r="BC23" s="3074">
        <f t="shared" si="11"/>
        <v>237682.53</v>
      </c>
    </row>
    <row r="24" spans="1:56" s="3040" customFormat="1" ht="26.25" customHeight="1">
      <c r="A24" s="3081"/>
      <c r="B24" s="3082" t="s">
        <v>3291</v>
      </c>
      <c r="C24" s="3083"/>
      <c r="D24" s="3083"/>
      <c r="E24" s="3082">
        <f>E6+E12+E9+E15+E21+E23</f>
        <v>4234.8900000000003</v>
      </c>
      <c r="F24" s="3084"/>
      <c r="G24" s="3048"/>
      <c r="H24" s="3048"/>
      <c r="I24" s="3082"/>
      <c r="J24" s="3085"/>
      <c r="K24" s="3085"/>
      <c r="L24" s="3082"/>
      <c r="M24" s="3086">
        <f>M6+M9+M12+M15+M21+M23</f>
        <v>657892.49000000011</v>
      </c>
      <c r="N24" s="3086">
        <f t="shared" ref="N24:BC24" si="12">N6+N9+N12+N15+N21+N23</f>
        <v>2247140.3200000003</v>
      </c>
      <c r="O24" s="3086">
        <f t="shared" si="12"/>
        <v>2247140.3200000003</v>
      </c>
      <c r="P24" s="3086">
        <f t="shared" si="12"/>
        <v>0</v>
      </c>
      <c r="Q24" s="3086">
        <f t="shared" si="12"/>
        <v>130654</v>
      </c>
      <c r="R24" s="3086">
        <f t="shared" si="12"/>
        <v>0</v>
      </c>
      <c r="S24" s="3086">
        <f t="shared" si="12"/>
        <v>0</v>
      </c>
      <c r="T24" s="3086">
        <f t="shared" si="12"/>
        <v>0</v>
      </c>
      <c r="U24" s="3086">
        <f t="shared" si="12"/>
        <v>0</v>
      </c>
      <c r="V24" s="3086">
        <f t="shared" si="12"/>
        <v>0</v>
      </c>
      <c r="W24" s="3086">
        <f t="shared" si="12"/>
        <v>0</v>
      </c>
      <c r="X24" s="3086">
        <f t="shared" si="12"/>
        <v>0</v>
      </c>
      <c r="Y24" s="3086">
        <f t="shared" si="12"/>
        <v>0</v>
      </c>
      <c r="Z24" s="3086">
        <f t="shared" si="12"/>
        <v>0</v>
      </c>
      <c r="AA24" s="3086">
        <f t="shared" si="12"/>
        <v>0</v>
      </c>
      <c r="AB24" s="3086">
        <f t="shared" si="12"/>
        <v>0</v>
      </c>
      <c r="AC24" s="3086">
        <f t="shared" si="12"/>
        <v>0</v>
      </c>
      <c r="AD24" s="3086">
        <f t="shared" si="12"/>
        <v>0</v>
      </c>
      <c r="AE24" s="3086">
        <f t="shared" si="12"/>
        <v>0</v>
      </c>
      <c r="AF24" s="3086">
        <f t="shared" si="12"/>
        <v>2412067.4499999997</v>
      </c>
      <c r="AG24" s="3086" t="e">
        <f t="shared" si="12"/>
        <v>#VALUE!</v>
      </c>
      <c r="AH24" s="3086" t="e">
        <f t="shared" si="12"/>
        <v>#VALUE!</v>
      </c>
      <c r="AI24" s="3086">
        <f t="shared" si="12"/>
        <v>0</v>
      </c>
      <c r="AJ24" s="3086">
        <f t="shared" si="12"/>
        <v>0</v>
      </c>
      <c r="AK24" s="3086">
        <f t="shared" si="12"/>
        <v>0</v>
      </c>
      <c r="AL24" s="3086">
        <f t="shared" si="12"/>
        <v>0</v>
      </c>
      <c r="AM24" s="3086">
        <f t="shared" si="12"/>
        <v>0</v>
      </c>
      <c r="AN24" s="3086">
        <f t="shared" si="12"/>
        <v>2412067.4499999997</v>
      </c>
      <c r="AO24" s="3086">
        <f t="shared" si="12"/>
        <v>0</v>
      </c>
      <c r="AP24" s="3086">
        <f t="shared" si="12"/>
        <v>0</v>
      </c>
      <c r="AQ24" s="3086">
        <f t="shared" si="12"/>
        <v>0</v>
      </c>
      <c r="AR24" s="3086">
        <f t="shared" si="12"/>
        <v>0</v>
      </c>
      <c r="AS24" s="3086">
        <f t="shared" si="12"/>
        <v>0</v>
      </c>
      <c r="AT24" s="3086">
        <f t="shared" si="12"/>
        <v>0</v>
      </c>
      <c r="AU24" s="3086">
        <f t="shared" si="12"/>
        <v>0</v>
      </c>
      <c r="AV24" s="3086" t="e">
        <f t="shared" si="12"/>
        <v>#VALUE!</v>
      </c>
      <c r="AW24" s="3086">
        <f t="shared" si="12"/>
        <v>0</v>
      </c>
      <c r="AX24" s="3086">
        <f t="shared" si="12"/>
        <v>0</v>
      </c>
      <c r="AY24" s="3086">
        <f t="shared" si="12"/>
        <v>0</v>
      </c>
      <c r="AZ24" s="3086">
        <f t="shared" si="12"/>
        <v>0</v>
      </c>
      <c r="BA24" s="3086">
        <f t="shared" si="12"/>
        <v>0</v>
      </c>
      <c r="BB24" s="3086">
        <f t="shared" si="12"/>
        <v>0</v>
      </c>
      <c r="BC24" s="3086">
        <f t="shared" si="12"/>
        <v>2396715.1</v>
      </c>
    </row>
    <row r="25" spans="1:56" s="3040" customFormat="1" ht="26.25" customHeight="1">
      <c r="A25" s="3087"/>
      <c r="B25" s="3041"/>
      <c r="C25" s="3088"/>
      <c r="D25" s="3089"/>
      <c r="F25" s="3090"/>
      <c r="G25" s="3091"/>
      <c r="H25" s="3091"/>
      <c r="I25" s="3041"/>
      <c r="J25" s="3092"/>
      <c r="K25" s="3092"/>
      <c r="L25" s="3041"/>
      <c r="M25" s="3093"/>
      <c r="N25" s="3094"/>
      <c r="O25" s="3095"/>
      <c r="P25" s="3093"/>
      <c r="Q25" s="3096"/>
      <c r="S25" s="3041"/>
      <c r="T25" s="3041"/>
      <c r="U25" s="3041"/>
      <c r="V25" s="3041"/>
      <c r="W25" s="3089"/>
      <c r="X25" s="3041"/>
      <c r="Y25" s="3089"/>
      <c r="Z25" s="3041"/>
      <c r="AA25" s="3089"/>
      <c r="AB25" s="3041"/>
      <c r="AC25" s="3089"/>
      <c r="AD25" s="3041"/>
      <c r="AE25" s="3089"/>
      <c r="AF25" s="3093"/>
      <c r="AG25" s="3089"/>
      <c r="AH25" s="3089"/>
      <c r="AI25" s="3041"/>
      <c r="AJ25" s="3041"/>
      <c r="AK25" s="3041"/>
      <c r="AL25" s="3041"/>
      <c r="AM25" s="3089"/>
      <c r="AN25" s="3097"/>
      <c r="AO25" s="3098"/>
      <c r="AP25" s="3097"/>
      <c r="AQ25" s="3097"/>
      <c r="AR25" s="3097"/>
      <c r="AS25" s="3097"/>
      <c r="AT25" s="3097"/>
      <c r="AU25" s="3097"/>
      <c r="AV25" s="3097"/>
      <c r="AW25" s="3097"/>
      <c r="AX25" s="3097"/>
      <c r="AY25" s="3097"/>
      <c r="AZ25" s="3097"/>
      <c r="BA25" s="3097"/>
      <c r="BB25" s="3099"/>
      <c r="BC25" s="3099"/>
      <c r="BD25" s="3040" ph="1"/>
    </row>
    <row r="26" spans="1:56" s="3040" customFormat="1" ht="26.25" customHeight="1">
      <c r="A26" s="3087"/>
      <c r="B26" s="3041"/>
      <c r="C26" s="3088"/>
      <c r="D26" s="3089"/>
      <c r="F26" s="3090"/>
      <c r="G26" s="3091"/>
      <c r="H26" s="3091"/>
      <c r="I26" s="3041"/>
      <c r="J26" s="3092"/>
      <c r="K26" s="3092"/>
      <c r="L26" s="3041"/>
      <c r="M26" s="3093"/>
      <c r="N26" s="3094"/>
      <c r="O26" s="3095"/>
      <c r="P26" s="3093"/>
      <c r="Q26" s="3096"/>
      <c r="S26" s="3041"/>
      <c r="T26" s="3041"/>
      <c r="U26" s="3041"/>
      <c r="V26" s="3041"/>
      <c r="W26" s="3089"/>
      <c r="X26" s="3041"/>
      <c r="Y26" s="3089"/>
      <c r="Z26" s="3041"/>
      <c r="AA26" s="3089"/>
      <c r="AB26" s="3041"/>
      <c r="AC26" s="3089"/>
      <c r="AD26" s="3041"/>
      <c r="AE26" s="3089"/>
      <c r="AF26" s="3093"/>
      <c r="AG26" s="3089"/>
      <c r="AH26" s="3089"/>
      <c r="AI26" s="3041"/>
      <c r="AJ26" s="3041"/>
      <c r="AK26" s="3041"/>
      <c r="AL26" s="3041"/>
      <c r="AM26" s="3089"/>
      <c r="AN26" s="3097"/>
      <c r="AO26" s="3100"/>
      <c r="AP26" s="3097"/>
      <c r="AQ26" s="3097"/>
      <c r="AR26" s="3097"/>
      <c r="AS26" s="3097"/>
      <c r="AT26" s="3097"/>
      <c r="AU26" s="3097"/>
      <c r="AV26" s="3097"/>
      <c r="AW26" s="3097"/>
      <c r="AX26" s="3097"/>
      <c r="AY26" s="3097"/>
      <c r="AZ26" s="3097"/>
      <c r="BA26" s="3097"/>
      <c r="BB26" s="3099"/>
      <c r="BC26" s="3099"/>
      <c r="BD26" s="3040" ph="1"/>
    </row>
    <row r="27" spans="1:56" s="3040" customFormat="1" ht="26.25" customHeight="1">
      <c r="A27" s="3087"/>
      <c r="B27" s="3041"/>
      <c r="C27" s="3088"/>
      <c r="D27" s="3089"/>
      <c r="F27" s="3090"/>
      <c r="G27" s="3091"/>
      <c r="H27" s="3091"/>
      <c r="I27" s="3041"/>
      <c r="J27" s="3092"/>
      <c r="K27" s="3092"/>
      <c r="L27" s="3041"/>
      <c r="M27" s="3093"/>
      <c r="N27" s="3094"/>
      <c r="O27" s="3095"/>
      <c r="P27" s="3093"/>
      <c r="Q27" s="3096"/>
      <c r="S27" s="3041"/>
      <c r="T27" s="3041"/>
      <c r="U27" s="3041"/>
      <c r="V27" s="3041"/>
      <c r="W27" s="3089"/>
      <c r="X27" s="3041"/>
      <c r="Y27" s="3089"/>
      <c r="Z27" s="3041"/>
      <c r="AA27" s="3089"/>
      <c r="AB27" s="3041"/>
      <c r="AC27" s="3089"/>
      <c r="AD27" s="3041"/>
      <c r="AE27" s="3089"/>
      <c r="AF27" s="3093"/>
      <c r="AG27" s="3089"/>
      <c r="AH27" s="3089"/>
      <c r="AI27" s="3041"/>
      <c r="AJ27" s="3041"/>
      <c r="AK27" s="3041"/>
      <c r="AL27" s="3041"/>
      <c r="AM27" s="3089"/>
      <c r="AN27" s="3097"/>
      <c r="AO27" s="3098"/>
      <c r="AP27" s="3097"/>
      <c r="AQ27" s="3097"/>
      <c r="AR27" s="3097"/>
      <c r="AS27" s="3097"/>
      <c r="AT27" s="3097"/>
      <c r="AU27" s="3097"/>
      <c r="AV27" s="3097"/>
      <c r="AW27" s="3097"/>
      <c r="AX27" s="3097"/>
      <c r="AY27" s="3097"/>
      <c r="AZ27" s="3097"/>
      <c r="BA27" s="3097"/>
      <c r="BB27" s="3099"/>
      <c r="BC27" s="3099"/>
    </row>
    <row r="28" spans="1:56" s="3040" customFormat="1" ht="26.25" customHeight="1">
      <c r="A28" s="3087"/>
      <c r="B28" s="3041"/>
      <c r="C28" s="3088"/>
      <c r="D28" s="3089"/>
      <c r="F28" s="3090"/>
      <c r="G28" s="3091"/>
      <c r="H28" s="3091"/>
      <c r="I28" s="3041"/>
      <c r="J28" s="3092"/>
      <c r="K28" s="3092"/>
      <c r="L28" s="3041"/>
      <c r="M28" s="3093"/>
      <c r="N28" s="3094"/>
      <c r="O28" s="3095"/>
      <c r="P28" s="3093"/>
      <c r="Q28" s="3096"/>
      <c r="S28" s="3041"/>
      <c r="T28" s="3041"/>
      <c r="U28" s="3041"/>
      <c r="V28" s="3041"/>
      <c r="W28" s="3089"/>
      <c r="X28" s="3041"/>
      <c r="Y28" s="3089"/>
      <c r="Z28" s="3041"/>
      <c r="AA28" s="3089"/>
      <c r="AB28" s="3041"/>
      <c r="AC28" s="3089"/>
      <c r="AD28" s="3041"/>
      <c r="AE28" s="3089"/>
      <c r="AF28" s="3093"/>
      <c r="AG28" s="3089"/>
      <c r="AH28" s="3089"/>
      <c r="AI28" s="3041"/>
      <c r="AJ28" s="3041"/>
      <c r="AK28" s="3041"/>
      <c r="AL28" s="3041"/>
      <c r="AM28" s="3089"/>
      <c r="AN28" s="3097"/>
      <c r="AO28" s="3098"/>
      <c r="AP28" s="3097"/>
      <c r="AQ28" s="3097"/>
      <c r="AR28" s="3097"/>
      <c r="AS28" s="3097"/>
      <c r="AT28" s="3097"/>
      <c r="AU28" s="3097"/>
      <c r="AV28" s="3097"/>
      <c r="AW28" s="3097"/>
      <c r="AX28" s="3097"/>
      <c r="AY28" s="3097"/>
      <c r="AZ28" s="3097"/>
      <c r="BA28" s="3097"/>
      <c r="BB28" s="3099"/>
      <c r="BC28" s="3099"/>
    </row>
    <row r="29" spans="1:56" s="3040" customFormat="1" ht="26.25" customHeight="1">
      <c r="A29" s="3087"/>
      <c r="B29" s="3041"/>
      <c r="C29" s="3088"/>
      <c r="D29" s="3089"/>
      <c r="F29" s="3090"/>
      <c r="G29" s="3091"/>
      <c r="H29" s="3091"/>
      <c r="I29" s="3041"/>
      <c r="J29" s="3092"/>
      <c r="K29" s="3092"/>
      <c r="L29" s="3041"/>
      <c r="M29" s="3093"/>
      <c r="N29" s="3094"/>
      <c r="O29" s="3095"/>
      <c r="P29" s="3093"/>
      <c r="Q29" s="3096"/>
      <c r="S29" s="3041"/>
      <c r="T29" s="3041"/>
      <c r="U29" s="3041"/>
      <c r="V29" s="3041"/>
      <c r="W29" s="3089"/>
      <c r="X29" s="3041"/>
      <c r="Y29" s="3089"/>
      <c r="Z29" s="3041"/>
      <c r="AA29" s="3089"/>
      <c r="AB29" s="3041"/>
      <c r="AC29" s="3089"/>
      <c r="AD29" s="3041"/>
      <c r="AE29" s="3089"/>
      <c r="AF29" s="3093"/>
      <c r="AG29" s="3089"/>
      <c r="AH29" s="3089"/>
      <c r="AI29" s="3041"/>
      <c r="AJ29" s="3041"/>
      <c r="AK29" s="3041"/>
      <c r="AL29" s="3041"/>
      <c r="AM29" s="3089"/>
      <c r="AN29" s="3097"/>
      <c r="AO29" s="3098"/>
      <c r="AP29" s="3097"/>
      <c r="AQ29" s="3097"/>
      <c r="AR29" s="3097"/>
      <c r="AS29" s="3097"/>
      <c r="AT29" s="3097"/>
      <c r="AU29" s="3097"/>
      <c r="AV29" s="3097"/>
      <c r="AW29" s="3097"/>
      <c r="AX29" s="3097"/>
      <c r="AY29" s="3097"/>
      <c r="AZ29" s="3097"/>
      <c r="BA29" s="3097"/>
      <c r="BB29" s="3099"/>
      <c r="BC29" s="3099"/>
    </row>
    <row r="30" spans="1:56" s="3040" customFormat="1" ht="26.25" customHeight="1">
      <c r="A30" s="3087"/>
      <c r="B30" s="3041"/>
      <c r="C30" s="3088"/>
      <c r="D30" s="3089"/>
      <c r="F30" s="3090"/>
      <c r="G30" s="3091"/>
      <c r="H30" s="3091"/>
      <c r="I30" s="3041"/>
      <c r="J30" s="3092"/>
      <c r="K30" s="3092"/>
      <c r="L30" s="3041"/>
      <c r="M30" s="3093"/>
      <c r="N30" s="3094"/>
      <c r="O30" s="3095"/>
      <c r="P30" s="3093"/>
      <c r="Q30" s="3096"/>
      <c r="S30" s="3041"/>
      <c r="T30" s="3041"/>
      <c r="U30" s="3041"/>
      <c r="V30" s="3041"/>
      <c r="W30" s="3089"/>
      <c r="X30" s="3041"/>
      <c r="Y30" s="3089"/>
      <c r="Z30" s="3041"/>
      <c r="AA30" s="3089"/>
      <c r="AB30" s="3041"/>
      <c r="AC30" s="3089"/>
      <c r="AD30" s="3041"/>
      <c r="AE30" s="3089"/>
      <c r="AF30" s="3093"/>
      <c r="AG30" s="3089"/>
      <c r="AH30" s="3089"/>
      <c r="AI30" s="3041"/>
      <c r="AJ30" s="3041"/>
      <c r="AK30" s="3041"/>
      <c r="AL30" s="3041"/>
      <c r="AM30" s="3089"/>
      <c r="AN30" s="3097"/>
      <c r="AO30" s="3098"/>
      <c r="AP30" s="3097"/>
      <c r="AQ30" s="3097"/>
      <c r="AR30" s="3097"/>
      <c r="AS30" s="3097"/>
      <c r="AT30" s="3097"/>
      <c r="AU30" s="3097"/>
      <c r="AV30" s="3097"/>
      <c r="AW30" s="3097"/>
      <c r="AX30" s="3097"/>
      <c r="AY30" s="3097"/>
      <c r="AZ30" s="3097"/>
      <c r="BA30" s="3097"/>
      <c r="BB30" s="3099"/>
      <c r="BC30" s="3099"/>
    </row>
    <row r="31" spans="1:56" s="3040" customFormat="1" ht="26.25" customHeight="1">
      <c r="A31" s="3087"/>
      <c r="B31" s="3041"/>
      <c r="C31" s="3088"/>
      <c r="D31" s="3089"/>
      <c r="F31" s="3090"/>
      <c r="G31" s="3091"/>
      <c r="H31" s="3091"/>
      <c r="I31" s="3041"/>
      <c r="J31" s="3092"/>
      <c r="K31" s="3092"/>
      <c r="L31" s="3041"/>
      <c r="M31" s="3093"/>
      <c r="N31" s="3094"/>
      <c r="O31" s="3095"/>
      <c r="P31" s="3093"/>
      <c r="Q31" s="3096"/>
      <c r="S31" s="3041"/>
      <c r="T31" s="3041"/>
      <c r="U31" s="3041"/>
      <c r="V31" s="3041"/>
      <c r="W31" s="3089"/>
      <c r="X31" s="3041"/>
      <c r="Y31" s="3089"/>
      <c r="Z31" s="3041"/>
      <c r="AA31" s="3089"/>
      <c r="AB31" s="3041"/>
      <c r="AC31" s="3089"/>
      <c r="AD31" s="3041"/>
      <c r="AE31" s="3089"/>
      <c r="AF31" s="3093"/>
      <c r="AG31" s="3089"/>
      <c r="AH31" s="3089"/>
      <c r="AI31" s="3041"/>
      <c r="AJ31" s="3041"/>
      <c r="AK31" s="3041"/>
      <c r="AL31" s="3041"/>
      <c r="AM31" s="3089"/>
      <c r="AN31" s="3097"/>
      <c r="AO31" s="3098"/>
      <c r="AP31" s="3097"/>
      <c r="AQ31" s="3097"/>
      <c r="AR31" s="3097"/>
      <c r="AS31" s="3097"/>
      <c r="AT31" s="3097"/>
      <c r="AU31" s="3097"/>
      <c r="AV31" s="3097"/>
      <c r="AW31" s="3097"/>
      <c r="AX31" s="3097"/>
      <c r="AY31" s="3097"/>
      <c r="AZ31" s="3097"/>
      <c r="BA31" s="3097"/>
      <c r="BB31" s="3099"/>
      <c r="BC31" s="3099"/>
    </row>
    <row r="32" spans="1:56" s="3040" customFormat="1" ht="26.25" customHeight="1">
      <c r="A32" s="3087"/>
      <c r="B32" s="3041"/>
      <c r="C32" s="3088"/>
      <c r="D32" s="3089"/>
      <c r="F32" s="3090"/>
      <c r="G32" s="3091"/>
      <c r="H32" s="3091"/>
      <c r="I32" s="3041"/>
      <c r="J32" s="3092"/>
      <c r="K32" s="3092"/>
      <c r="L32" s="3041"/>
      <c r="M32" s="3093"/>
      <c r="N32" s="3094"/>
      <c r="O32" s="3095"/>
      <c r="P32" s="3093"/>
      <c r="Q32" s="3096"/>
      <c r="S32" s="3041"/>
      <c r="T32" s="3041"/>
      <c r="U32" s="3041"/>
      <c r="V32" s="3041"/>
      <c r="W32" s="3089"/>
      <c r="X32" s="3041"/>
      <c r="Y32" s="3089"/>
      <c r="Z32" s="3041"/>
      <c r="AA32" s="3089"/>
      <c r="AB32" s="3041"/>
      <c r="AC32" s="3089"/>
      <c r="AD32" s="3041"/>
      <c r="AE32" s="3089"/>
      <c r="AF32" s="3093"/>
      <c r="AG32" s="3089"/>
      <c r="AH32" s="3089"/>
      <c r="AI32" s="3041"/>
      <c r="AJ32" s="3041"/>
      <c r="AK32" s="3041"/>
      <c r="AL32" s="3041"/>
      <c r="AM32" s="3089"/>
      <c r="AN32" s="3097"/>
      <c r="AO32" s="3098"/>
      <c r="AP32" s="3097"/>
      <c r="AQ32" s="3097"/>
      <c r="AR32" s="3097"/>
      <c r="AS32" s="3097"/>
      <c r="AT32" s="3097"/>
      <c r="AU32" s="3097"/>
      <c r="AV32" s="3097"/>
      <c r="AW32" s="3097"/>
      <c r="AX32" s="3097"/>
      <c r="AY32" s="3097"/>
      <c r="AZ32" s="3097"/>
      <c r="BA32" s="3097"/>
      <c r="BB32" s="3099"/>
      <c r="BC32" s="3099"/>
    </row>
    <row r="33" spans="1:55" s="3040" customFormat="1" ht="26.25" customHeight="1">
      <c r="A33" s="3087"/>
      <c r="B33" s="3041"/>
      <c r="C33" s="3088"/>
      <c r="D33" s="3089"/>
      <c r="F33" s="3090"/>
      <c r="G33" s="3091"/>
      <c r="H33" s="3091"/>
      <c r="I33" s="3041"/>
      <c r="J33" s="3092"/>
      <c r="K33" s="3092"/>
      <c r="L33" s="3041"/>
      <c r="M33" s="3093"/>
      <c r="N33" s="3094"/>
      <c r="O33" s="3095"/>
      <c r="P33" s="3093"/>
      <c r="Q33" s="3096"/>
      <c r="S33" s="3041"/>
      <c r="T33" s="3041"/>
      <c r="U33" s="3041"/>
      <c r="V33" s="3041"/>
      <c r="W33" s="3089"/>
      <c r="X33" s="3041"/>
      <c r="Y33" s="3089"/>
      <c r="Z33" s="3041"/>
      <c r="AA33" s="3089"/>
      <c r="AB33" s="3041"/>
      <c r="AC33" s="3089"/>
      <c r="AD33" s="3041"/>
      <c r="AE33" s="3089"/>
      <c r="AF33" s="3093"/>
      <c r="AG33" s="3089"/>
      <c r="AH33" s="3089"/>
      <c r="AI33" s="3041"/>
      <c r="AJ33" s="3041"/>
      <c r="AK33" s="3041"/>
      <c r="AL33" s="3041"/>
      <c r="AM33" s="3089"/>
      <c r="AN33" s="3097"/>
      <c r="AO33" s="3098"/>
      <c r="AP33" s="3097"/>
      <c r="AQ33" s="3097"/>
      <c r="AR33" s="3097"/>
      <c r="AS33" s="3097"/>
      <c r="AT33" s="3097"/>
      <c r="AU33" s="3097"/>
      <c r="AV33" s="3097"/>
      <c r="AW33" s="3097"/>
      <c r="AX33" s="3097"/>
      <c r="AY33" s="3097"/>
      <c r="AZ33" s="3097"/>
      <c r="BA33" s="3097"/>
      <c r="BB33" s="3099"/>
      <c r="BC33" s="3099"/>
    </row>
    <row r="34" spans="1:55" s="3040" customFormat="1" ht="26.25" customHeight="1">
      <c r="A34" s="3087"/>
      <c r="B34" s="3041"/>
      <c r="C34" s="3088"/>
      <c r="D34" s="3089"/>
      <c r="F34" s="3090"/>
      <c r="G34" s="3091"/>
      <c r="H34" s="3091"/>
      <c r="I34" s="3041"/>
      <c r="J34" s="3092"/>
      <c r="K34" s="3092"/>
      <c r="L34" s="3041"/>
      <c r="M34" s="3093"/>
      <c r="N34" s="3094"/>
      <c r="O34" s="3095"/>
      <c r="P34" s="3093"/>
      <c r="Q34" s="3096"/>
      <c r="S34" s="3041"/>
      <c r="T34" s="3041"/>
      <c r="U34" s="3041"/>
      <c r="V34" s="3041"/>
      <c r="W34" s="3089"/>
      <c r="X34" s="3041"/>
      <c r="Y34" s="3089"/>
      <c r="Z34" s="3041"/>
      <c r="AA34" s="3089"/>
      <c r="AB34" s="3041"/>
      <c r="AC34" s="3089"/>
      <c r="AD34" s="3041"/>
      <c r="AE34" s="3089"/>
      <c r="AF34" s="3093"/>
      <c r="AG34" s="3089"/>
      <c r="AH34" s="3089"/>
      <c r="AI34" s="3041"/>
      <c r="AJ34" s="3041"/>
      <c r="AK34" s="3041"/>
      <c r="AL34" s="3041"/>
      <c r="AM34" s="3089"/>
      <c r="AN34" s="3097"/>
      <c r="AO34" s="3098"/>
      <c r="AP34" s="3097"/>
      <c r="AQ34" s="3097"/>
      <c r="AR34" s="3097"/>
      <c r="AS34" s="3097"/>
      <c r="AT34" s="3097"/>
      <c r="AU34" s="3097"/>
      <c r="AV34" s="3097"/>
      <c r="AW34" s="3097"/>
      <c r="AX34" s="3097"/>
      <c r="AY34" s="3097"/>
      <c r="AZ34" s="3097"/>
      <c r="BA34" s="3097"/>
      <c r="BB34" s="3099"/>
      <c r="BC34" s="3099"/>
    </row>
    <row r="35" spans="1:55" s="3040" customFormat="1" ht="26.25" customHeight="1">
      <c r="A35" s="3087"/>
      <c r="B35" s="3041"/>
      <c r="C35" s="3088"/>
      <c r="D35" s="3089"/>
      <c r="F35" s="3090"/>
      <c r="G35" s="3091"/>
      <c r="H35" s="3091"/>
      <c r="I35" s="3041"/>
      <c r="J35" s="3092"/>
      <c r="K35" s="3092"/>
      <c r="L35" s="3041"/>
      <c r="M35" s="3093"/>
      <c r="N35" s="3094"/>
      <c r="O35" s="3095"/>
      <c r="P35" s="3093"/>
      <c r="Q35" s="3096"/>
      <c r="S35" s="3041"/>
      <c r="T35" s="3041"/>
      <c r="U35" s="3041"/>
      <c r="V35" s="3041"/>
      <c r="W35" s="3089"/>
      <c r="X35" s="3041"/>
      <c r="Y35" s="3089"/>
      <c r="Z35" s="3041"/>
      <c r="AA35" s="3089"/>
      <c r="AB35" s="3041"/>
      <c r="AC35" s="3089"/>
      <c r="AD35" s="3041"/>
      <c r="AE35" s="3089"/>
      <c r="AF35" s="3093"/>
      <c r="AG35" s="3089"/>
      <c r="AH35" s="3089"/>
      <c r="AI35" s="3041"/>
      <c r="AJ35" s="3041"/>
      <c r="AK35" s="3041"/>
      <c r="AL35" s="3041"/>
      <c r="AM35" s="3089"/>
      <c r="AN35" s="3097"/>
      <c r="AO35" s="3098"/>
      <c r="AP35" s="3097"/>
      <c r="AQ35" s="3097"/>
      <c r="AR35" s="3097"/>
      <c r="AS35" s="3097"/>
      <c r="AT35" s="3097"/>
      <c r="AU35" s="3097"/>
      <c r="AV35" s="3097"/>
      <c r="AW35" s="3097"/>
      <c r="AX35" s="3097"/>
      <c r="AY35" s="3097"/>
      <c r="AZ35" s="3097"/>
      <c r="BA35" s="3097"/>
      <c r="BB35" s="3099"/>
      <c r="BC35" s="3099"/>
    </row>
    <row r="36" spans="1:55" s="3040" customFormat="1" ht="26.25" customHeight="1">
      <c r="A36" s="3087"/>
      <c r="B36" s="3041"/>
      <c r="C36" s="3088"/>
      <c r="D36" s="3089"/>
      <c r="F36" s="3090"/>
      <c r="G36" s="3091"/>
      <c r="H36" s="3091"/>
      <c r="I36" s="3041"/>
      <c r="J36" s="3092"/>
      <c r="K36" s="3092"/>
      <c r="L36" s="3041"/>
      <c r="M36" s="3093"/>
      <c r="N36" s="3094"/>
      <c r="O36" s="3095"/>
      <c r="P36" s="3093"/>
      <c r="Q36" s="3096"/>
      <c r="S36" s="3041"/>
      <c r="T36" s="3041"/>
      <c r="U36" s="3041"/>
      <c r="V36" s="3041"/>
      <c r="W36" s="3089"/>
      <c r="X36" s="3041"/>
      <c r="Y36" s="3089"/>
      <c r="Z36" s="3041"/>
      <c r="AA36" s="3089"/>
      <c r="AB36" s="3041"/>
      <c r="AC36" s="3089"/>
      <c r="AD36" s="3041"/>
      <c r="AE36" s="3089"/>
      <c r="AF36" s="3093"/>
      <c r="AG36" s="3089"/>
      <c r="AH36" s="3089"/>
      <c r="AI36" s="3041"/>
      <c r="AJ36" s="3041"/>
      <c r="AK36" s="3041"/>
      <c r="AL36" s="3041"/>
      <c r="AM36" s="3089"/>
      <c r="AN36" s="3097"/>
      <c r="AO36" s="3098"/>
      <c r="AP36" s="3097"/>
      <c r="AQ36" s="3097"/>
      <c r="AR36" s="3097"/>
      <c r="AS36" s="3097"/>
      <c r="AT36" s="3097"/>
      <c r="AU36" s="3097"/>
      <c r="AV36" s="3097"/>
      <c r="AW36" s="3097"/>
      <c r="AX36" s="3097"/>
      <c r="AY36" s="3097"/>
      <c r="AZ36" s="3097"/>
      <c r="BA36" s="3097"/>
      <c r="BB36" s="3099"/>
      <c r="BC36" s="3099"/>
    </row>
  </sheetData>
  <mergeCells count="44">
    <mergeCell ref="AZ2:AZ3"/>
    <mergeCell ref="BA2:BA3"/>
    <mergeCell ref="BB2:BB3"/>
    <mergeCell ref="BC2:BC3"/>
    <mergeCell ref="AT2:AT3"/>
    <mergeCell ref="AU2:AU3"/>
    <mergeCell ref="AV2:AV3"/>
    <mergeCell ref="AW2:AW3"/>
    <mergeCell ref="AX2:AX3"/>
    <mergeCell ref="AY2:AY3"/>
    <mergeCell ref="V2:W2"/>
    <mergeCell ref="AS2:AS3"/>
    <mergeCell ref="Z2:AA2"/>
    <mergeCell ref="AB2:AC2"/>
    <mergeCell ref="AD2:AE2"/>
    <mergeCell ref="AF2:AH2"/>
    <mergeCell ref="AI2:AK2"/>
    <mergeCell ref="AL2:AM2"/>
    <mergeCell ref="AN2:AN3"/>
    <mergeCell ref="AO2:AO3"/>
    <mergeCell ref="AP2:AP3"/>
    <mergeCell ref="AQ2:AQ3"/>
    <mergeCell ref="AR2:AR3"/>
    <mergeCell ref="O2:O3"/>
    <mergeCell ref="P2:P3"/>
    <mergeCell ref="Q2:Q3"/>
    <mergeCell ref="R2:S2"/>
    <mergeCell ref="T2:U2"/>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
  <sheetViews>
    <sheetView topLeftCell="A58" workbookViewId="0">
      <selection activeCell="M39" sqref="M39"/>
    </sheetView>
  </sheetViews>
  <sheetFormatPr defaultRowHeight="13.5"/>
  <cols>
    <col min="3" max="3" width="9.75" bestFit="1" customWidth="1"/>
  </cols>
  <sheetData>
    <row r="2" spans="2:6" ht="15.75">
      <c r="B2" s="3143"/>
      <c r="C2" s="3143"/>
      <c r="D2" s="3143"/>
      <c r="F2" s="3144"/>
    </row>
    <row r="3" spans="2:6" ht="15.75">
      <c r="B3" s="3143"/>
      <c r="C3" s="3143"/>
      <c r="D3" s="3143"/>
      <c r="F3" s="3144"/>
    </row>
    <row r="4" spans="2:6" ht="15.75">
      <c r="B4" s="3143"/>
      <c r="C4" s="3143"/>
      <c r="D4" s="3143"/>
      <c r="F4" s="3144"/>
    </row>
    <row r="5" spans="2:6" ht="15.75">
      <c r="B5" s="3143"/>
      <c r="C5" s="3143"/>
      <c r="D5" s="3143"/>
      <c r="F5" s="3144"/>
    </row>
    <row r="6" spans="2:6" ht="15.75">
      <c r="B6" s="3143"/>
      <c r="C6" s="3143"/>
      <c r="D6" s="3143"/>
      <c r="F6" s="3144"/>
    </row>
    <row r="7" spans="2:6" ht="15.75">
      <c r="B7" s="3143"/>
      <c r="C7" s="3143"/>
      <c r="D7" s="3143"/>
      <c r="F7" s="3144"/>
    </row>
    <row r="8" spans="2:6">
      <c r="B8" s="717"/>
      <c r="F8" s="3143"/>
    </row>
    <row r="9" spans="2:6">
      <c r="B9" s="3004"/>
      <c r="F9" s="3143"/>
    </row>
    <row r="10" spans="2:6">
      <c r="B10" s="3004"/>
      <c r="F10" s="3143"/>
    </row>
    <row r="11" spans="2:6">
      <c r="B11" s="3004"/>
      <c r="F11" s="3143"/>
    </row>
    <row r="12" spans="2:6">
      <c r="B12" s="3004"/>
      <c r="F12" s="3143"/>
    </row>
    <row r="13" spans="2:6">
      <c r="B13" s="3004"/>
      <c r="F13" s="3143"/>
    </row>
    <row r="14" spans="2:6">
      <c r="B14" s="3004"/>
      <c r="F14" s="3143"/>
    </row>
    <row r="15" spans="2:6">
      <c r="B15" s="3004"/>
      <c r="F15" s="3143"/>
    </row>
    <row r="16" spans="2:6">
      <c r="B16" s="3004"/>
      <c r="F16" s="3143"/>
    </row>
    <row r="17" spans="2:6">
      <c r="B17" s="3004"/>
      <c r="F17" s="3143"/>
    </row>
    <row r="18" spans="2:6">
      <c r="B18" s="3004"/>
      <c r="F18" s="3143"/>
    </row>
    <row r="19" spans="2:6">
      <c r="B19" s="59"/>
      <c r="F19" s="3143"/>
    </row>
    <row r="20" spans="2:6">
      <c r="B20" s="59"/>
      <c r="F20" s="3143"/>
    </row>
    <row r="21" spans="2:6">
      <c r="B21" s="59"/>
      <c r="F21" s="3143"/>
    </row>
    <row r="22" spans="2:6">
      <c r="B22" s="59"/>
    </row>
    <row r="23" spans="2:6">
      <c r="B23" s="59"/>
    </row>
    <row r="24" spans="2:6">
      <c r="B24" s="59"/>
    </row>
    <row r="25" spans="2:6">
      <c r="B25" s="59"/>
    </row>
    <row r="26" spans="2:6">
      <c r="B26" s="59"/>
    </row>
    <row r="27" spans="2:6">
      <c r="B27" s="59"/>
    </row>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3103" customWidth="1"/>
    <col min="2" max="2" width="18.75" style="3103" customWidth="1"/>
    <col min="3" max="5" width="14.25" style="3103" customWidth="1"/>
    <col min="6" max="6" width="11" style="3103" customWidth="1"/>
    <col min="7" max="7" width="9" style="3103"/>
    <col min="8" max="8" width="13.75" style="3103" customWidth="1"/>
    <col min="9" max="256" width="9" style="3103"/>
    <col min="257" max="257" width="14.25" style="3103" customWidth="1"/>
    <col min="258" max="258" width="18.75" style="3103" customWidth="1"/>
    <col min="259" max="261" width="14.25" style="3103" customWidth="1"/>
    <col min="262" max="262" width="11" style="3103" customWidth="1"/>
    <col min="263" max="263" width="9" style="3103"/>
    <col min="264" max="264" width="13.75" style="3103" customWidth="1"/>
    <col min="265" max="512" width="9" style="3103"/>
    <col min="513" max="513" width="14.25" style="3103" customWidth="1"/>
    <col min="514" max="514" width="18.75" style="3103" customWidth="1"/>
    <col min="515" max="517" width="14.25" style="3103" customWidth="1"/>
    <col min="518" max="518" width="11" style="3103" customWidth="1"/>
    <col min="519" max="519" width="9" style="3103"/>
    <col min="520" max="520" width="13.75" style="3103" customWidth="1"/>
    <col min="521" max="768" width="9" style="3103"/>
    <col min="769" max="769" width="14.25" style="3103" customWidth="1"/>
    <col min="770" max="770" width="18.75" style="3103" customWidth="1"/>
    <col min="771" max="773" width="14.25" style="3103" customWidth="1"/>
    <col min="774" max="774" width="11" style="3103" customWidth="1"/>
    <col min="775" max="775" width="9" style="3103"/>
    <col min="776" max="776" width="13.75" style="3103" customWidth="1"/>
    <col min="777" max="1024" width="9" style="3103"/>
    <col min="1025" max="1025" width="14.25" style="3103" customWidth="1"/>
    <col min="1026" max="1026" width="18.75" style="3103" customWidth="1"/>
    <col min="1027" max="1029" width="14.25" style="3103" customWidth="1"/>
    <col min="1030" max="1030" width="11" style="3103" customWidth="1"/>
    <col min="1031" max="1031" width="9" style="3103"/>
    <col min="1032" max="1032" width="13.75" style="3103" customWidth="1"/>
    <col min="1033" max="1280" width="9" style="3103"/>
    <col min="1281" max="1281" width="14.25" style="3103" customWidth="1"/>
    <col min="1282" max="1282" width="18.75" style="3103" customWidth="1"/>
    <col min="1283" max="1285" width="14.25" style="3103" customWidth="1"/>
    <col min="1286" max="1286" width="11" style="3103" customWidth="1"/>
    <col min="1287" max="1287" width="9" style="3103"/>
    <col min="1288" max="1288" width="13.75" style="3103" customWidth="1"/>
    <col min="1289" max="1536" width="9" style="3103"/>
    <col min="1537" max="1537" width="14.25" style="3103" customWidth="1"/>
    <col min="1538" max="1538" width="18.75" style="3103" customWidth="1"/>
    <col min="1539" max="1541" width="14.25" style="3103" customWidth="1"/>
    <col min="1542" max="1542" width="11" style="3103" customWidth="1"/>
    <col min="1543" max="1543" width="9" style="3103"/>
    <col min="1544" max="1544" width="13.75" style="3103" customWidth="1"/>
    <col min="1545" max="1792" width="9" style="3103"/>
    <col min="1793" max="1793" width="14.25" style="3103" customWidth="1"/>
    <col min="1794" max="1794" width="18.75" style="3103" customWidth="1"/>
    <col min="1795" max="1797" width="14.25" style="3103" customWidth="1"/>
    <col min="1798" max="1798" width="11" style="3103" customWidth="1"/>
    <col min="1799" max="1799" width="9" style="3103"/>
    <col min="1800" max="1800" width="13.75" style="3103" customWidth="1"/>
    <col min="1801" max="2048" width="9" style="3103"/>
    <col min="2049" max="2049" width="14.25" style="3103" customWidth="1"/>
    <col min="2050" max="2050" width="18.75" style="3103" customWidth="1"/>
    <col min="2051" max="2053" width="14.25" style="3103" customWidth="1"/>
    <col min="2054" max="2054" width="11" style="3103" customWidth="1"/>
    <col min="2055" max="2055" width="9" style="3103"/>
    <col min="2056" max="2056" width="13.75" style="3103" customWidth="1"/>
    <col min="2057" max="2304" width="9" style="3103"/>
    <col min="2305" max="2305" width="14.25" style="3103" customWidth="1"/>
    <col min="2306" max="2306" width="18.75" style="3103" customWidth="1"/>
    <col min="2307" max="2309" width="14.25" style="3103" customWidth="1"/>
    <col min="2310" max="2310" width="11" style="3103" customWidth="1"/>
    <col min="2311" max="2311" width="9" style="3103"/>
    <col min="2312" max="2312" width="13.75" style="3103" customWidth="1"/>
    <col min="2313" max="2560" width="9" style="3103"/>
    <col min="2561" max="2561" width="14.25" style="3103" customWidth="1"/>
    <col min="2562" max="2562" width="18.75" style="3103" customWidth="1"/>
    <col min="2563" max="2565" width="14.25" style="3103" customWidth="1"/>
    <col min="2566" max="2566" width="11" style="3103" customWidth="1"/>
    <col min="2567" max="2567" width="9" style="3103"/>
    <col min="2568" max="2568" width="13.75" style="3103" customWidth="1"/>
    <col min="2569" max="2816" width="9" style="3103"/>
    <col min="2817" max="2817" width="14.25" style="3103" customWidth="1"/>
    <col min="2818" max="2818" width="18.75" style="3103" customWidth="1"/>
    <col min="2819" max="2821" width="14.25" style="3103" customWidth="1"/>
    <col min="2822" max="2822" width="11" style="3103" customWidth="1"/>
    <col min="2823" max="2823" width="9" style="3103"/>
    <col min="2824" max="2824" width="13.75" style="3103" customWidth="1"/>
    <col min="2825" max="3072" width="9" style="3103"/>
    <col min="3073" max="3073" width="14.25" style="3103" customWidth="1"/>
    <col min="3074" max="3074" width="18.75" style="3103" customWidth="1"/>
    <col min="3075" max="3077" width="14.25" style="3103" customWidth="1"/>
    <col min="3078" max="3078" width="11" style="3103" customWidth="1"/>
    <col min="3079" max="3079" width="9" style="3103"/>
    <col min="3080" max="3080" width="13.75" style="3103" customWidth="1"/>
    <col min="3081" max="3328" width="9" style="3103"/>
    <col min="3329" max="3329" width="14.25" style="3103" customWidth="1"/>
    <col min="3330" max="3330" width="18.75" style="3103" customWidth="1"/>
    <col min="3331" max="3333" width="14.25" style="3103" customWidth="1"/>
    <col min="3334" max="3334" width="11" style="3103" customWidth="1"/>
    <col min="3335" max="3335" width="9" style="3103"/>
    <col min="3336" max="3336" width="13.75" style="3103" customWidth="1"/>
    <col min="3337" max="3584" width="9" style="3103"/>
    <col min="3585" max="3585" width="14.25" style="3103" customWidth="1"/>
    <col min="3586" max="3586" width="18.75" style="3103" customWidth="1"/>
    <col min="3587" max="3589" width="14.25" style="3103" customWidth="1"/>
    <col min="3590" max="3590" width="11" style="3103" customWidth="1"/>
    <col min="3591" max="3591" width="9" style="3103"/>
    <col min="3592" max="3592" width="13.75" style="3103" customWidth="1"/>
    <col min="3593" max="3840" width="9" style="3103"/>
    <col min="3841" max="3841" width="14.25" style="3103" customWidth="1"/>
    <col min="3842" max="3842" width="18.75" style="3103" customWidth="1"/>
    <col min="3843" max="3845" width="14.25" style="3103" customWidth="1"/>
    <col min="3846" max="3846" width="11" style="3103" customWidth="1"/>
    <col min="3847" max="3847" width="9" style="3103"/>
    <col min="3848" max="3848" width="13.75" style="3103" customWidth="1"/>
    <col min="3849" max="4096" width="9" style="3103"/>
    <col min="4097" max="4097" width="14.25" style="3103" customWidth="1"/>
    <col min="4098" max="4098" width="18.75" style="3103" customWidth="1"/>
    <col min="4099" max="4101" width="14.25" style="3103" customWidth="1"/>
    <col min="4102" max="4102" width="11" style="3103" customWidth="1"/>
    <col min="4103" max="4103" width="9" style="3103"/>
    <col min="4104" max="4104" width="13.75" style="3103" customWidth="1"/>
    <col min="4105" max="4352" width="9" style="3103"/>
    <col min="4353" max="4353" width="14.25" style="3103" customWidth="1"/>
    <col min="4354" max="4354" width="18.75" style="3103" customWidth="1"/>
    <col min="4355" max="4357" width="14.25" style="3103" customWidth="1"/>
    <col min="4358" max="4358" width="11" style="3103" customWidth="1"/>
    <col min="4359" max="4359" width="9" style="3103"/>
    <col min="4360" max="4360" width="13.75" style="3103" customWidth="1"/>
    <col min="4361" max="4608" width="9" style="3103"/>
    <col min="4609" max="4609" width="14.25" style="3103" customWidth="1"/>
    <col min="4610" max="4610" width="18.75" style="3103" customWidth="1"/>
    <col min="4611" max="4613" width="14.25" style="3103" customWidth="1"/>
    <col min="4614" max="4614" width="11" style="3103" customWidth="1"/>
    <col min="4615" max="4615" width="9" style="3103"/>
    <col min="4616" max="4616" width="13.75" style="3103" customWidth="1"/>
    <col min="4617" max="4864" width="9" style="3103"/>
    <col min="4865" max="4865" width="14.25" style="3103" customWidth="1"/>
    <col min="4866" max="4866" width="18.75" style="3103" customWidth="1"/>
    <col min="4867" max="4869" width="14.25" style="3103" customWidth="1"/>
    <col min="4870" max="4870" width="11" style="3103" customWidth="1"/>
    <col min="4871" max="4871" width="9" style="3103"/>
    <col min="4872" max="4872" width="13.75" style="3103" customWidth="1"/>
    <col min="4873" max="5120" width="9" style="3103"/>
    <col min="5121" max="5121" width="14.25" style="3103" customWidth="1"/>
    <col min="5122" max="5122" width="18.75" style="3103" customWidth="1"/>
    <col min="5123" max="5125" width="14.25" style="3103" customWidth="1"/>
    <col min="5126" max="5126" width="11" style="3103" customWidth="1"/>
    <col min="5127" max="5127" width="9" style="3103"/>
    <col min="5128" max="5128" width="13.75" style="3103" customWidth="1"/>
    <col min="5129" max="5376" width="9" style="3103"/>
    <col min="5377" max="5377" width="14.25" style="3103" customWidth="1"/>
    <col min="5378" max="5378" width="18.75" style="3103" customWidth="1"/>
    <col min="5379" max="5381" width="14.25" style="3103" customWidth="1"/>
    <col min="5382" max="5382" width="11" style="3103" customWidth="1"/>
    <col min="5383" max="5383" width="9" style="3103"/>
    <col min="5384" max="5384" width="13.75" style="3103" customWidth="1"/>
    <col min="5385" max="5632" width="9" style="3103"/>
    <col min="5633" max="5633" width="14.25" style="3103" customWidth="1"/>
    <col min="5634" max="5634" width="18.75" style="3103" customWidth="1"/>
    <col min="5635" max="5637" width="14.25" style="3103" customWidth="1"/>
    <col min="5638" max="5638" width="11" style="3103" customWidth="1"/>
    <col min="5639" max="5639" width="9" style="3103"/>
    <col min="5640" max="5640" width="13.75" style="3103" customWidth="1"/>
    <col min="5641" max="5888" width="9" style="3103"/>
    <col min="5889" max="5889" width="14.25" style="3103" customWidth="1"/>
    <col min="5890" max="5890" width="18.75" style="3103" customWidth="1"/>
    <col min="5891" max="5893" width="14.25" style="3103" customWidth="1"/>
    <col min="5894" max="5894" width="11" style="3103" customWidth="1"/>
    <col min="5895" max="5895" width="9" style="3103"/>
    <col min="5896" max="5896" width="13.75" style="3103" customWidth="1"/>
    <col min="5897" max="6144" width="9" style="3103"/>
    <col min="6145" max="6145" width="14.25" style="3103" customWidth="1"/>
    <col min="6146" max="6146" width="18.75" style="3103" customWidth="1"/>
    <col min="6147" max="6149" width="14.25" style="3103" customWidth="1"/>
    <col min="6150" max="6150" width="11" style="3103" customWidth="1"/>
    <col min="6151" max="6151" width="9" style="3103"/>
    <col min="6152" max="6152" width="13.75" style="3103" customWidth="1"/>
    <col min="6153" max="6400" width="9" style="3103"/>
    <col min="6401" max="6401" width="14.25" style="3103" customWidth="1"/>
    <col min="6402" max="6402" width="18.75" style="3103" customWidth="1"/>
    <col min="6403" max="6405" width="14.25" style="3103" customWidth="1"/>
    <col min="6406" max="6406" width="11" style="3103" customWidth="1"/>
    <col min="6407" max="6407" width="9" style="3103"/>
    <col min="6408" max="6408" width="13.75" style="3103" customWidth="1"/>
    <col min="6409" max="6656" width="9" style="3103"/>
    <col min="6657" max="6657" width="14.25" style="3103" customWidth="1"/>
    <col min="6658" max="6658" width="18.75" style="3103" customWidth="1"/>
    <col min="6659" max="6661" width="14.25" style="3103" customWidth="1"/>
    <col min="6662" max="6662" width="11" style="3103" customWidth="1"/>
    <col min="6663" max="6663" width="9" style="3103"/>
    <col min="6664" max="6664" width="13.75" style="3103" customWidth="1"/>
    <col min="6665" max="6912" width="9" style="3103"/>
    <col min="6913" max="6913" width="14.25" style="3103" customWidth="1"/>
    <col min="6914" max="6914" width="18.75" style="3103" customWidth="1"/>
    <col min="6915" max="6917" width="14.25" style="3103" customWidth="1"/>
    <col min="6918" max="6918" width="11" style="3103" customWidth="1"/>
    <col min="6919" max="6919" width="9" style="3103"/>
    <col min="6920" max="6920" width="13.75" style="3103" customWidth="1"/>
    <col min="6921" max="7168" width="9" style="3103"/>
    <col min="7169" max="7169" width="14.25" style="3103" customWidth="1"/>
    <col min="7170" max="7170" width="18.75" style="3103" customWidth="1"/>
    <col min="7171" max="7173" width="14.25" style="3103" customWidth="1"/>
    <col min="7174" max="7174" width="11" style="3103" customWidth="1"/>
    <col min="7175" max="7175" width="9" style="3103"/>
    <col min="7176" max="7176" width="13.75" style="3103" customWidth="1"/>
    <col min="7177" max="7424" width="9" style="3103"/>
    <col min="7425" max="7425" width="14.25" style="3103" customWidth="1"/>
    <col min="7426" max="7426" width="18.75" style="3103" customWidth="1"/>
    <col min="7427" max="7429" width="14.25" style="3103" customWidth="1"/>
    <col min="7430" max="7430" width="11" style="3103" customWidth="1"/>
    <col min="7431" max="7431" width="9" style="3103"/>
    <col min="7432" max="7432" width="13.75" style="3103" customWidth="1"/>
    <col min="7433" max="7680" width="9" style="3103"/>
    <col min="7681" max="7681" width="14.25" style="3103" customWidth="1"/>
    <col min="7682" max="7682" width="18.75" style="3103" customWidth="1"/>
    <col min="7683" max="7685" width="14.25" style="3103" customWidth="1"/>
    <col min="7686" max="7686" width="11" style="3103" customWidth="1"/>
    <col min="7687" max="7687" width="9" style="3103"/>
    <col min="7688" max="7688" width="13.75" style="3103" customWidth="1"/>
    <col min="7689" max="7936" width="9" style="3103"/>
    <col min="7937" max="7937" width="14.25" style="3103" customWidth="1"/>
    <col min="7938" max="7938" width="18.75" style="3103" customWidth="1"/>
    <col min="7939" max="7941" width="14.25" style="3103" customWidth="1"/>
    <col min="7942" max="7942" width="11" style="3103" customWidth="1"/>
    <col min="7943" max="7943" width="9" style="3103"/>
    <col min="7944" max="7944" width="13.75" style="3103" customWidth="1"/>
    <col min="7945" max="8192" width="9" style="3103"/>
    <col min="8193" max="8193" width="14.25" style="3103" customWidth="1"/>
    <col min="8194" max="8194" width="18.75" style="3103" customWidth="1"/>
    <col min="8195" max="8197" width="14.25" style="3103" customWidth="1"/>
    <col min="8198" max="8198" width="11" style="3103" customWidth="1"/>
    <col min="8199" max="8199" width="9" style="3103"/>
    <col min="8200" max="8200" width="13.75" style="3103" customWidth="1"/>
    <col min="8201" max="8448" width="9" style="3103"/>
    <col min="8449" max="8449" width="14.25" style="3103" customWidth="1"/>
    <col min="8450" max="8450" width="18.75" style="3103" customWidth="1"/>
    <col min="8451" max="8453" width="14.25" style="3103" customWidth="1"/>
    <col min="8454" max="8454" width="11" style="3103" customWidth="1"/>
    <col min="8455" max="8455" width="9" style="3103"/>
    <col min="8456" max="8456" width="13.75" style="3103" customWidth="1"/>
    <col min="8457" max="8704" width="9" style="3103"/>
    <col min="8705" max="8705" width="14.25" style="3103" customWidth="1"/>
    <col min="8706" max="8706" width="18.75" style="3103" customWidth="1"/>
    <col min="8707" max="8709" width="14.25" style="3103" customWidth="1"/>
    <col min="8710" max="8710" width="11" style="3103" customWidth="1"/>
    <col min="8711" max="8711" width="9" style="3103"/>
    <col min="8712" max="8712" width="13.75" style="3103" customWidth="1"/>
    <col min="8713" max="8960" width="9" style="3103"/>
    <col min="8961" max="8961" width="14.25" style="3103" customWidth="1"/>
    <col min="8962" max="8962" width="18.75" style="3103" customWidth="1"/>
    <col min="8963" max="8965" width="14.25" style="3103" customWidth="1"/>
    <col min="8966" max="8966" width="11" style="3103" customWidth="1"/>
    <col min="8967" max="8967" width="9" style="3103"/>
    <col min="8968" max="8968" width="13.75" style="3103" customWidth="1"/>
    <col min="8969" max="9216" width="9" style="3103"/>
    <col min="9217" max="9217" width="14.25" style="3103" customWidth="1"/>
    <col min="9218" max="9218" width="18.75" style="3103" customWidth="1"/>
    <col min="9219" max="9221" width="14.25" style="3103" customWidth="1"/>
    <col min="9222" max="9222" width="11" style="3103" customWidth="1"/>
    <col min="9223" max="9223" width="9" style="3103"/>
    <col min="9224" max="9224" width="13.75" style="3103" customWidth="1"/>
    <col min="9225" max="9472" width="9" style="3103"/>
    <col min="9473" max="9473" width="14.25" style="3103" customWidth="1"/>
    <col min="9474" max="9474" width="18.75" style="3103" customWidth="1"/>
    <col min="9475" max="9477" width="14.25" style="3103" customWidth="1"/>
    <col min="9478" max="9478" width="11" style="3103" customWidth="1"/>
    <col min="9479" max="9479" width="9" style="3103"/>
    <col min="9480" max="9480" width="13.75" style="3103" customWidth="1"/>
    <col min="9481" max="9728" width="9" style="3103"/>
    <col min="9729" max="9729" width="14.25" style="3103" customWidth="1"/>
    <col min="9730" max="9730" width="18.75" style="3103" customWidth="1"/>
    <col min="9731" max="9733" width="14.25" style="3103" customWidth="1"/>
    <col min="9734" max="9734" width="11" style="3103" customWidth="1"/>
    <col min="9735" max="9735" width="9" style="3103"/>
    <col min="9736" max="9736" width="13.75" style="3103" customWidth="1"/>
    <col min="9737" max="9984" width="9" style="3103"/>
    <col min="9985" max="9985" width="14.25" style="3103" customWidth="1"/>
    <col min="9986" max="9986" width="18.75" style="3103" customWidth="1"/>
    <col min="9987" max="9989" width="14.25" style="3103" customWidth="1"/>
    <col min="9990" max="9990" width="11" style="3103" customWidth="1"/>
    <col min="9991" max="9991" width="9" style="3103"/>
    <col min="9992" max="9992" width="13.75" style="3103" customWidth="1"/>
    <col min="9993" max="10240" width="9" style="3103"/>
    <col min="10241" max="10241" width="14.25" style="3103" customWidth="1"/>
    <col min="10242" max="10242" width="18.75" style="3103" customWidth="1"/>
    <col min="10243" max="10245" width="14.25" style="3103" customWidth="1"/>
    <col min="10246" max="10246" width="11" style="3103" customWidth="1"/>
    <col min="10247" max="10247" width="9" style="3103"/>
    <col min="10248" max="10248" width="13.75" style="3103" customWidth="1"/>
    <col min="10249" max="10496" width="9" style="3103"/>
    <col min="10497" max="10497" width="14.25" style="3103" customWidth="1"/>
    <col min="10498" max="10498" width="18.75" style="3103" customWidth="1"/>
    <col min="10499" max="10501" width="14.25" style="3103" customWidth="1"/>
    <col min="10502" max="10502" width="11" style="3103" customWidth="1"/>
    <col min="10503" max="10503" width="9" style="3103"/>
    <col min="10504" max="10504" width="13.75" style="3103" customWidth="1"/>
    <col min="10505" max="10752" width="9" style="3103"/>
    <col min="10753" max="10753" width="14.25" style="3103" customWidth="1"/>
    <col min="10754" max="10754" width="18.75" style="3103" customWidth="1"/>
    <col min="10755" max="10757" width="14.25" style="3103" customWidth="1"/>
    <col min="10758" max="10758" width="11" style="3103" customWidth="1"/>
    <col min="10759" max="10759" width="9" style="3103"/>
    <col min="10760" max="10760" width="13.75" style="3103" customWidth="1"/>
    <col min="10761" max="11008" width="9" style="3103"/>
    <col min="11009" max="11009" width="14.25" style="3103" customWidth="1"/>
    <col min="11010" max="11010" width="18.75" style="3103" customWidth="1"/>
    <col min="11011" max="11013" width="14.25" style="3103" customWidth="1"/>
    <col min="11014" max="11014" width="11" style="3103" customWidth="1"/>
    <col min="11015" max="11015" width="9" style="3103"/>
    <col min="11016" max="11016" width="13.75" style="3103" customWidth="1"/>
    <col min="11017" max="11264" width="9" style="3103"/>
    <col min="11265" max="11265" width="14.25" style="3103" customWidth="1"/>
    <col min="11266" max="11266" width="18.75" style="3103" customWidth="1"/>
    <col min="11267" max="11269" width="14.25" style="3103" customWidth="1"/>
    <col min="11270" max="11270" width="11" style="3103" customWidth="1"/>
    <col min="11271" max="11271" width="9" style="3103"/>
    <col min="11272" max="11272" width="13.75" style="3103" customWidth="1"/>
    <col min="11273" max="11520" width="9" style="3103"/>
    <col min="11521" max="11521" width="14.25" style="3103" customWidth="1"/>
    <col min="11522" max="11522" width="18.75" style="3103" customWidth="1"/>
    <col min="11523" max="11525" width="14.25" style="3103" customWidth="1"/>
    <col min="11526" max="11526" width="11" style="3103" customWidth="1"/>
    <col min="11527" max="11527" width="9" style="3103"/>
    <col min="11528" max="11528" width="13.75" style="3103" customWidth="1"/>
    <col min="11529" max="11776" width="9" style="3103"/>
    <col min="11777" max="11777" width="14.25" style="3103" customWidth="1"/>
    <col min="11778" max="11778" width="18.75" style="3103" customWidth="1"/>
    <col min="11779" max="11781" width="14.25" style="3103" customWidth="1"/>
    <col min="11782" max="11782" width="11" style="3103" customWidth="1"/>
    <col min="11783" max="11783" width="9" style="3103"/>
    <col min="11784" max="11784" width="13.75" style="3103" customWidth="1"/>
    <col min="11785" max="12032" width="9" style="3103"/>
    <col min="12033" max="12033" width="14.25" style="3103" customWidth="1"/>
    <col min="12034" max="12034" width="18.75" style="3103" customWidth="1"/>
    <col min="12035" max="12037" width="14.25" style="3103" customWidth="1"/>
    <col min="12038" max="12038" width="11" style="3103" customWidth="1"/>
    <col min="12039" max="12039" width="9" style="3103"/>
    <col min="12040" max="12040" width="13.75" style="3103" customWidth="1"/>
    <col min="12041" max="12288" width="9" style="3103"/>
    <col min="12289" max="12289" width="14.25" style="3103" customWidth="1"/>
    <col min="12290" max="12290" width="18.75" style="3103" customWidth="1"/>
    <col min="12291" max="12293" width="14.25" style="3103" customWidth="1"/>
    <col min="12294" max="12294" width="11" style="3103" customWidth="1"/>
    <col min="12295" max="12295" width="9" style="3103"/>
    <col min="12296" max="12296" width="13.75" style="3103" customWidth="1"/>
    <col min="12297" max="12544" width="9" style="3103"/>
    <col min="12545" max="12545" width="14.25" style="3103" customWidth="1"/>
    <col min="12546" max="12546" width="18.75" style="3103" customWidth="1"/>
    <col min="12547" max="12549" width="14.25" style="3103" customWidth="1"/>
    <col min="12550" max="12550" width="11" style="3103" customWidth="1"/>
    <col min="12551" max="12551" width="9" style="3103"/>
    <col min="12552" max="12552" width="13.75" style="3103" customWidth="1"/>
    <col min="12553" max="12800" width="9" style="3103"/>
    <col min="12801" max="12801" width="14.25" style="3103" customWidth="1"/>
    <col min="12802" max="12802" width="18.75" style="3103" customWidth="1"/>
    <col min="12803" max="12805" width="14.25" style="3103" customWidth="1"/>
    <col min="12806" max="12806" width="11" style="3103" customWidth="1"/>
    <col min="12807" max="12807" width="9" style="3103"/>
    <col min="12808" max="12808" width="13.75" style="3103" customWidth="1"/>
    <col min="12809" max="13056" width="9" style="3103"/>
    <col min="13057" max="13057" width="14.25" style="3103" customWidth="1"/>
    <col min="13058" max="13058" width="18.75" style="3103" customWidth="1"/>
    <col min="13059" max="13061" width="14.25" style="3103" customWidth="1"/>
    <col min="13062" max="13062" width="11" style="3103" customWidth="1"/>
    <col min="13063" max="13063" width="9" style="3103"/>
    <col min="13064" max="13064" width="13.75" style="3103" customWidth="1"/>
    <col min="13065" max="13312" width="9" style="3103"/>
    <col min="13313" max="13313" width="14.25" style="3103" customWidth="1"/>
    <col min="13314" max="13314" width="18.75" style="3103" customWidth="1"/>
    <col min="13315" max="13317" width="14.25" style="3103" customWidth="1"/>
    <col min="13318" max="13318" width="11" style="3103" customWidth="1"/>
    <col min="13319" max="13319" width="9" style="3103"/>
    <col min="13320" max="13320" width="13.75" style="3103" customWidth="1"/>
    <col min="13321" max="13568" width="9" style="3103"/>
    <col min="13569" max="13569" width="14.25" style="3103" customWidth="1"/>
    <col min="13570" max="13570" width="18.75" style="3103" customWidth="1"/>
    <col min="13571" max="13573" width="14.25" style="3103" customWidth="1"/>
    <col min="13574" max="13574" width="11" style="3103" customWidth="1"/>
    <col min="13575" max="13575" width="9" style="3103"/>
    <col min="13576" max="13576" width="13.75" style="3103" customWidth="1"/>
    <col min="13577" max="13824" width="9" style="3103"/>
    <col min="13825" max="13825" width="14.25" style="3103" customWidth="1"/>
    <col min="13826" max="13826" width="18.75" style="3103" customWidth="1"/>
    <col min="13827" max="13829" width="14.25" style="3103" customWidth="1"/>
    <col min="13830" max="13830" width="11" style="3103" customWidth="1"/>
    <col min="13831" max="13831" width="9" style="3103"/>
    <col min="13832" max="13832" width="13.75" style="3103" customWidth="1"/>
    <col min="13833" max="14080" width="9" style="3103"/>
    <col min="14081" max="14081" width="14.25" style="3103" customWidth="1"/>
    <col min="14082" max="14082" width="18.75" style="3103" customWidth="1"/>
    <col min="14083" max="14085" width="14.25" style="3103" customWidth="1"/>
    <col min="14086" max="14086" width="11" style="3103" customWidth="1"/>
    <col min="14087" max="14087" width="9" style="3103"/>
    <col min="14088" max="14088" width="13.75" style="3103" customWidth="1"/>
    <col min="14089" max="14336" width="9" style="3103"/>
    <col min="14337" max="14337" width="14.25" style="3103" customWidth="1"/>
    <col min="14338" max="14338" width="18.75" style="3103" customWidth="1"/>
    <col min="14339" max="14341" width="14.25" style="3103" customWidth="1"/>
    <col min="14342" max="14342" width="11" style="3103" customWidth="1"/>
    <col min="14343" max="14343" width="9" style="3103"/>
    <col min="14344" max="14344" width="13.75" style="3103" customWidth="1"/>
    <col min="14345" max="14592" width="9" style="3103"/>
    <col min="14593" max="14593" width="14.25" style="3103" customWidth="1"/>
    <col min="14594" max="14594" width="18.75" style="3103" customWidth="1"/>
    <col min="14595" max="14597" width="14.25" style="3103" customWidth="1"/>
    <col min="14598" max="14598" width="11" style="3103" customWidth="1"/>
    <col min="14599" max="14599" width="9" style="3103"/>
    <col min="14600" max="14600" width="13.75" style="3103" customWidth="1"/>
    <col min="14601" max="14848" width="9" style="3103"/>
    <col min="14849" max="14849" width="14.25" style="3103" customWidth="1"/>
    <col min="14850" max="14850" width="18.75" style="3103" customWidth="1"/>
    <col min="14851" max="14853" width="14.25" style="3103" customWidth="1"/>
    <col min="14854" max="14854" width="11" style="3103" customWidth="1"/>
    <col min="14855" max="14855" width="9" style="3103"/>
    <col min="14856" max="14856" width="13.75" style="3103" customWidth="1"/>
    <col min="14857" max="15104" width="9" style="3103"/>
    <col min="15105" max="15105" width="14.25" style="3103" customWidth="1"/>
    <col min="15106" max="15106" width="18.75" style="3103" customWidth="1"/>
    <col min="15107" max="15109" width="14.25" style="3103" customWidth="1"/>
    <col min="15110" max="15110" width="11" style="3103" customWidth="1"/>
    <col min="15111" max="15111" width="9" style="3103"/>
    <col min="15112" max="15112" width="13.75" style="3103" customWidth="1"/>
    <col min="15113" max="15360" width="9" style="3103"/>
    <col min="15361" max="15361" width="14.25" style="3103" customWidth="1"/>
    <col min="15362" max="15362" width="18.75" style="3103" customWidth="1"/>
    <col min="15363" max="15365" width="14.25" style="3103" customWidth="1"/>
    <col min="15366" max="15366" width="11" style="3103" customWidth="1"/>
    <col min="15367" max="15367" width="9" style="3103"/>
    <col min="15368" max="15368" width="13.75" style="3103" customWidth="1"/>
    <col min="15369" max="15616" width="9" style="3103"/>
    <col min="15617" max="15617" width="14.25" style="3103" customWidth="1"/>
    <col min="15618" max="15618" width="18.75" style="3103" customWidth="1"/>
    <col min="15619" max="15621" width="14.25" style="3103" customWidth="1"/>
    <col min="15622" max="15622" width="11" style="3103" customWidth="1"/>
    <col min="15623" max="15623" width="9" style="3103"/>
    <col min="15624" max="15624" width="13.75" style="3103" customWidth="1"/>
    <col min="15625" max="15872" width="9" style="3103"/>
    <col min="15873" max="15873" width="14.25" style="3103" customWidth="1"/>
    <col min="15874" max="15874" width="18.75" style="3103" customWidth="1"/>
    <col min="15875" max="15877" width="14.25" style="3103" customWidth="1"/>
    <col min="15878" max="15878" width="11" style="3103" customWidth="1"/>
    <col min="15879" max="15879" width="9" style="3103"/>
    <col min="15880" max="15880" width="13.75" style="3103" customWidth="1"/>
    <col min="15881" max="16128" width="9" style="3103"/>
    <col min="16129" max="16129" width="14.25" style="3103" customWidth="1"/>
    <col min="16130" max="16130" width="18.75" style="3103" customWidth="1"/>
    <col min="16131" max="16133" width="14.25" style="3103" customWidth="1"/>
    <col min="16134" max="16134" width="11" style="3103" customWidth="1"/>
    <col min="16135" max="16135" width="9" style="3103"/>
    <col min="16136" max="16136" width="13.75" style="3103" customWidth="1"/>
    <col min="16137" max="16384" width="9" style="3103"/>
  </cols>
  <sheetData>
    <row r="1" spans="1:6" ht="20.25" customHeight="1" thickBot="1">
      <c r="A1" s="3101" t="s">
        <v>3292</v>
      </c>
      <c r="B1" s="3102">
        <v>43385</v>
      </c>
    </row>
    <row r="2" spans="1:6" ht="33" customHeight="1">
      <c r="A2" s="3104" t="s">
        <v>3293</v>
      </c>
      <c r="B2" s="3105" t="s">
        <v>3294</v>
      </c>
      <c r="C2" s="3106" t="s">
        <v>3295</v>
      </c>
      <c r="D2" s="3105" t="s">
        <v>3296</v>
      </c>
      <c r="E2" s="3107" t="s">
        <v>3297</v>
      </c>
    </row>
    <row r="3" spans="1:6" ht="20.25" customHeight="1">
      <c r="A3" s="3108">
        <v>40</v>
      </c>
      <c r="B3" s="3109">
        <v>45523</v>
      </c>
      <c r="C3" s="3110">
        <f>ROUNDDOWN(MIN((B3-$B$1)/365,A3),2)</f>
        <v>5.85</v>
      </c>
      <c r="D3" s="3111">
        <f>IF(ISERROR(ROUND(POWER(1+E3,A3-C3)*(POWER(1+E3,C3)-1)/(POWER(1+E3,A3)-1),3)),0,ROUND(POWER(1+E3,A3-C3)*(POWER(1+E3,C3)-1)/(POWER(1+E3,A3)-1),3))</f>
        <v>0.25900000000000001</v>
      </c>
      <c r="E3" s="3112">
        <v>0.04</v>
      </c>
    </row>
    <row r="4" spans="1:6" ht="20.25" customHeight="1">
      <c r="A4" s="3108">
        <v>50</v>
      </c>
      <c r="B4" s="3109">
        <v>50028</v>
      </c>
      <c r="C4" s="3110">
        <f>ROUNDDOWN(MIN((B4-$B$1)/365,A4),2)</f>
        <v>18.2</v>
      </c>
      <c r="D4" s="3111">
        <f>IF(ISERROR(ROUND(POWER(1+E4,A4-C4)*(POWER(1+E4,C4)-1)/(POWER(1+E4,A4)-1),3)),0,ROUND(POWER(1+E4,A4-C4)*(POWER(1+E4,C4)-1)/(POWER(1+E4,A4)-1),3))</f>
        <v>0.59399999999999997</v>
      </c>
      <c r="E4" s="3112">
        <v>0.04</v>
      </c>
    </row>
    <row r="5" spans="1:6" ht="20.25" customHeight="1" thickBot="1">
      <c r="A5" s="3113">
        <v>70</v>
      </c>
      <c r="B5" s="3114">
        <v>57333</v>
      </c>
      <c r="C5" s="3115">
        <f>ROUNDDOWN(MIN((B5-$B$1)/365,A5),2)</f>
        <v>38.21</v>
      </c>
      <c r="D5" s="3116">
        <f>IF(ISERROR(ROUND(POWER(1+E5,A5-C5)*(POWER(1+E5,C5)-1)/(POWER(1+E5,A5)-1),3)),0,ROUND(POWER(1+E5,A5-C5)*(POWER(1+E5,C5)-1)/(POWER(1+E5,A5)-1),3))</f>
        <v>0.83</v>
      </c>
      <c r="E5" s="3117">
        <v>0.04</v>
      </c>
    </row>
    <row r="6" spans="1:6" ht="20.25" customHeight="1" thickBot="1"/>
    <row r="7" spans="1:6" s="3120" customFormat="1" ht="20.25" customHeight="1" thickBot="1">
      <c r="A7" s="3118" t="s">
        <v>3298</v>
      </c>
      <c r="B7" s="3119"/>
    </row>
    <row r="8" spans="1:6" ht="20.25" customHeight="1" thickBot="1">
      <c r="A8" s="3508" t="s">
        <v>3299</v>
      </c>
      <c r="B8" s="3509"/>
      <c r="C8" s="3121"/>
      <c r="D8" s="3122" t="s">
        <v>3297</v>
      </c>
      <c r="E8" s="3121"/>
      <c r="F8" s="3123" t="s">
        <v>3296</v>
      </c>
    </row>
    <row r="9" spans="1:6" ht="20.25" customHeight="1">
      <c r="A9" s="3124" t="s">
        <v>3300</v>
      </c>
      <c r="B9" s="3125">
        <v>70</v>
      </c>
      <c r="C9" s="3126" t="s">
        <v>3301</v>
      </c>
      <c r="D9" s="3127">
        <v>4.4999999999999998E-2</v>
      </c>
      <c r="E9" s="3126" t="s">
        <v>3302</v>
      </c>
      <c r="F9" s="3128">
        <f>1-(1/(POWER(1+D9,B9)))</f>
        <v>0.95409503414356267</v>
      </c>
    </row>
    <row r="10" spans="1:6" ht="20.25" customHeight="1" thickBot="1">
      <c r="A10" s="3129" t="s">
        <v>3303</v>
      </c>
      <c r="B10" s="3130">
        <v>40</v>
      </c>
      <c r="C10" s="3131" t="s">
        <v>3304</v>
      </c>
      <c r="D10" s="3132">
        <v>4.4999999999999998E-2</v>
      </c>
      <c r="E10" s="3131" t="s">
        <v>3305</v>
      </c>
      <c r="F10" s="3133">
        <f>1-(1/(POWER(1+D10,B10)))</f>
        <v>0.8280712989125899</v>
      </c>
    </row>
    <row r="11" spans="1:6" ht="20.25" customHeight="1" thickBot="1">
      <c r="A11" s="3134" t="s">
        <v>3306</v>
      </c>
      <c r="B11" s="3135"/>
      <c r="C11" s="3135"/>
      <c r="D11" s="3135"/>
      <c r="E11" s="3135"/>
      <c r="F11" s="3135"/>
    </row>
    <row r="12" spans="1:6" ht="20.25" customHeight="1">
      <c r="A12" s="3124" t="s">
        <v>3307</v>
      </c>
      <c r="B12" s="3136">
        <v>5000</v>
      </c>
      <c r="E12" s="3137"/>
      <c r="F12" s="3137"/>
    </row>
    <row r="13" spans="1:6" ht="20.25" customHeight="1" thickBot="1">
      <c r="A13" s="3129" t="s">
        <v>3308</v>
      </c>
      <c r="B13" s="3138">
        <f>ROUND(B12*F10/F9,2)</f>
        <v>4339.5600000000004</v>
      </c>
      <c r="C13" s="3139">
        <f>ROUND(F10/F9,4)</f>
        <v>0.8679</v>
      </c>
      <c r="E13" s="3137"/>
      <c r="F13" s="3137"/>
    </row>
    <row r="14" spans="1:6" ht="20.25" customHeight="1" thickBot="1">
      <c r="A14" s="3134" t="s">
        <v>3309</v>
      </c>
      <c r="B14" s="3140"/>
      <c r="C14" s="3137"/>
    </row>
    <row r="15" spans="1:6" ht="20.25" customHeight="1">
      <c r="A15" s="3126" t="s">
        <v>3310</v>
      </c>
      <c r="B15" s="3141">
        <v>4810</v>
      </c>
      <c r="C15" s="3137"/>
    </row>
    <row r="16" spans="1:6" ht="20.25" customHeight="1" thickBot="1">
      <c r="A16" s="3131" t="s">
        <v>3311</v>
      </c>
      <c r="B16" s="3142">
        <f>ROUND(B15*F9/F10,2)</f>
        <v>5542.03</v>
      </c>
      <c r="C16" s="3139">
        <f>ROUND(F9/F10,4)</f>
        <v>1.1521999999999999</v>
      </c>
    </row>
    <row r="17" spans="3:3" ht="20.25" customHeight="1">
      <c r="C17" s="313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估价对象为北京市房地产，为所有。根据《国有土地使用证》[]，估价对象（分摊）出让国有建设用地使用权面积为0平方米，建筑面积为191.05平方米。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估价对象为北京市房地产,属开发建设的办公项目，该项目尚在开发建设中。根据《国有土地使用证》[]，估价对象（分摊）出让国有建设用地使用权面积为0平方米，规划建筑面积为191.05平方米。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2018年11月1日（评估专业人员实地查勘之日）</v>
      </c>
    </row>
    <row r="13" spans="1:2" s="1595" customFormat="1">
      <c r="A13" s="1593" t="s">
        <v>1227</v>
      </c>
      <c r="B13" s="1594"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822</v>
      </c>
    </row>
    <row r="21" spans="1:2" s="1595" customFormat="1">
      <c r="A21" s="1593" t="s">
        <v>1235</v>
      </c>
      <c r="B21" s="1594">
        <f ca="1">'预评函-2'!D7</f>
        <v>43016</v>
      </c>
    </row>
    <row r="22" spans="1:2" s="1595" customFormat="1">
      <c r="A22" s="1593" t="s">
        <v>1236</v>
      </c>
      <c r="B22" s="1594" t="str">
        <f ca="1">'预评函-2'!D6</f>
        <v>捌佰贰拾贰万元整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822</v>
      </c>
    </row>
    <row r="31" spans="1:2" s="1595" customFormat="1">
      <c r="A31" s="1593" t="s">
        <v>1274</v>
      </c>
      <c r="B31" s="1594">
        <f ca="1">'预评函-2'!D15</f>
        <v>43025</v>
      </c>
    </row>
    <row r="32" spans="1:2" s="1595" customFormat="1">
      <c r="A32" s="1593" t="s">
        <v>1241</v>
      </c>
      <c r="B32" s="1594" t="str">
        <f ca="1">'预评函-2'!D14</f>
        <v>捌佰贰拾贰万元整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191.05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89" t="s">
        <v>1669</v>
      </c>
      <c r="B15" s="3184" t="s">
        <v>136</v>
      </c>
      <c r="C15" s="3185"/>
    </row>
    <row r="16" spans="1:7" ht="13.5">
      <c r="A16" s="3190"/>
      <c r="B16" s="3184" t="s">
        <v>69</v>
      </c>
      <c r="C16" s="3185"/>
    </row>
    <row r="17" spans="1:3" ht="13.5">
      <c r="A17" s="3190"/>
      <c r="B17" s="3187" t="s">
        <v>1670</v>
      </c>
      <c r="C17" s="2002" t="s">
        <v>1669</v>
      </c>
    </row>
    <row r="18" spans="1:3" ht="13.5">
      <c r="A18" s="3190"/>
      <c r="B18" s="3187"/>
      <c r="C18" s="2002" t="s">
        <v>1671</v>
      </c>
    </row>
    <row r="19" spans="1:3" ht="13.5">
      <c r="A19" s="3190"/>
      <c r="B19" s="3187"/>
      <c r="C19" s="2002" t="s">
        <v>1672</v>
      </c>
    </row>
    <row r="20" spans="1:3" ht="13.5">
      <c r="A20" s="3191"/>
      <c r="B20" s="3186" t="s">
        <v>1673</v>
      </c>
      <c r="C20" s="3185"/>
    </row>
    <row r="21" spans="1:3" ht="13.5">
      <c r="A21" s="2003" t="s">
        <v>1674</v>
      </c>
      <c r="B21" s="2004"/>
      <c r="C21" s="2005"/>
    </row>
    <row r="22" spans="1:3" ht="13.5">
      <c r="A22" s="3188" t="s">
        <v>1675</v>
      </c>
      <c r="B22" s="3186" t="s">
        <v>1676</v>
      </c>
      <c r="C22" s="3185"/>
    </row>
    <row r="23" spans="1:3" ht="13.5">
      <c r="A23" s="3188"/>
      <c r="B23" s="3186" t="s">
        <v>1677</v>
      </c>
      <c r="C23" s="3185"/>
    </row>
    <row r="24" spans="1:3" ht="13.5">
      <c r="A24" s="3188"/>
      <c r="B24" s="3186" t="s">
        <v>1678</v>
      </c>
      <c r="C24" s="3185"/>
    </row>
    <row r="25" spans="1:3" ht="13.5">
      <c r="A25" s="3188"/>
      <c r="B25" s="3187" t="s">
        <v>1679</v>
      </c>
      <c r="C25" s="2002" t="s">
        <v>1680</v>
      </c>
    </row>
    <row r="26" spans="1:3" ht="13.5">
      <c r="A26" s="3188"/>
      <c r="B26" s="3187"/>
      <c r="C26" s="2002" t="s">
        <v>1681</v>
      </c>
    </row>
    <row r="27" spans="1:3" ht="13.5">
      <c r="A27" s="3188"/>
      <c r="B27" s="3187"/>
      <c r="C27" s="2002" t="s">
        <v>1682</v>
      </c>
    </row>
    <row r="28" spans="1:3" ht="13.5">
      <c r="A28" s="3188"/>
      <c r="B28" s="3187"/>
      <c r="C28" s="2002" t="s">
        <v>1683</v>
      </c>
    </row>
    <row r="29" spans="1:3" ht="13.5">
      <c r="A29" s="3188"/>
      <c r="B29" s="3187"/>
      <c r="C29" s="2002" t="s">
        <v>1684</v>
      </c>
    </row>
    <row r="30" spans="1:3" ht="13.5">
      <c r="A30" s="3188"/>
      <c r="B30" s="3187"/>
      <c r="C30" s="2002" t="s">
        <v>1685</v>
      </c>
    </row>
    <row r="31" spans="1:3" ht="13.5">
      <c r="A31" s="3188"/>
      <c r="B31" s="3187"/>
      <c r="C31" s="2002" t="s">
        <v>1686</v>
      </c>
    </row>
    <row r="32" spans="1:3" ht="13.5">
      <c r="A32" s="3188"/>
      <c r="B32" s="3187"/>
      <c r="C32" s="2002" t="s">
        <v>1687</v>
      </c>
    </row>
    <row r="33" spans="1:3" ht="13.5">
      <c r="A33" s="3188"/>
      <c r="B33" s="318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92" t="str">
        <f>项目基本情况!B1</f>
        <v>北京市房地产抵押价值预评估</v>
      </c>
      <c r="C37" s="3192"/>
      <c r="D37" s="3192"/>
      <c r="E37" s="3192"/>
      <c r="F37" s="3192"/>
      <c r="G37" s="3192"/>
      <c r="H37" s="3192"/>
      <c r="I37" s="319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43433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3047</v>
      </c>
      <c r="B12" s="1024">
        <v>1120110054</v>
      </c>
      <c r="C12" s="2945">
        <v>43937</v>
      </c>
      <c r="D12" s="1704" t="s">
        <v>3047</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93" t="s">
        <v>846</v>
      </c>
      <c r="B25" s="3193"/>
      <c r="C25" s="3193"/>
      <c r="D25" s="3193"/>
      <c r="E25" s="3193"/>
      <c r="F25" s="3193"/>
      <c r="G25" s="3193"/>
    </row>
    <row r="26" spans="1:7" s="1027" customFormat="1" ht="24" customHeight="1">
      <c r="A26" s="3194" t="s">
        <v>847</v>
      </c>
      <c r="B26" s="3194"/>
      <c r="C26" s="3195"/>
      <c r="D26" s="3196" t="s">
        <v>848</v>
      </c>
      <c r="E26" s="3194"/>
      <c r="F26" s="3194"/>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170</vt:i4>
      </vt:variant>
    </vt:vector>
  </HeadingPairs>
  <TitlesOfParts>
    <vt:vector size="226"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结果表 (商业无租约）</vt:lpstr>
      <vt:lpstr>结果表 (商业有租约)</vt:lpstr>
      <vt:lpstr>比较法-办公</vt:lpstr>
      <vt:lpstr>比较法-办公 (租金)</vt:lpstr>
      <vt:lpstr>收益法（汇总）</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比较法-商业（有租约）</vt:lpstr>
      <vt:lpstr>收益法 (办公)</vt:lpstr>
      <vt:lpstr>收益法 (商业无租约)</vt:lpstr>
      <vt:lpstr>收益法 (商业有租约) </vt:lpstr>
      <vt:lpstr>典型户型修正（办公）</vt:lpstr>
      <vt:lpstr>成本法（废）</vt:lpstr>
      <vt:lpstr>区片价</vt:lpstr>
      <vt:lpstr>因素修正幅度</vt:lpstr>
      <vt:lpstr>存贷款利率</vt:lpstr>
      <vt:lpstr>区片价（范围）</vt:lpstr>
      <vt:lpstr>典型户型修正 (商业</vt:lpstr>
      <vt:lpstr>售价案例</vt:lpstr>
      <vt:lpstr>Sheet5</vt:lpstr>
      <vt:lpstr>租金表</vt:lpstr>
      <vt:lpstr>租金案例</vt:lpstr>
      <vt:lpstr>年期修正系数</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2018-11-29T09:30:41Z</dcterms:modified>
</cp:coreProperties>
</file>