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E2增容面积表" sheetId="78" r:id="rId13"/>
    <sheet name="面积表" sheetId="68"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土地案例" sheetId="69" r:id="rId31"/>
    <sheet name="剩余法-待开发" sheetId="12" r:id="rId32"/>
    <sheet name="不动产比较法-住宅" sheetId="21" r:id="rId33"/>
    <sheet name="不动产比较法-商业" sheetId="33" state="hidden" r:id="rId34"/>
    <sheet name="不动产收益法-公寓" sheetId="77" r:id="rId35"/>
    <sheet name="典型户型修正" sheetId="31" state="hidden" r:id="rId36"/>
    <sheet name="不动产收益法-办公" sheetId="79" r:id="rId37"/>
    <sheet name="不动产收益法-车库" sheetId="15" r:id="rId38"/>
    <sheet name="酒店收入计算" sheetId="57" state="hidden" r:id="rId39"/>
    <sheet name="成本逼近法" sheetId="11"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 name="地块分布情况" sheetId="70" r:id="rId46"/>
    <sheet name="A3总规划" sheetId="71" r:id="rId47"/>
    <sheet name="F总规划" sheetId="72" r:id="rId48"/>
    <sheet name="C总规划" sheetId="73" r:id="rId49"/>
    <sheet name="E2总规划" sheetId="74" r:id="rId50"/>
    <sheet name="B总规划" sheetId="75" r:id="rId51"/>
    <sheet name="G总规划" sheetId="76" r:id="rId52"/>
  </sheets>
  <externalReferences>
    <externalReference r:id="rId53"/>
    <externalReference r:id="rId54"/>
    <externalReference r:id="rId55"/>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AL13" i="3"/>
  <c r="AH13" i="3"/>
  <c r="AD13" i="3"/>
  <c r="O13" i="3"/>
  <c r="M13" i="3"/>
  <c r="K13" i="3"/>
  <c r="I13" i="3"/>
  <c r="A3" i="3"/>
  <c r="P75" i="79" l="1"/>
  <c r="Q73" i="79"/>
  <c r="P62" i="79"/>
  <c r="Q60" i="79"/>
  <c r="D60" i="79"/>
  <c r="Q59" i="79"/>
  <c r="K59" i="79"/>
  <c r="F58" i="79"/>
  <c r="Q52" i="79"/>
  <c r="J51" i="79"/>
  <c r="J50" i="79"/>
  <c r="M47" i="79"/>
  <c r="L46" i="79" s="1"/>
  <c r="F34" i="79"/>
  <c r="F33" i="79"/>
  <c r="F60" i="79" s="1"/>
  <c r="F32" i="79"/>
  <c r="F59" i="79" s="1"/>
  <c r="F31" i="79"/>
  <c r="F28" i="79"/>
  <c r="C28" i="79"/>
  <c r="F23" i="79"/>
  <c r="D24" i="79" s="1"/>
  <c r="D23" i="79"/>
  <c r="D22" i="79"/>
  <c r="F21" i="79"/>
  <c r="M20" i="79"/>
  <c r="F20" i="79"/>
  <c r="M19" i="79"/>
  <c r="M18" i="79"/>
  <c r="F18" i="79"/>
  <c r="M17" i="79"/>
  <c r="F17" i="79"/>
  <c r="F15" i="79"/>
  <c r="G1" i="79"/>
  <c r="F22" i="6"/>
  <c r="F21" i="6"/>
  <c r="K11" i="78"/>
  <c r="H11" i="78"/>
  <c r="K7" i="78"/>
  <c r="H7" i="78"/>
  <c r="K3" i="78"/>
  <c r="K2" i="78"/>
  <c r="M28" i="79"/>
  <c r="L47" i="79"/>
  <c r="M24" i="79"/>
  <c r="F9" i="79"/>
  <c r="F42" i="79"/>
  <c r="M22" i="79"/>
  <c r="F36" i="79"/>
  <c r="F8" i="79"/>
  <c r="F50" i="79" l="1"/>
  <c r="F63" i="79"/>
  <c r="L59" i="79"/>
  <c r="F61" i="79"/>
  <c r="I48" i="39"/>
  <c r="G48" i="39"/>
  <c r="E48" i="39"/>
  <c r="M23" i="79"/>
  <c r="M9" i="79"/>
  <c r="L48" i="79"/>
  <c r="M6" i="79"/>
  <c r="F38" i="79"/>
  <c r="F13" i="79"/>
  <c r="F37" i="79"/>
  <c r="F16" i="79"/>
  <c r="J36" i="79"/>
  <c r="M8" i="79"/>
  <c r="F26" i="79"/>
  <c r="F6" i="79"/>
  <c r="M27" i="79"/>
  <c r="M26" i="79"/>
  <c r="J15" i="79"/>
  <c r="F40" i="79"/>
  <c r="F67" i="79" l="1"/>
  <c r="F64" i="79"/>
  <c r="C27" i="79"/>
  <c r="L57" i="79"/>
  <c r="L60" i="79"/>
  <c r="L56" i="79"/>
  <c r="J57" i="79"/>
  <c r="J55" i="79" s="1"/>
  <c r="J58" i="79" s="1"/>
  <c r="Q51" i="79" s="1"/>
  <c r="J60" i="79"/>
  <c r="Q49" i="79" s="1"/>
  <c r="I54" i="79"/>
  <c r="L58" i="79"/>
  <c r="J59" i="79"/>
  <c r="J53" i="79"/>
  <c r="F65" i="79"/>
  <c r="Q72" i="79"/>
  <c r="Q75" i="79"/>
  <c r="Q62" i="79"/>
  <c r="I40" i="39"/>
  <c r="G40" i="39"/>
  <c r="I9" i="39"/>
  <c r="G9" i="39"/>
  <c r="I7" i="39"/>
  <c r="G7" i="39"/>
  <c r="Q53" i="79" l="1"/>
  <c r="F1" i="79"/>
  <c r="Q74" i="79"/>
  <c r="Q61" i="79"/>
  <c r="Q67" i="79"/>
  <c r="Q58" i="79"/>
  <c r="I7" i="6"/>
  <c r="Q73" i="77" l="1"/>
  <c r="Q60" i="77"/>
  <c r="D60" i="77"/>
  <c r="Q59" i="77"/>
  <c r="K59" i="77"/>
  <c r="P75" i="77" s="1"/>
  <c r="F58" i="77"/>
  <c r="Q52" i="77"/>
  <c r="J50" i="77"/>
  <c r="J51" i="77" s="1"/>
  <c r="M47" i="77"/>
  <c r="L46" i="77" s="1"/>
  <c r="F33" i="77"/>
  <c r="F60" i="77" s="1"/>
  <c r="F31" i="77"/>
  <c r="F23" i="77"/>
  <c r="D24" i="77" s="1"/>
  <c r="D22" i="77"/>
  <c r="F21" i="77"/>
  <c r="F20" i="77"/>
  <c r="M19" i="77"/>
  <c r="F18" i="77"/>
  <c r="M17" i="77"/>
  <c r="F17" i="77"/>
  <c r="F15" i="77"/>
  <c r="D23" i="77" l="1"/>
  <c r="P62" i="77"/>
  <c r="C11" i="21"/>
  <c r="C13" i="39"/>
  <c r="C49" i="68"/>
  <c r="F35" i="76"/>
  <c r="F33" i="76" s="1"/>
  <c r="F27" i="76"/>
  <c r="F26" i="76"/>
  <c r="F25" i="76"/>
  <c r="F24" i="76"/>
  <c r="F23" i="76"/>
  <c r="F22" i="76"/>
  <c r="F21" i="76"/>
  <c r="F18" i="76"/>
  <c r="F17" i="76"/>
  <c r="F12" i="76"/>
  <c r="F6" i="76"/>
  <c r="F5" i="76"/>
  <c r="F35" i="75"/>
  <c r="F33" i="75" s="1"/>
  <c r="F27" i="75"/>
  <c r="F26" i="75"/>
  <c r="F25" i="75"/>
  <c r="F24" i="75"/>
  <c r="F18" i="75"/>
  <c r="F17" i="75"/>
  <c r="H51" i="68" s="1"/>
  <c r="F12" i="75"/>
  <c r="F6" i="75"/>
  <c r="F5" i="75"/>
  <c r="C40" i="68"/>
  <c r="F35" i="74"/>
  <c r="F33" i="74" s="1"/>
  <c r="F28" i="74"/>
  <c r="F27" i="74"/>
  <c r="F26" i="74"/>
  <c r="H46" i="68" s="1"/>
  <c r="F25" i="74"/>
  <c r="F18" i="74"/>
  <c r="F17" i="74"/>
  <c r="H42" i="68" s="1"/>
  <c r="F16" i="74"/>
  <c r="F14" i="74"/>
  <c r="H41" i="68" s="1"/>
  <c r="F12" i="74"/>
  <c r="H40" i="68" s="1"/>
  <c r="F6" i="74"/>
  <c r="F5" i="74"/>
  <c r="F35" i="73"/>
  <c r="F33" i="73" s="1"/>
  <c r="F29" i="73"/>
  <c r="F30" i="73" s="1"/>
  <c r="F26" i="73"/>
  <c r="H37" i="68" s="1"/>
  <c r="F25" i="73"/>
  <c r="H36" i="68" s="1"/>
  <c r="F24" i="73"/>
  <c r="H32" i="68" s="1"/>
  <c r="F18" i="73"/>
  <c r="H34" i="68" s="1"/>
  <c r="F17" i="73"/>
  <c r="F12" i="73"/>
  <c r="H31" i="68" s="1"/>
  <c r="F6" i="73"/>
  <c r="F5" i="73"/>
  <c r="C31" i="68"/>
  <c r="C11" i="68"/>
  <c r="F35" i="72"/>
  <c r="F33" i="72" s="1"/>
  <c r="F27" i="72"/>
  <c r="F26" i="72"/>
  <c r="H18" i="68" s="1"/>
  <c r="K18" i="68" s="1"/>
  <c r="F25" i="72"/>
  <c r="H17" i="68" s="1"/>
  <c r="F24" i="72"/>
  <c r="H12" i="68" s="1"/>
  <c r="K22" i="68" s="1"/>
  <c r="F19" i="72"/>
  <c r="F18" i="72"/>
  <c r="F17" i="72"/>
  <c r="H15" i="68" s="1"/>
  <c r="K25" i="68" s="1"/>
  <c r="F16" i="72"/>
  <c r="H13" i="68" s="1"/>
  <c r="K23" i="68" s="1"/>
  <c r="F12" i="72"/>
  <c r="F6" i="72"/>
  <c r="F5" i="72"/>
  <c r="C2" i="68"/>
  <c r="F35" i="71"/>
  <c r="F33" i="71" s="1"/>
  <c r="F28" i="71"/>
  <c r="F27" i="71"/>
  <c r="F26" i="71"/>
  <c r="H8" i="68" s="1"/>
  <c r="F25" i="71"/>
  <c r="H7" i="68" s="1"/>
  <c r="F18" i="71"/>
  <c r="F17" i="71"/>
  <c r="H4" i="68" s="1"/>
  <c r="F16" i="71"/>
  <c r="F14" i="71"/>
  <c r="H3" i="68" s="1"/>
  <c r="F12" i="71"/>
  <c r="H2" i="68" s="1"/>
  <c r="F6" i="71"/>
  <c r="F5" i="71"/>
  <c r="K21" i="70"/>
  <c r="L21" i="70" s="1"/>
  <c r="F21" i="70"/>
  <c r="E20" i="70"/>
  <c r="D20" i="70"/>
  <c r="C20" i="70"/>
  <c r="L18" i="70"/>
  <c r="K18" i="70"/>
  <c r="F18" i="70"/>
  <c r="K16" i="70"/>
  <c r="L16" i="70" s="1"/>
  <c r="F16" i="70"/>
  <c r="K14" i="70"/>
  <c r="L14" i="70" s="1"/>
  <c r="F14" i="70"/>
  <c r="K12" i="70"/>
  <c r="L12" i="70" s="1"/>
  <c r="F12" i="70"/>
  <c r="L10" i="70"/>
  <c r="F10" i="70"/>
  <c r="L8" i="70"/>
  <c r="K8" i="70"/>
  <c r="F8" i="70"/>
  <c r="K6" i="70"/>
  <c r="F6" i="70"/>
  <c r="F20" i="70" l="1"/>
  <c r="K20" i="70"/>
  <c r="K37" i="68"/>
  <c r="F10" i="72"/>
  <c r="H14" i="68"/>
  <c r="H52" i="68"/>
  <c r="K70" i="68" s="1"/>
  <c r="H55" i="68"/>
  <c r="K73" i="68" s="1"/>
  <c r="H50" i="68"/>
  <c r="K59" i="68" s="1"/>
  <c r="H54" i="68"/>
  <c r="H56" i="68" s="1"/>
  <c r="H5" i="68"/>
  <c r="F10" i="74"/>
  <c r="H43" i="68"/>
  <c r="F13" i="76"/>
  <c r="F9" i="76" s="1"/>
  <c r="F10" i="76"/>
  <c r="H9" i="68"/>
  <c r="F13" i="72"/>
  <c r="F29" i="72" s="1"/>
  <c r="F30" i="72" s="1"/>
  <c r="H38" i="68"/>
  <c r="K31" i="68"/>
  <c r="K51" i="68"/>
  <c r="K69" i="68"/>
  <c r="K60" i="68"/>
  <c r="K68" i="68"/>
  <c r="K55" i="68"/>
  <c r="K61" i="68"/>
  <c r="K63" i="68"/>
  <c r="F10" i="71"/>
  <c r="F13" i="71"/>
  <c r="F9" i="71" s="1"/>
  <c r="K36" i="68"/>
  <c r="F13" i="73"/>
  <c r="F9" i="73" s="1"/>
  <c r="F10" i="73"/>
  <c r="H33" i="68"/>
  <c r="K33" i="68" s="1"/>
  <c r="F13" i="74"/>
  <c r="F9" i="74" s="1"/>
  <c r="H45" i="68"/>
  <c r="H47" i="68" s="1"/>
  <c r="F10" i="75"/>
  <c r="F13" i="75"/>
  <c r="F9" i="75" s="1"/>
  <c r="F9" i="72"/>
  <c r="F7" i="72" s="1"/>
  <c r="H11" i="68"/>
  <c r="K11" i="68" s="1"/>
  <c r="K28" i="68"/>
  <c r="F29" i="75"/>
  <c r="F30" i="75" s="1"/>
  <c r="H49" i="68"/>
  <c r="K40" i="68"/>
  <c r="K42" i="68"/>
  <c r="K46" i="68"/>
  <c r="K7" i="68"/>
  <c r="K12" i="68"/>
  <c r="C33" i="33" s="1"/>
  <c r="K14" i="68"/>
  <c r="K17" i="68"/>
  <c r="K24" i="68"/>
  <c r="K34" i="68"/>
  <c r="K32" i="68"/>
  <c r="H44" i="68"/>
  <c r="H48" i="68" s="1"/>
  <c r="K43" i="68"/>
  <c r="K41" i="68"/>
  <c r="F29" i="76"/>
  <c r="F30" i="76" s="1"/>
  <c r="K3" i="68"/>
  <c r="K5" i="68"/>
  <c r="H19" i="68"/>
  <c r="K15" i="68"/>
  <c r="K13" i="68"/>
  <c r="K2" i="68"/>
  <c r="K4" i="68"/>
  <c r="K8" i="68"/>
  <c r="K27" i="68"/>
  <c r="H6" i="68"/>
  <c r="H10" i="68" s="1"/>
  <c r="L6" i="70"/>
  <c r="L20" i="70" s="1"/>
  <c r="E40" i="39"/>
  <c r="C40" i="39"/>
  <c r="E9" i="39"/>
  <c r="K38" i="68" l="1"/>
  <c r="K54" i="68"/>
  <c r="K56" i="68" s="1"/>
  <c r="K52" i="68"/>
  <c r="K50" i="68"/>
  <c r="H16" i="68"/>
  <c r="K21" i="68"/>
  <c r="K26" i="68" s="1"/>
  <c r="F7" i="74"/>
  <c r="K72" i="68"/>
  <c r="K74" i="68" s="1"/>
  <c r="K64" i="68"/>
  <c r="F7" i="76"/>
  <c r="F19" i="6"/>
  <c r="K29" i="68"/>
  <c r="K19" i="68"/>
  <c r="K35" i="68"/>
  <c r="K39" i="68" s="1"/>
  <c r="F29" i="74"/>
  <c r="F30" i="74" s="1"/>
  <c r="F29" i="71"/>
  <c r="F30" i="71" s="1"/>
  <c r="F7" i="75"/>
  <c r="K45" i="68"/>
  <c r="G20" i="6" s="1"/>
  <c r="F7" i="73"/>
  <c r="F7" i="71"/>
  <c r="K65" i="68"/>
  <c r="H53" i="68"/>
  <c r="H57" i="68" s="1"/>
  <c r="E49" i="68" s="1"/>
  <c r="K49" i="68"/>
  <c r="K67" i="68"/>
  <c r="K71" i="68" s="1"/>
  <c r="K58" i="68"/>
  <c r="K62" i="68" s="1"/>
  <c r="K66" i="68" s="1"/>
  <c r="H35" i="68"/>
  <c r="H39" i="68" s="1"/>
  <c r="K9" i="68"/>
  <c r="K6" i="68"/>
  <c r="H20" i="68"/>
  <c r="K44" i="68"/>
  <c r="K16" i="68"/>
  <c r="E7" i="39"/>
  <c r="K53" i="68" l="1"/>
  <c r="K57" i="68" s="1"/>
  <c r="K47" i="68"/>
  <c r="K30" i="68"/>
  <c r="K20" i="68"/>
  <c r="K10" i="68"/>
  <c r="K48" i="68"/>
  <c r="K75" i="68"/>
  <c r="D3" i="4"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s="1"/>
  <c r="P75" i="15"/>
  <c r="Q74" i="44"/>
  <c r="Q61" i="44"/>
  <c r="Q60" i="44"/>
  <c r="Q53" i="44"/>
  <c r="J51" i="44"/>
  <c r="J52" i="44"/>
  <c r="M48" i="44"/>
  <c r="A16" i="55"/>
  <c r="A15" i="55"/>
  <c r="A10" i="55"/>
  <c r="A9" i="55"/>
  <c r="A8" i="55"/>
  <c r="A6" i="54"/>
  <c r="A8" i="54"/>
  <c r="A7" i="54"/>
  <c r="A28" i="51"/>
  <c r="B21" i="63" s="1"/>
  <c r="A27" i="51"/>
  <c r="Q12" i="59"/>
  <c r="O12" i="59"/>
  <c r="N13" i="59"/>
  <c r="O13" i="59"/>
  <c r="P13" i="59"/>
  <c r="Q13" i="59"/>
  <c r="N12" i="59"/>
  <c r="P12" i="59"/>
  <c r="K75" i="9"/>
  <c r="K6" i="4"/>
  <c r="O76" i="9" s="1"/>
  <c r="E15" i="66"/>
  <c r="F15" i="66"/>
  <c r="E16" i="66"/>
  <c r="F16" i="66"/>
  <c r="E17" i="66"/>
  <c r="F17" i="66"/>
  <c r="E18" i="66"/>
  <c r="F18" i="66"/>
  <c r="E19" i="66"/>
  <c r="F19" i="66"/>
  <c r="E20" i="66"/>
  <c r="F20" i="66"/>
  <c r="E21" i="66"/>
  <c r="F21" i="66"/>
  <c r="E22" i="66"/>
  <c r="F22" i="66"/>
  <c r="E23" i="66"/>
  <c r="F23" i="66"/>
  <c r="B3" i="66"/>
  <c r="B10" i="59"/>
  <c r="B9" i="59" s="1"/>
  <c r="B8" i="59" s="1"/>
  <c r="S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B66" i="63"/>
  <c r="A4" i="55"/>
  <c r="B57" i="63"/>
  <c r="G5" i="54"/>
  <c r="B34" i="63" s="1"/>
  <c r="E5" i="54"/>
  <c r="B32" i="63" s="1"/>
  <c r="R2" i="54"/>
  <c r="B24" i="63" s="1"/>
  <c r="B49" i="50"/>
  <c r="B5" i="63"/>
  <c r="B40" i="50"/>
  <c r="B3" i="63" s="1"/>
  <c r="N4" i="63"/>
  <c r="B67" i="63"/>
  <c r="I19" i="46"/>
  <c r="Q14" i="59"/>
  <c r="P14" i="59"/>
  <c r="E14" i="59" s="1"/>
  <c r="O14" i="59"/>
  <c r="N14" i="59"/>
  <c r="B14" i="59" s="1"/>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T54" i="59" s="1"/>
  <c r="B54" i="59"/>
  <c r="N54" i="59"/>
  <c r="F53" i="59"/>
  <c r="F52" i="59"/>
  <c r="Q52" i="59" s="1"/>
  <c r="B53" i="59"/>
  <c r="B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C45" i="59" s="1"/>
  <c r="N43" i="59"/>
  <c r="B44" i="59"/>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C37" i="59" s="1"/>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Z24" i="59" s="1"/>
  <c r="N24" i="59"/>
  <c r="Q23" i="59"/>
  <c r="AB23" i="59" s="1"/>
  <c r="P23" i="59"/>
  <c r="AA23" i="59" s="1"/>
  <c r="O23" i="59"/>
  <c r="Y23" i="59" s="1"/>
  <c r="Z23" i="59" s="1"/>
  <c r="C24" i="59"/>
  <c r="D24" i="59" s="1"/>
  <c r="N23" i="59"/>
  <c r="B24" i="59"/>
  <c r="B25" i="59" s="1"/>
  <c r="B26" i="59" s="1"/>
  <c r="S26" i="59" s="1"/>
  <c r="D23" i="59"/>
  <c r="Q22" i="59"/>
  <c r="AB22" i="59" s="1"/>
  <c r="P22" i="59"/>
  <c r="AA22" i="59" s="1"/>
  <c r="O22" i="59"/>
  <c r="N22" i="59"/>
  <c r="X22" i="59" s="1"/>
  <c r="Q21" i="59"/>
  <c r="P21" i="59"/>
  <c r="AA21" i="59" s="1"/>
  <c r="O21" i="59"/>
  <c r="Y21" i="59" s="1"/>
  <c r="Z21" i="59" s="1"/>
  <c r="N21" i="59"/>
  <c r="X21" i="59" s="1"/>
  <c r="Q20" i="59"/>
  <c r="AB20" i="59" s="1"/>
  <c r="P20" i="59"/>
  <c r="AA20" i="59" s="1"/>
  <c r="O20" i="59"/>
  <c r="N20" i="59"/>
  <c r="X20" i="59" s="1"/>
  <c r="Q19" i="59"/>
  <c r="F20" i="59"/>
  <c r="F21" i="59" s="1"/>
  <c r="F22" i="59" s="1"/>
  <c r="V22" i="59" s="1"/>
  <c r="P19" i="59"/>
  <c r="AA19" i="59" s="1"/>
  <c r="E20" i="59"/>
  <c r="E21" i="59" s="1"/>
  <c r="E22" i="59" s="1"/>
  <c r="U22" i="59" s="1"/>
  <c r="O19" i="59"/>
  <c r="Y19" i="59" s="1"/>
  <c r="Z19" i="59" s="1"/>
  <c r="N19" i="59"/>
  <c r="X19" i="59" s="1"/>
  <c r="D19" i="59"/>
  <c r="Q18" i="59"/>
  <c r="AB18" i="59" s="1"/>
  <c r="P18" i="59"/>
  <c r="O18" i="59"/>
  <c r="Y18" i="59" s="1"/>
  <c r="Z18" i="59" s="1"/>
  <c r="N18" i="59"/>
  <c r="X18" i="59" s="1"/>
  <c r="Q17" i="59"/>
  <c r="AB17" i="59" s="1"/>
  <c r="P17" i="59"/>
  <c r="AA17" i="59" s="1"/>
  <c r="O17" i="59"/>
  <c r="Y17" i="59" s="1"/>
  <c r="Z17" i="59" s="1"/>
  <c r="N17" i="59"/>
  <c r="Q16" i="59"/>
  <c r="AB16" i="59" s="1"/>
  <c r="P16" i="59"/>
  <c r="O16" i="59"/>
  <c r="Y16" i="59" s="1"/>
  <c r="Z16" i="59" s="1"/>
  <c r="N16" i="59"/>
  <c r="X16" i="59" s="1"/>
  <c r="Q15" i="59"/>
  <c r="AB15" i="59" s="1"/>
  <c r="P15" i="59"/>
  <c r="AA15" i="59" s="1"/>
  <c r="O15" i="59"/>
  <c r="Y15" i="59" s="1"/>
  <c r="Z15" i="59" s="1"/>
  <c r="C16" i="59"/>
  <c r="D16" i="59" s="1"/>
  <c r="N15" i="59"/>
  <c r="B16" i="59"/>
  <c r="D15" i="59"/>
  <c r="X3" i="59"/>
  <c r="X12" i="59"/>
  <c r="X14" i="59"/>
  <c r="AA11" i="59"/>
  <c r="AA13" i="59"/>
  <c r="Y11" i="59"/>
  <c r="Z11" i="59" s="1"/>
  <c r="Y12" i="59"/>
  <c r="Z12" i="59" s="1"/>
  <c r="Y13" i="59"/>
  <c r="Z13" i="59" s="1"/>
  <c r="Y14" i="59"/>
  <c r="Z14" i="59" s="1"/>
  <c r="Y3" i="59"/>
  <c r="Z3" i="59" s="1"/>
  <c r="AB3" i="59"/>
  <c r="AB12" i="59"/>
  <c r="B17" i="59"/>
  <c r="B18" i="59" s="1"/>
  <c r="S18" i="59" s="1"/>
  <c r="E37" i="59"/>
  <c r="E38" i="59" s="1"/>
  <c r="U38" i="59" s="1"/>
  <c r="S54" i="59"/>
  <c r="C17" i="59"/>
  <c r="D17" i="59" s="1"/>
  <c r="C25" i="59"/>
  <c r="D25" i="59" s="1"/>
  <c r="C33" i="59"/>
  <c r="D33" i="59" s="1"/>
  <c r="D32" i="59"/>
  <c r="D36" i="59"/>
  <c r="D44" i="59"/>
  <c r="N53" i="59"/>
  <c r="Q53" i="59"/>
  <c r="O54" i="59"/>
  <c r="C53" i="59"/>
  <c r="C52" i="59" s="1"/>
  <c r="P54" i="59"/>
  <c r="U54" i="59"/>
  <c r="Q54" i="59"/>
  <c r="C57" i="59"/>
  <c r="C56" i="59" s="1"/>
  <c r="D56" i="59" s="1"/>
  <c r="C61" i="59"/>
  <c r="D61" i="59" s="1"/>
  <c r="E61" i="59"/>
  <c r="E60" i="59"/>
  <c r="D62" i="59"/>
  <c r="C65" i="59"/>
  <c r="D65" i="59" s="1"/>
  <c r="D66" i="59"/>
  <c r="C69" i="59"/>
  <c r="C68" i="59" s="1"/>
  <c r="D68" i="59" s="1"/>
  <c r="U16" i="4"/>
  <c r="S16" i="4"/>
  <c r="Q16" i="4"/>
  <c r="O16" i="4"/>
  <c r="M16" i="4"/>
  <c r="K16" i="4"/>
  <c r="C64" i="59"/>
  <c r="D64" i="59" s="1"/>
  <c r="D57" i="59"/>
  <c r="O53" i="59"/>
  <c r="D69" i="59"/>
  <c r="C60" i="59"/>
  <c r="D60" i="59" s="1"/>
  <c r="C26" i="59"/>
  <c r="T26" i="59" s="1"/>
  <c r="C18" i="59"/>
  <c r="T18" i="59" s="1"/>
  <c r="N16" i="4"/>
  <c r="D18"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s="1"/>
  <c r="F83" i="33" s="1"/>
  <c r="G83" i="33" s="1"/>
  <c r="Z21" i="21"/>
  <c r="Q21" i="21"/>
  <c r="D83" i="21"/>
  <c r="E83" i="21" s="1"/>
  <c r="F83" i="21" s="1"/>
  <c r="G83" i="21" s="1"/>
  <c r="F21" i="21"/>
  <c r="AA21" i="21" s="1"/>
  <c r="C21" i="21"/>
  <c r="Z27" i="40"/>
  <c r="Q27" i="40"/>
  <c r="D96" i="40"/>
  <c r="E96" i="40" s="1"/>
  <c r="F96" i="40" s="1"/>
  <c r="F27" i="40"/>
  <c r="AA27" i="40" s="1"/>
  <c r="Z31" i="39"/>
  <c r="Q31" i="39"/>
  <c r="D105" i="39"/>
  <c r="E105" i="39" s="1"/>
  <c r="F105" i="39" s="1"/>
  <c r="G105" i="39" s="1"/>
  <c r="G20" i="20"/>
  <c r="B85" i="46" s="1"/>
  <c r="C22" i="20"/>
  <c r="B65" i="46" s="1"/>
  <c r="S18" i="36"/>
  <c r="S18" i="35"/>
  <c r="S21" i="37"/>
  <c r="S21" i="34"/>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G8" i="1" s="1"/>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R5" i="3" s="1"/>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L506" i="3" s="1"/>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F26" i="35" s="1"/>
  <c r="S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c r="G112" i="34" s="1"/>
  <c r="H112" i="34" s="1"/>
  <c r="I112" i="34" s="1"/>
  <c r="J112" i="34" s="1"/>
  <c r="K112" i="34" s="1"/>
  <c r="L112" i="34" s="1"/>
  <c r="M112" i="34" s="1"/>
  <c r="F40" i="33"/>
  <c r="D113" i="33"/>
  <c r="D111" i="33"/>
  <c r="E111" i="33" s="1"/>
  <c r="F111" i="33" s="1"/>
  <c r="G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F39" i="39" s="1"/>
  <c r="AA39" i="39" s="1"/>
  <c r="D111" i="39"/>
  <c r="E111" i="39"/>
  <c r="F111" i="39" s="1"/>
  <c r="G111" i="39" s="1"/>
  <c r="H111" i="39" s="1"/>
  <c r="I111" i="39"/>
  <c r="J111" i="39" s="1"/>
  <c r="K111" i="39" s="1"/>
  <c r="L111" i="39" s="1"/>
  <c r="M111" i="39" s="1"/>
  <c r="D109" i="39"/>
  <c r="E109" i="39" s="1"/>
  <c r="F109" i="39" s="1"/>
  <c r="G109" i="39" s="1"/>
  <c r="D107" i="39"/>
  <c r="E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D93" i="39"/>
  <c r="E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G75" i="37" s="1"/>
  <c r="D73" i="37"/>
  <c r="E73" i="37" s="1"/>
  <c r="F73" i="37"/>
  <c r="G73" i="37" s="1"/>
  <c r="D71" i="37"/>
  <c r="E71" i="37" s="1"/>
  <c r="F71" i="37"/>
  <c r="G71" i="37" s="1"/>
  <c r="F15" i="37"/>
  <c r="AA15" i="37" s="1"/>
  <c r="B68" i="37"/>
  <c r="B66" i="37"/>
  <c r="B64" i="37"/>
  <c r="D63" i="37"/>
  <c r="E63" i="37"/>
  <c r="F63" i="37" s="1"/>
  <c r="G63" i="37"/>
  <c r="H63" i="37" s="1"/>
  <c r="I63" i="37" s="1"/>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AA8" i="37" s="1"/>
  <c r="C7" i="37"/>
  <c r="J31" i="36"/>
  <c r="W31" i="36" s="1"/>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B126" i="33"/>
  <c r="B98" i="33"/>
  <c r="F31" i="33" s="1"/>
  <c r="AA31" i="33"/>
  <c r="B96" i="33"/>
  <c r="B94" i="33"/>
  <c r="B74" i="33"/>
  <c r="B72" i="33"/>
  <c r="B70" i="33"/>
  <c r="D96" i="35"/>
  <c r="E96" i="35" s="1"/>
  <c r="F96" i="35" s="1"/>
  <c r="G96" i="35" s="1"/>
  <c r="D94" i="35"/>
  <c r="E94" i="35" s="1"/>
  <c r="D84" i="35"/>
  <c r="E84" i="35"/>
  <c r="F84" i="35" s="1"/>
  <c r="G84" i="35" s="1"/>
  <c r="H84" i="35" s="1"/>
  <c r="I84" i="35"/>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H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AA8" i="34" s="1"/>
  <c r="C7" i="34"/>
  <c r="D121" i="33"/>
  <c r="J41" i="33" s="1"/>
  <c r="AC41" i="33" s="1"/>
  <c r="F109" i="33"/>
  <c r="E109" i="33"/>
  <c r="D109" i="33"/>
  <c r="C109" i="33"/>
  <c r="D91" i="33"/>
  <c r="E91" i="33" s="1"/>
  <c r="B88" i="33"/>
  <c r="J26" i="33"/>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D69" i="33"/>
  <c r="E69" i="33"/>
  <c r="F69" i="33" s="1"/>
  <c r="G69" i="33"/>
  <c r="H69" i="33" s="1"/>
  <c r="I69" i="33" s="1"/>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H8" i="33"/>
  <c r="F8" i="33"/>
  <c r="AA8" i="33" s="1"/>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D85" i="21"/>
  <c r="E85" i="21" s="1"/>
  <c r="F85" i="21" s="1"/>
  <c r="G85" i="21" s="1"/>
  <c r="D81" i="21"/>
  <c r="D77" i="21"/>
  <c r="B130" i="21"/>
  <c r="B128" i="21"/>
  <c r="B126" i="21"/>
  <c r="B98" i="21"/>
  <c r="B96" i="21"/>
  <c r="B94" i="21"/>
  <c r="B92" i="21"/>
  <c r="B90" i="21"/>
  <c r="J27" i="21" s="1"/>
  <c r="W27" i="21" s="1"/>
  <c r="B74" i="21"/>
  <c r="B72" i="2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43" i="21"/>
  <c r="S43" i="21" s="1"/>
  <c r="H38" i="21"/>
  <c r="AB38" i="21" s="1"/>
  <c r="H43" i="21"/>
  <c r="F32" i="21"/>
  <c r="AA32" i="21" s="1"/>
  <c r="F38" i="21"/>
  <c r="S38" i="21" s="1"/>
  <c r="F36" i="21"/>
  <c r="S36" i="21" s="1"/>
  <c r="F39" i="21"/>
  <c r="AA39" i="21" s="1"/>
  <c r="J40" i="21"/>
  <c r="W40" i="21" s="1"/>
  <c r="H35" i="21"/>
  <c r="J8" i="21"/>
  <c r="AC8" i="21" s="1"/>
  <c r="J9" i="21"/>
  <c r="AC9" i="21" s="1"/>
  <c r="H8" i="21"/>
  <c r="AB8" i="21" s="1"/>
  <c r="H9" i="21"/>
  <c r="H39" i="21"/>
  <c r="AB39" i="21" s="1"/>
  <c r="J34" i="21"/>
  <c r="W34" i="21" s="1"/>
  <c r="H36" i="21"/>
  <c r="U36" i="21" s="1"/>
  <c r="F35" i="21"/>
  <c r="AA35" i="21" s="1"/>
  <c r="H26" i="21"/>
  <c r="F19" i="21"/>
  <c r="AA19" i="21" s="1"/>
  <c r="J12" i="21"/>
  <c r="H12" i="21"/>
  <c r="J26" i="21"/>
  <c r="W26" i="21" s="1"/>
  <c r="F26" i="21"/>
  <c r="AA26" i="21" s="1"/>
  <c r="AB41" i="21"/>
  <c r="W41" i="21"/>
  <c r="S10" i="39"/>
  <c r="U30" i="37"/>
  <c r="E103" i="37"/>
  <c r="F103" i="37"/>
  <c r="G103" i="37" s="1"/>
  <c r="H103" i="37" s="1"/>
  <c r="I103" i="37" s="1"/>
  <c r="J103" i="37" s="1"/>
  <c r="K103" i="37" s="1"/>
  <c r="L103" i="37" s="1"/>
  <c r="M103" i="37" s="1"/>
  <c r="F29" i="36"/>
  <c r="AA29" i="36" s="1"/>
  <c r="F16" i="36"/>
  <c r="U22" i="36"/>
  <c r="W23" i="36"/>
  <c r="W22" i="36"/>
  <c r="U26" i="36"/>
  <c r="AC31" i="36"/>
  <c r="J33" i="36"/>
  <c r="W33" i="36"/>
  <c r="S34" i="35"/>
  <c r="W36" i="35"/>
  <c r="W24" i="35"/>
  <c r="S31" i="35"/>
  <c r="W31" i="35"/>
  <c r="U34" i="35"/>
  <c r="F36" i="34"/>
  <c r="S36" i="34"/>
  <c r="W9" i="34"/>
  <c r="S34" i="34"/>
  <c r="W39" i="34"/>
  <c r="H39" i="33"/>
  <c r="AB39" i="33" s="1"/>
  <c r="F26" i="33"/>
  <c r="AA26" i="33" s="1"/>
  <c r="U9" i="33"/>
  <c r="U33" i="33"/>
  <c r="W38" i="33"/>
  <c r="S33" i="33"/>
  <c r="W8" i="21"/>
  <c r="H39" i="37"/>
  <c r="AB39" i="37" s="1"/>
  <c r="AB27" i="35"/>
  <c r="S10" i="40"/>
  <c r="W10" i="40"/>
  <c r="S11" i="40"/>
  <c r="U11" i="40"/>
  <c r="S36" i="40"/>
  <c r="U36" i="40"/>
  <c r="S40" i="39"/>
  <c r="S36" i="39"/>
  <c r="C29" i="39"/>
  <c r="C23" i="39"/>
  <c r="U36" i="39"/>
  <c r="S42" i="39"/>
  <c r="F100" i="40"/>
  <c r="G100" i="40" s="1"/>
  <c r="H100" i="40" s="1"/>
  <c r="I100" i="40" s="1"/>
  <c r="J100" i="40" s="1"/>
  <c r="K100" i="40" s="1"/>
  <c r="L100" i="40" s="1"/>
  <c r="M100" i="40" s="1"/>
  <c r="F86" i="40"/>
  <c r="AA12" i="33"/>
  <c r="J27" i="36"/>
  <c r="W27" i="36" s="1"/>
  <c r="J34" i="36"/>
  <c r="W34" i="36" s="1"/>
  <c r="J30" i="35"/>
  <c r="W30" i="35" s="1"/>
  <c r="F22" i="35"/>
  <c r="H10" i="35"/>
  <c r="U29" i="36"/>
  <c r="E85" i="36"/>
  <c r="F85" i="36"/>
  <c r="G85" i="36" s="1"/>
  <c r="H85" i="36" s="1"/>
  <c r="I85" i="36" s="1"/>
  <c r="J85" i="36" s="1"/>
  <c r="K85" i="36" s="1"/>
  <c r="L85" i="36" s="1"/>
  <c r="M85" i="36" s="1"/>
  <c r="J29" i="36"/>
  <c r="AC29" i="36" s="1"/>
  <c r="F12" i="36"/>
  <c r="S12" i="36" s="1"/>
  <c r="F24" i="36"/>
  <c r="S10" i="36"/>
  <c r="AB8" i="36"/>
  <c r="H16" i="35"/>
  <c r="H33" i="35"/>
  <c r="AB33" i="35" s="1"/>
  <c r="W8" i="35"/>
  <c r="AC8" i="35"/>
  <c r="F35" i="37"/>
  <c r="S35" i="37" s="1"/>
  <c r="J34" i="37"/>
  <c r="W34" i="37" s="1"/>
  <c r="H43" i="34"/>
  <c r="U42" i="34"/>
  <c r="E114" i="34"/>
  <c r="H36" i="34"/>
  <c r="U36" i="34" s="1"/>
  <c r="F37" i="34"/>
  <c r="F33" i="34"/>
  <c r="AA28" i="34"/>
  <c r="F19" i="34"/>
  <c r="AA19" i="34"/>
  <c r="J10" i="34"/>
  <c r="AC10" i="34"/>
  <c r="W8" i="34"/>
  <c r="J28" i="34"/>
  <c r="W28" i="34"/>
  <c r="E113" i="33"/>
  <c r="F36" i="33"/>
  <c r="S36" i="33" s="1"/>
  <c r="F19" i="33"/>
  <c r="S19" i="33" s="1"/>
  <c r="J19" i="33"/>
  <c r="W40" i="33"/>
  <c r="G86" i="40"/>
  <c r="AB30" i="36"/>
  <c r="AC34" i="36"/>
  <c r="H29" i="35"/>
  <c r="AB29" i="35" s="1"/>
  <c r="U34" i="37"/>
  <c r="S34" i="37"/>
  <c r="AA34" i="37"/>
  <c r="AC43" i="34"/>
  <c r="AB42" i="34"/>
  <c r="AB40" i="34"/>
  <c r="W36" i="34"/>
  <c r="J19" i="34"/>
  <c r="AC19" i="34" s="1"/>
  <c r="H37" i="33"/>
  <c r="AB37" i="33" s="1"/>
  <c r="AC42" i="34"/>
  <c r="W42" i="34"/>
  <c r="AA42" i="34"/>
  <c r="S42" i="34"/>
  <c r="AC38" i="34"/>
  <c r="W38" i="34"/>
  <c r="AA38" i="34"/>
  <c r="S38" i="34"/>
  <c r="J37" i="33"/>
  <c r="W37" i="33" s="1"/>
  <c r="J44" i="34"/>
  <c r="F44" i="34"/>
  <c r="S44" i="34" s="1"/>
  <c r="J10" i="35"/>
  <c r="W10" i="35" s="1"/>
  <c r="AL5" i="3"/>
  <c r="BQ13" i="3"/>
  <c r="J14" i="21"/>
  <c r="W14" i="21" s="1"/>
  <c r="F14" i="21"/>
  <c r="AA14" i="21"/>
  <c r="H14" i="21"/>
  <c r="U14" i="21"/>
  <c r="H28" i="21"/>
  <c r="AB28" i="21"/>
  <c r="F28" i="21"/>
  <c r="J28" i="21"/>
  <c r="AC28" i="21" s="1"/>
  <c r="H30" i="21"/>
  <c r="F30" i="21"/>
  <c r="J30" i="21"/>
  <c r="AC30" i="21" s="1"/>
  <c r="J44" i="21"/>
  <c r="AC44" i="21"/>
  <c r="H44" i="21"/>
  <c r="U44" i="21"/>
  <c r="F44" i="21"/>
  <c r="AA44" i="21"/>
  <c r="H46" i="21"/>
  <c r="AB46" i="21"/>
  <c r="J46" i="21"/>
  <c r="W46" i="21"/>
  <c r="F46" i="21"/>
  <c r="AA46" i="21"/>
  <c r="H26" i="33"/>
  <c r="U26" i="33" s="1"/>
  <c r="H28" i="33"/>
  <c r="F28" i="33"/>
  <c r="AA28" i="33" s="1"/>
  <c r="J28" i="33"/>
  <c r="W28" i="33" s="1"/>
  <c r="F33" i="35"/>
  <c r="S33" i="35"/>
  <c r="J33" i="35"/>
  <c r="W33" i="35"/>
  <c r="F30" i="35"/>
  <c r="AA30" i="35"/>
  <c r="F89" i="35"/>
  <c r="G89" i="35" s="1"/>
  <c r="H89" i="35" s="1"/>
  <c r="I89" i="35" s="1"/>
  <c r="J89" i="35" s="1"/>
  <c r="K89" i="35" s="1"/>
  <c r="L89" i="35" s="1"/>
  <c r="M89" i="35" s="1"/>
  <c r="H10" i="36"/>
  <c r="AB10" i="36" s="1"/>
  <c r="F28" i="36"/>
  <c r="S28" i="36" s="1"/>
  <c r="F27" i="36"/>
  <c r="S27" i="36" s="1"/>
  <c r="H13" i="21"/>
  <c r="U13" i="21" s="1"/>
  <c r="J13" i="21"/>
  <c r="F13" i="21"/>
  <c r="AA13" i="21" s="1"/>
  <c r="H27" i="21"/>
  <c r="AB27" i="21" s="1"/>
  <c r="F27" i="21"/>
  <c r="AA27" i="21" s="1"/>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c r="I89" i="37" s="1"/>
  <c r="J89" i="37" s="1"/>
  <c r="K89" i="37" s="1"/>
  <c r="L89" i="37" s="1"/>
  <c r="M89" i="37" s="1"/>
  <c r="J29" i="37"/>
  <c r="W29" i="37" s="1"/>
  <c r="F29" i="37"/>
  <c r="AA29" i="37" s="1"/>
  <c r="F105" i="37"/>
  <c r="G105" i="37" s="1"/>
  <c r="AB36" i="37"/>
  <c r="F107" i="37"/>
  <c r="G107" i="37" s="1"/>
  <c r="J37" i="37"/>
  <c r="AC37" i="37"/>
  <c r="H37" i="37"/>
  <c r="U37" i="37"/>
  <c r="H40" i="37"/>
  <c r="U40" i="37"/>
  <c r="J40" i="37"/>
  <c r="F40" i="37"/>
  <c r="H14" i="33"/>
  <c r="U14" i="33" s="1"/>
  <c r="F14" i="33"/>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W46" i="33"/>
  <c r="AB40" i="37"/>
  <c r="J36" i="37"/>
  <c r="AC36" i="37"/>
  <c r="AB28" i="36"/>
  <c r="AB13" i="21"/>
  <c r="S46" i="21"/>
  <c r="U46" i="21"/>
  <c r="W30" i="21"/>
  <c r="S28" i="21"/>
  <c r="AA28" i="21"/>
  <c r="AB14" i="21"/>
  <c r="W31" i="34"/>
  <c r="S46" i="33"/>
  <c r="U36" i="37"/>
  <c r="AC13" i="36"/>
  <c r="AB31" i="33"/>
  <c r="U28" i="21"/>
  <c r="AB44" i="21"/>
  <c r="G529" i="3"/>
  <c r="G521" i="3"/>
  <c r="G513" i="3"/>
  <c r="G485" i="3"/>
  <c r="G17" i="3"/>
  <c r="G565" i="3"/>
  <c r="G557" i="3"/>
  <c r="G549" i="3"/>
  <c r="G545" i="3"/>
  <c r="BL569" i="3"/>
  <c r="BL557" i="3"/>
  <c r="BL553" i="3"/>
  <c r="BL545" i="3"/>
  <c r="BL535" i="3"/>
  <c r="BL527" i="3"/>
  <c r="BL519" i="3"/>
  <c r="BL511" i="3"/>
  <c r="BL483" i="3"/>
  <c r="G16" i="3"/>
  <c r="BL563" i="3"/>
  <c r="BL555" i="3"/>
  <c r="BL541" i="3"/>
  <c r="BL533" i="3"/>
  <c r="G518" i="3"/>
  <c r="G510" i="3"/>
  <c r="BL503" i="3"/>
  <c r="BL495" i="3"/>
  <c r="G18" i="3"/>
  <c r="BA569" i="3"/>
  <c r="BA565" i="3"/>
  <c r="BA557" i="3"/>
  <c r="AZ557" i="3" s="1"/>
  <c r="BA555" i="3"/>
  <c r="AZ555" i="3" s="1"/>
  <c r="BA551" i="3"/>
  <c r="BA545" i="3"/>
  <c r="AZ545" i="3" s="1"/>
  <c r="BA543" i="3"/>
  <c r="BA541" i="3"/>
  <c r="AZ541" i="3" s="1"/>
  <c r="BA531" i="3"/>
  <c r="AZ531" i="3" s="1"/>
  <c r="BA521" i="3"/>
  <c r="BA509" i="3"/>
  <c r="AZ509" i="3" s="1"/>
  <c r="BA487" i="3"/>
  <c r="BA19" i="3"/>
  <c r="AZ19" i="3" s="1"/>
  <c r="BA560" i="3"/>
  <c r="BA558" i="3"/>
  <c r="BA556" i="3"/>
  <c r="AZ556" i="3" s="1"/>
  <c r="BA554" i="3"/>
  <c r="BA550" i="3"/>
  <c r="BA546" i="3"/>
  <c r="BA544" i="3"/>
  <c r="BA532" i="3"/>
  <c r="BA528" i="3"/>
  <c r="BA524" i="3"/>
  <c r="BA520" i="3"/>
  <c r="AZ520" i="3"/>
  <c r="BA502" i="3"/>
  <c r="BA488" i="3"/>
  <c r="BA484" i="3"/>
  <c r="BA20" i="3"/>
  <c r="G566" i="3"/>
  <c r="G558" i="3"/>
  <c r="G556" i="3"/>
  <c r="G554" i="3"/>
  <c r="G550" i="3"/>
  <c r="G546" i="3"/>
  <c r="BL543" i="3"/>
  <c r="AZ543" i="3" s="1"/>
  <c r="BA542" i="3"/>
  <c r="AC542" i="3"/>
  <c r="G542" i="3"/>
  <c r="BQ542" i="3"/>
  <c r="BL542" i="3"/>
  <c r="BQ568" i="3"/>
  <c r="BL568" i="3" s="1"/>
  <c r="BQ566" i="3"/>
  <c r="BQ564" i="3"/>
  <c r="BQ562" i="3"/>
  <c r="BQ560" i="3"/>
  <c r="BQ558" i="3"/>
  <c r="BL558" i="3"/>
  <c r="AZ558" i="3" s="1"/>
  <c r="BQ556" i="3"/>
  <c r="BL556" i="3"/>
  <c r="BQ554" i="3"/>
  <c r="BL554" i="3" s="1"/>
  <c r="AZ554" i="3" s="1"/>
  <c r="BQ552" i="3"/>
  <c r="BL552" i="3"/>
  <c r="BQ550" i="3"/>
  <c r="BL550" i="3"/>
  <c r="BQ548" i="3"/>
  <c r="BQ546" i="3"/>
  <c r="BL546" i="3" s="1"/>
  <c r="AZ546" i="3" s="1"/>
  <c r="BQ544" i="3"/>
  <c r="BL544" i="3" s="1"/>
  <c r="AZ544" i="3"/>
  <c r="G544" i="3"/>
  <c r="G538" i="3"/>
  <c r="G534" i="3"/>
  <c r="G530" i="3"/>
  <c r="G522" i="3"/>
  <c r="BQ540" i="3"/>
  <c r="BQ538" i="3"/>
  <c r="BQ536" i="3"/>
  <c r="BQ534" i="3"/>
  <c r="BL534" i="3" s="1"/>
  <c r="BQ532" i="3"/>
  <c r="BQ530" i="3"/>
  <c r="BQ528" i="3"/>
  <c r="BQ526" i="3"/>
  <c r="BQ524" i="3"/>
  <c r="BQ522" i="3"/>
  <c r="BL522" i="3" s="1"/>
  <c r="BQ520" i="3"/>
  <c r="BL520" i="3"/>
  <c r="BQ518" i="3"/>
  <c r="BQ516" i="3"/>
  <c r="BQ514" i="3"/>
  <c r="BQ512" i="3"/>
  <c r="BQ510" i="3"/>
  <c r="BL510" i="3"/>
  <c r="BQ508" i="3"/>
  <c r="AC506" i="3"/>
  <c r="BQ506" i="3"/>
  <c r="BQ504" i="3"/>
  <c r="BL504" i="3" s="1"/>
  <c r="BQ502" i="3"/>
  <c r="BL502" i="3"/>
  <c r="BQ500" i="3"/>
  <c r="BL500" i="3"/>
  <c r="BQ498" i="3"/>
  <c r="BQ496" i="3"/>
  <c r="BL496" i="3" s="1"/>
  <c r="AZ496" i="3" s="1"/>
  <c r="AC494" i="3"/>
  <c r="BQ494" i="3"/>
  <c r="G488" i="3"/>
  <c r="G20" i="3"/>
  <c r="BQ492" i="3"/>
  <c r="BQ490" i="3"/>
  <c r="BQ488" i="3"/>
  <c r="BL488" i="3"/>
  <c r="AZ488" i="3" s="1"/>
  <c r="BQ486" i="3"/>
  <c r="BQ484" i="3"/>
  <c r="BQ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c r="F23" i="37"/>
  <c r="S23" i="37"/>
  <c r="AB27" i="37"/>
  <c r="F39" i="33"/>
  <c r="AA39" i="33" s="1"/>
  <c r="H28" i="34"/>
  <c r="AB28" i="34" s="1"/>
  <c r="F22" i="36"/>
  <c r="S22" i="36" s="1"/>
  <c r="H35" i="34"/>
  <c r="U35" i="34" s="1"/>
  <c r="F41" i="34"/>
  <c r="H41" i="34"/>
  <c r="J41" i="34"/>
  <c r="F10" i="35"/>
  <c r="F24" i="35"/>
  <c r="AA24" i="35" s="1"/>
  <c r="H24" i="35"/>
  <c r="AB24" i="35" s="1"/>
  <c r="H23" i="37"/>
  <c r="AB23" i="37" s="1"/>
  <c r="J32" i="37"/>
  <c r="AC32" i="37" s="1"/>
  <c r="F36" i="37"/>
  <c r="F37" i="37"/>
  <c r="AA37" i="37" s="1"/>
  <c r="J43" i="33"/>
  <c r="J23" i="37"/>
  <c r="W23" i="37" s="1"/>
  <c r="F17" i="37"/>
  <c r="AA17" i="37" s="1"/>
  <c r="D3" i="21"/>
  <c r="AC33" i="36"/>
  <c r="AC12" i="35"/>
  <c r="S27" i="37"/>
  <c r="S25" i="37"/>
  <c r="AC36" i="34"/>
  <c r="AB8" i="34"/>
  <c r="F43" i="33"/>
  <c r="AA43" i="33" s="1"/>
  <c r="AA23" i="37"/>
  <c r="AB44" i="33"/>
  <c r="H107" i="37"/>
  <c r="I107" i="37" s="1"/>
  <c r="J107" i="37"/>
  <c r="K107" i="37" s="1"/>
  <c r="L107" i="37" s="1"/>
  <c r="M107" i="37" s="1"/>
  <c r="AA9" i="21"/>
  <c r="F37" i="21"/>
  <c r="S37" i="21" s="1"/>
  <c r="J37" i="21"/>
  <c r="W37" i="21" s="1"/>
  <c r="H19" i="34"/>
  <c r="AB19" i="34"/>
  <c r="J10" i="37"/>
  <c r="W10" i="37"/>
  <c r="F11" i="37"/>
  <c r="S11" i="37"/>
  <c r="J12" i="37"/>
  <c r="AC12" i="37"/>
  <c r="H12" i="37"/>
  <c r="AB12" i="37"/>
  <c r="F12" i="37"/>
  <c r="AA12" i="37"/>
  <c r="H15" i="37"/>
  <c r="U15" i="37"/>
  <c r="E94" i="37"/>
  <c r="F31" i="37"/>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BA15" i="3"/>
  <c r="BL17" i="3"/>
  <c r="BL15" i="3"/>
  <c r="BA14" i="3"/>
  <c r="AZ14" i="3" s="1"/>
  <c r="J57" i="39"/>
  <c r="H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F78" i="40"/>
  <c r="G78" i="40" s="1"/>
  <c r="H78" i="40" s="1"/>
  <c r="I78" i="40" s="1"/>
  <c r="J78" i="40" s="1"/>
  <c r="K78" i="40" s="1"/>
  <c r="L78" i="40" s="1"/>
  <c r="M78" i="40" s="1"/>
  <c r="BH5" i="3"/>
  <c r="R16" i="4"/>
  <c r="P16" i="4"/>
  <c r="D3" i="35"/>
  <c r="G4" i="4"/>
  <c r="J16" i="35"/>
  <c r="W16" i="35" s="1"/>
  <c r="AC26" i="36"/>
  <c r="W25" i="35"/>
  <c r="AZ300" i="3"/>
  <c r="AZ322" i="3"/>
  <c r="H13" i="39"/>
  <c r="AB13" i="39" s="1"/>
  <c r="F13" i="39"/>
  <c r="AA13" i="39" s="1"/>
  <c r="J13" i="39"/>
  <c r="AC13" i="39" s="1"/>
  <c r="H11" i="37"/>
  <c r="AB11" i="37"/>
  <c r="W37" i="37"/>
  <c r="AB17" i="37"/>
  <c r="AA45" i="33"/>
  <c r="AC11" i="36"/>
  <c r="AC10" i="36"/>
  <c r="AB45" i="34"/>
  <c r="AB35" i="35"/>
  <c r="S25" i="35"/>
  <c r="W44" i="33"/>
  <c r="AC30" i="33"/>
  <c r="AC29" i="37"/>
  <c r="AC32" i="36"/>
  <c r="J33" i="34"/>
  <c r="AB36" i="34"/>
  <c r="J40" i="34"/>
  <c r="W40" i="34"/>
  <c r="F16" i="35"/>
  <c r="AA16" i="35"/>
  <c r="J35" i="34"/>
  <c r="W35" i="34" s="1"/>
  <c r="F107" i="34"/>
  <c r="G107" i="34" s="1"/>
  <c r="H107" i="34" s="1"/>
  <c r="I107" i="34" s="1"/>
  <c r="J107" i="34" s="1"/>
  <c r="K107" i="34" s="1"/>
  <c r="L107" i="34" s="1"/>
  <c r="M107" i="34" s="1"/>
  <c r="S30" i="36"/>
  <c r="H16" i="36"/>
  <c r="AB16" i="36"/>
  <c r="H35" i="37"/>
  <c r="S26" i="21"/>
  <c r="H32" i="21"/>
  <c r="AB26" i="21"/>
  <c r="U26" i="21"/>
  <c r="J32" i="21"/>
  <c r="AC32" i="21" s="1"/>
  <c r="F17" i="21"/>
  <c r="S17" i="21" s="1"/>
  <c r="H37" i="21"/>
  <c r="U37" i="21" s="1"/>
  <c r="F40" i="21"/>
  <c r="H40" i="21"/>
  <c r="AB40" i="21" s="1"/>
  <c r="E119" i="21"/>
  <c r="F119" i="21" s="1"/>
  <c r="G119" i="21" s="1"/>
  <c r="H119" i="21" s="1"/>
  <c r="I119" i="21" s="1"/>
  <c r="J119" i="21" s="1"/>
  <c r="K119" i="21" s="1"/>
  <c r="L119" i="21" s="1"/>
  <c r="M119" i="21" s="1"/>
  <c r="S8" i="33"/>
  <c r="H66" i="33"/>
  <c r="I66" i="33" s="1"/>
  <c r="F10" i="33"/>
  <c r="AA10" i="33" s="1"/>
  <c r="F11" i="33"/>
  <c r="S11" i="33" s="1"/>
  <c r="H19" i="33"/>
  <c r="AB19" i="33" s="1"/>
  <c r="F35" i="33"/>
  <c r="AA35" i="33" s="1"/>
  <c r="AB39" i="34"/>
  <c r="F11" i="34"/>
  <c r="E80" i="34"/>
  <c r="F80" i="34" s="1"/>
  <c r="G80" i="34" s="1"/>
  <c r="H17" i="34"/>
  <c r="AB17" i="34" s="1"/>
  <c r="AC27" i="34"/>
  <c r="S12" i="35"/>
  <c r="U28" i="35"/>
  <c r="H11" i="35"/>
  <c r="J11" i="35"/>
  <c r="AC11" i="35" s="1"/>
  <c r="F96" i="37"/>
  <c r="G96" i="37" s="1"/>
  <c r="H96" i="37" s="1"/>
  <c r="I96" i="37" s="1"/>
  <c r="J96" i="37" s="1"/>
  <c r="K96" i="37" s="1"/>
  <c r="L96" i="37" s="1"/>
  <c r="M96" i="37" s="1"/>
  <c r="H32" i="37"/>
  <c r="AB32" i="37"/>
  <c r="AC27" i="37"/>
  <c r="U25" i="35"/>
  <c r="S45" i="34"/>
  <c r="U31" i="34"/>
  <c r="AC40" i="37"/>
  <c r="W40" i="37"/>
  <c r="S14" i="21"/>
  <c r="AA44" i="34"/>
  <c r="U29" i="35"/>
  <c r="U43" i="34"/>
  <c r="AB43" i="34"/>
  <c r="AC34" i="37"/>
  <c r="AA35" i="37"/>
  <c r="AB40" i="33"/>
  <c r="U40" i="33"/>
  <c r="H27" i="34"/>
  <c r="AB8" i="35"/>
  <c r="U8" i="35"/>
  <c r="S9" i="35"/>
  <c r="J14" i="35"/>
  <c r="AC14" i="35"/>
  <c r="F14" i="35"/>
  <c r="H14" i="35"/>
  <c r="E80" i="35"/>
  <c r="F80" i="35" s="1"/>
  <c r="G80" i="35" s="1"/>
  <c r="H80" i="35" s="1"/>
  <c r="I80" i="35" s="1"/>
  <c r="J80" i="35" s="1"/>
  <c r="K80" i="35" s="1"/>
  <c r="L80" i="35" s="1"/>
  <c r="M80" i="35" s="1"/>
  <c r="F94" i="35"/>
  <c r="G94" i="35" s="1"/>
  <c r="H94" i="35"/>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c r="H33" i="36"/>
  <c r="U33" i="36"/>
  <c r="F33" i="36"/>
  <c r="AA33" i="36"/>
  <c r="H27" i="36"/>
  <c r="AB27" i="36"/>
  <c r="AC25" i="37"/>
  <c r="AB29" i="37"/>
  <c r="AA30" i="37"/>
  <c r="S30" i="37"/>
  <c r="AC30" i="37"/>
  <c r="AC31" i="37"/>
  <c r="W31" i="37"/>
  <c r="F44" i="39"/>
  <c r="S44" i="39" s="1"/>
  <c r="H44" i="39"/>
  <c r="U44" i="39" s="1"/>
  <c r="J44" i="39"/>
  <c r="AC44" i="39" s="1"/>
  <c r="E128" i="39"/>
  <c r="F128" i="39"/>
  <c r="G128" i="39" s="1"/>
  <c r="H128" i="39" s="1"/>
  <c r="I128" i="39" s="1"/>
  <c r="J128" i="39" s="1"/>
  <c r="K128" i="39" s="1"/>
  <c r="L128" i="39" s="1"/>
  <c r="M128" i="39" s="1"/>
  <c r="F46" i="39"/>
  <c r="S46" i="39"/>
  <c r="H46" i="39"/>
  <c r="U46" i="39"/>
  <c r="J46" i="39"/>
  <c r="W46" i="39"/>
  <c r="E103" i="39"/>
  <c r="H29" i="39"/>
  <c r="U29" i="39" s="1"/>
  <c r="H39" i="39"/>
  <c r="AB39" i="39" s="1"/>
  <c r="J39" i="39"/>
  <c r="AC39" i="39" s="1"/>
  <c r="J29" i="35"/>
  <c r="AC29" i="35"/>
  <c r="F29" i="35"/>
  <c r="S29" i="35"/>
  <c r="F37" i="39"/>
  <c r="S37" i="39"/>
  <c r="H37" i="39"/>
  <c r="U37" i="39"/>
  <c r="J37" i="39"/>
  <c r="W37" i="39"/>
  <c r="BA568" i="3"/>
  <c r="AZ568" i="3" s="1"/>
  <c r="BA553" i="3"/>
  <c r="AZ553" i="3"/>
  <c r="BL549" i="3"/>
  <c r="BA549" i="3"/>
  <c r="AZ549" i="3" s="1"/>
  <c r="BL548" i="3"/>
  <c r="BA548" i="3"/>
  <c r="BA539" i="3"/>
  <c r="BL537" i="3"/>
  <c r="BA535" i="3"/>
  <c r="AZ535" i="3" s="1"/>
  <c r="BA534" i="3"/>
  <c r="AZ534" i="3" s="1"/>
  <c r="BA533" i="3"/>
  <c r="AZ533" i="3" s="1"/>
  <c r="BL531" i="3"/>
  <c r="BL530" i="3"/>
  <c r="AZ530" i="3" s="1"/>
  <c r="BA530" i="3"/>
  <c r="BL529" i="3"/>
  <c r="BA529" i="3"/>
  <c r="BL528" i="3"/>
  <c r="AZ528" i="3" s="1"/>
  <c r="BA527" i="3"/>
  <c r="AZ527" i="3" s="1"/>
  <c r="BA526" i="3"/>
  <c r="BL523" i="3"/>
  <c r="BA523" i="3"/>
  <c r="AZ523" i="3"/>
  <c r="BA522" i="3"/>
  <c r="AZ522" i="3" s="1"/>
  <c r="BL521" i="3"/>
  <c r="AZ521" i="3" s="1"/>
  <c r="BA519" i="3"/>
  <c r="AZ519" i="3" s="1"/>
  <c r="BL518" i="3"/>
  <c r="BA517" i="3"/>
  <c r="BA514" i="3"/>
  <c r="BA511" i="3"/>
  <c r="AZ511" i="3"/>
  <c r="BA510" i="3"/>
  <c r="AZ510" i="3"/>
  <c r="BL509" i="3"/>
  <c r="BA507" i="3"/>
  <c r="BA504" i="3"/>
  <c r="AZ504" i="3" s="1"/>
  <c r="BA503" i="3"/>
  <c r="AZ503" i="3"/>
  <c r="BA499" i="3"/>
  <c r="BL497" i="3"/>
  <c r="BA496" i="3"/>
  <c r="BA495" i="3"/>
  <c r="AZ495" i="3"/>
  <c r="BA494" i="3"/>
  <c r="BL489" i="3"/>
  <c r="BL487" i="3"/>
  <c r="AZ487" i="3"/>
  <c r="BL486" i="3"/>
  <c r="BA486" i="3"/>
  <c r="BL19" i="3"/>
  <c r="BA18" i="3"/>
  <c r="F114" i="34"/>
  <c r="G114" i="34" s="1"/>
  <c r="H114" i="34"/>
  <c r="I114" i="34" s="1"/>
  <c r="J114" i="34" s="1"/>
  <c r="K114" i="34" s="1"/>
  <c r="L114" i="34" s="1"/>
  <c r="M114" i="34" s="1"/>
  <c r="H38" i="34"/>
  <c r="H30" i="40"/>
  <c r="AB30" i="40" s="1"/>
  <c r="J30" i="40"/>
  <c r="AC30" i="40"/>
  <c r="F38" i="40"/>
  <c r="AA38" i="40"/>
  <c r="AA36" i="34"/>
  <c r="AC12" i="21"/>
  <c r="W12" i="21"/>
  <c r="U8" i="21"/>
  <c r="AB8" i="33"/>
  <c r="U8" i="33"/>
  <c r="E106" i="33"/>
  <c r="H34" i="33"/>
  <c r="U34" i="33" s="1"/>
  <c r="F34" i="33"/>
  <c r="S34" i="33" s="1"/>
  <c r="E121" i="33"/>
  <c r="F121" i="33" s="1"/>
  <c r="F41" i="33"/>
  <c r="S41" i="33" s="1"/>
  <c r="AC34" i="34"/>
  <c r="AA39" i="34"/>
  <c r="S39" i="34"/>
  <c r="S43" i="34"/>
  <c r="E78" i="34"/>
  <c r="F15" i="34"/>
  <c r="AA15" i="34" s="1"/>
  <c r="AC28" i="35"/>
  <c r="W28" i="35"/>
  <c r="J20" i="35"/>
  <c r="AC20" i="35"/>
  <c r="F72" i="35"/>
  <c r="G72" i="35" s="1"/>
  <c r="H22" i="35"/>
  <c r="AB22" i="35" s="1"/>
  <c r="H23" i="35"/>
  <c r="AB23" i="35" s="1"/>
  <c r="W12" i="36"/>
  <c r="AC12" i="36"/>
  <c r="U31" i="36"/>
  <c r="F14" i="39"/>
  <c r="AA14" i="39" s="1"/>
  <c r="H14" i="39"/>
  <c r="AB14" i="39" s="1"/>
  <c r="J14" i="39"/>
  <c r="F16" i="39"/>
  <c r="H16" i="39"/>
  <c r="U16" i="39" s="1"/>
  <c r="J16" i="39"/>
  <c r="AC16" i="39" s="1"/>
  <c r="E97" i="39"/>
  <c r="F15" i="40"/>
  <c r="AA15" i="40"/>
  <c r="J15" i="40"/>
  <c r="H15" i="40"/>
  <c r="AB15" i="40" s="1"/>
  <c r="E92" i="40"/>
  <c r="F92" i="40" s="1"/>
  <c r="G92" i="40" s="1"/>
  <c r="H23" i="40"/>
  <c r="H41" i="40"/>
  <c r="AB41" i="40" s="1"/>
  <c r="F41" i="40"/>
  <c r="AA41" i="40" s="1"/>
  <c r="J41" i="40"/>
  <c r="W41" i="40" s="1"/>
  <c r="H37" i="34"/>
  <c r="AB37" i="34" s="1"/>
  <c r="F15" i="39"/>
  <c r="AA15" i="39"/>
  <c r="H15" i="39"/>
  <c r="U15" i="39"/>
  <c r="J15" i="39"/>
  <c r="AC15" i="39"/>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J25" i="40"/>
  <c r="AC25" i="40" s="1"/>
  <c r="J32" i="40"/>
  <c r="AC32" i="40" s="1"/>
  <c r="H32" i="40"/>
  <c r="H33" i="40"/>
  <c r="AB33" i="40" s="1"/>
  <c r="F33" i="40"/>
  <c r="AA33" i="40" s="1"/>
  <c r="J33" i="40"/>
  <c r="H35" i="40"/>
  <c r="J35" i="40"/>
  <c r="J38" i="39"/>
  <c r="H38" i="39"/>
  <c r="J16" i="40"/>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W40" i="40"/>
  <c r="F27" i="43"/>
  <c r="F71" i="9"/>
  <c r="AC14" i="40"/>
  <c r="AC47" i="39"/>
  <c r="AC41" i="40"/>
  <c r="U41" i="40"/>
  <c r="J23" i="40"/>
  <c r="AC23" i="40"/>
  <c r="F23" i="40"/>
  <c r="AC15" i="40"/>
  <c r="W15" i="40"/>
  <c r="U23" i="35"/>
  <c r="H20" i="35"/>
  <c r="AB20" i="35" s="1"/>
  <c r="F20" i="35"/>
  <c r="S20" i="35"/>
  <c r="H15" i="34"/>
  <c r="AB15" i="34"/>
  <c r="F78" i="34"/>
  <c r="G78" i="34"/>
  <c r="J15" i="34"/>
  <c r="H41" i="33"/>
  <c r="U41" i="33" s="1"/>
  <c r="G121" i="33"/>
  <c r="H121" i="33" s="1"/>
  <c r="I121" i="33" s="1"/>
  <c r="J121" i="33" s="1"/>
  <c r="K121" i="33" s="1"/>
  <c r="L121" i="33" s="1"/>
  <c r="M121" i="33" s="1"/>
  <c r="F30" i="40"/>
  <c r="AA30" i="40"/>
  <c r="AZ486" i="3"/>
  <c r="AZ529" i="3"/>
  <c r="AZ548" i="3"/>
  <c r="AB37" i="39"/>
  <c r="AA29" i="35"/>
  <c r="U39" i="39"/>
  <c r="AB33" i="36"/>
  <c r="AA14" i="35"/>
  <c r="S14" i="35"/>
  <c r="F33" i="37"/>
  <c r="U17" i="34"/>
  <c r="AA11" i="33"/>
  <c r="S13" i="39"/>
  <c r="U16" i="40"/>
  <c r="W34" i="40"/>
  <c r="AB34" i="40"/>
  <c r="U42" i="40"/>
  <c r="W32" i="40"/>
  <c r="H25" i="40"/>
  <c r="AB25" i="40"/>
  <c r="F94" i="40"/>
  <c r="G94" i="40"/>
  <c r="W15" i="39"/>
  <c r="J37" i="34"/>
  <c r="AC37" i="34"/>
  <c r="F97" i="39"/>
  <c r="F23" i="39" s="1"/>
  <c r="F106" i="33"/>
  <c r="G106" i="33" s="1"/>
  <c r="H106" i="33" s="1"/>
  <c r="I106" i="33" s="1"/>
  <c r="J106" i="33" s="1"/>
  <c r="K106" i="33" s="1"/>
  <c r="L106" i="33" s="1"/>
  <c r="M106" i="33" s="1"/>
  <c r="J34" i="33"/>
  <c r="AC34" i="33" s="1"/>
  <c r="U30" i="40"/>
  <c r="AA37" i="39"/>
  <c r="W29" i="35"/>
  <c r="S39" i="39"/>
  <c r="AB46" i="39"/>
  <c r="U11" i="36"/>
  <c r="W14" i="35"/>
  <c r="F90" i="34"/>
  <c r="G90" i="34" s="1"/>
  <c r="H90" i="34" s="1"/>
  <c r="I90" i="34" s="1"/>
  <c r="J90" i="34" s="1"/>
  <c r="K90" i="34" s="1"/>
  <c r="L90" i="34" s="1"/>
  <c r="M90" i="34" s="1"/>
  <c r="F27" i="34"/>
  <c r="F32" i="37"/>
  <c r="S32" i="37"/>
  <c r="U11" i="35"/>
  <c r="AB11" i="35"/>
  <c r="F17" i="34"/>
  <c r="AA17" i="34" s="1"/>
  <c r="J17" i="34"/>
  <c r="AC17" i="34" s="1"/>
  <c r="H11" i="34"/>
  <c r="AB11" i="34" s="1"/>
  <c r="J35" i="33"/>
  <c r="W35" i="33" s="1"/>
  <c r="H11" i="33"/>
  <c r="U11" i="33" s="1"/>
  <c r="H10" i="33"/>
  <c r="U10" i="33" s="1"/>
  <c r="J10" i="33"/>
  <c r="AC10" i="33" s="1"/>
  <c r="U40" i="21"/>
  <c r="U11" i="37"/>
  <c r="U13" i="39"/>
  <c r="AC16" i="35"/>
  <c r="AC13" i="40"/>
  <c r="J11" i="34"/>
  <c r="F25" i="40"/>
  <c r="AA25" i="40"/>
  <c r="J11" i="33"/>
  <c r="W11" i="33" s="1"/>
  <c r="H33" i="37"/>
  <c r="AB33" i="37" s="1"/>
  <c r="W15" i="34"/>
  <c r="AC15" i="34"/>
  <c r="U20" i="35"/>
  <c r="W23" i="40"/>
  <c r="D73" i="9"/>
  <c r="N73" i="9" s="1"/>
  <c r="AP11" i="1"/>
  <c r="B11" i="1"/>
  <c r="E11" i="1"/>
  <c r="K11" i="1"/>
  <c r="M11" i="1" s="1"/>
  <c r="B9" i="1"/>
  <c r="E9" i="1" s="1"/>
  <c r="K9" i="1"/>
  <c r="B7" i="1"/>
  <c r="E7" i="1" s="1"/>
  <c r="K7" i="1"/>
  <c r="M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AC33" i="35"/>
  <c r="AC9" i="35"/>
  <c r="S8" i="35"/>
  <c r="U33" i="35"/>
  <c r="AA20" i="35"/>
  <c r="W20" i="35"/>
  <c r="S16" i="35"/>
  <c r="AC10" i="35"/>
  <c r="AC18" i="35"/>
  <c r="W18" i="35"/>
  <c r="U18" i="35"/>
  <c r="AB18" i="35"/>
  <c r="S30" i="35"/>
  <c r="AA35" i="35"/>
  <c r="AB30" i="35"/>
  <c r="S27" i="35"/>
  <c r="S28" i="35"/>
  <c r="H26" i="35"/>
  <c r="AB26" i="35" s="1"/>
  <c r="W12" i="37"/>
  <c r="S17" i="37"/>
  <c r="W28" i="37"/>
  <c r="AB37" i="37"/>
  <c r="S33" i="37"/>
  <c r="AA33" i="37"/>
  <c r="U32" i="37"/>
  <c r="AA32" i="37"/>
  <c r="J33" i="37"/>
  <c r="W33" i="37" s="1"/>
  <c r="J19" i="37"/>
  <c r="AC19" i="37"/>
  <c r="F19" i="37"/>
  <c r="AA19" i="37" s="1"/>
  <c r="H19" i="37"/>
  <c r="J17" i="37"/>
  <c r="S15" i="37"/>
  <c r="AC10" i="37"/>
  <c r="AC21" i="37"/>
  <c r="W21" i="37"/>
  <c r="AC11" i="37"/>
  <c r="W32" i="37"/>
  <c r="U8" i="37"/>
  <c r="AB25" i="37"/>
  <c r="AB21" i="37"/>
  <c r="U21" i="37"/>
  <c r="S37" i="37"/>
  <c r="AA11" i="37"/>
  <c r="AC45" i="34"/>
  <c r="AA40" i="34"/>
  <c r="AB33" i="34"/>
  <c r="AC35" i="34"/>
  <c r="U44" i="34"/>
  <c r="U34" i="34"/>
  <c r="U28" i="34"/>
  <c r="J25" i="34"/>
  <c r="H25" i="34"/>
  <c r="F25" i="34"/>
  <c r="J23" i="34"/>
  <c r="F23" i="34"/>
  <c r="S23" i="34" s="1"/>
  <c r="H23" i="34"/>
  <c r="W17" i="34"/>
  <c r="W10" i="34"/>
  <c r="U10" i="34"/>
  <c r="W37" i="34"/>
  <c r="AC40" i="34"/>
  <c r="W19" i="34"/>
  <c r="W29" i="34"/>
  <c r="AC21" i="34"/>
  <c r="W21" i="34"/>
  <c r="U15" i="34"/>
  <c r="AB21" i="34"/>
  <c r="U21" i="34"/>
  <c r="U19" i="34"/>
  <c r="S13" i="34"/>
  <c r="S9" i="34"/>
  <c r="S10" i="34"/>
  <c r="AC12" i="33"/>
  <c r="AB11" i="33"/>
  <c r="W31" i="33"/>
  <c r="U46" i="33"/>
  <c r="U35" i="33"/>
  <c r="F17" i="33"/>
  <c r="S17" i="33" s="1"/>
  <c r="H17" i="33"/>
  <c r="AB17" i="33" s="1"/>
  <c r="J17" i="33"/>
  <c r="AC17" i="33" s="1"/>
  <c r="AC11" i="33"/>
  <c r="AC21" i="33"/>
  <c r="W21" i="33"/>
  <c r="AB21" i="33"/>
  <c r="U21" i="33"/>
  <c r="AA21" i="33"/>
  <c r="S21" i="33"/>
  <c r="AA44" i="33"/>
  <c r="S44" i="21"/>
  <c r="W43" i="21"/>
  <c r="AA37" i="21"/>
  <c r="AB37" i="21"/>
  <c r="AC46" i="21"/>
  <c r="J23" i="21"/>
  <c r="W23" i="21" s="1"/>
  <c r="F23" i="21"/>
  <c r="S23" i="21" s="1"/>
  <c r="H23" i="21"/>
  <c r="U23" i="21" s="1"/>
  <c r="AC21" i="21"/>
  <c r="W21" i="21"/>
  <c r="W44" i="21"/>
  <c r="AC38" i="21"/>
  <c r="AB21" i="21"/>
  <c r="U21" i="21"/>
  <c r="U33" i="40"/>
  <c r="U15" i="40"/>
  <c r="S15" i="40"/>
  <c r="S16" i="40"/>
  <c r="W11" i="40"/>
  <c r="AA21" i="40"/>
  <c r="U21" i="40"/>
  <c r="W25" i="40"/>
  <c r="U25" i="40"/>
  <c r="W42" i="40"/>
  <c r="F37" i="40"/>
  <c r="J37" i="40"/>
  <c r="AC37" i="40"/>
  <c r="H37" i="40"/>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H19" i="40"/>
  <c r="J19" i="40"/>
  <c r="W17" i="40"/>
  <c r="AC17" i="40"/>
  <c r="F17" i="40"/>
  <c r="AA17" i="40"/>
  <c r="H17" i="40"/>
  <c r="AB17" i="40"/>
  <c r="W21" i="40"/>
  <c r="AB40" i="40"/>
  <c r="U10" i="40"/>
  <c r="U27" i="40"/>
  <c r="AB27" i="40"/>
  <c r="W13" i="39"/>
  <c r="S11" i="39"/>
  <c r="S14" i="39"/>
  <c r="AB15" i="39"/>
  <c r="U11" i="39"/>
  <c r="U31" i="39"/>
  <c r="AB31" i="39"/>
  <c r="S38" i="39"/>
  <c r="D96" i="9"/>
  <c r="M18" i="15"/>
  <c r="BA16" i="3"/>
  <c r="BA17" i="3"/>
  <c r="AZ17" i="3" s="1"/>
  <c r="F3" i="35"/>
  <c r="K1" i="43"/>
  <c r="K1" i="12"/>
  <c r="G1" i="44"/>
  <c r="AZ15" i="3"/>
  <c r="BN5" i="3"/>
  <c r="BL18" i="3"/>
  <c r="AZ18"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U13" i="37"/>
  <c r="S13" i="21"/>
  <c r="C24" i="9"/>
  <c r="C25" i="9"/>
  <c r="G9" i="1"/>
  <c r="I20" i="46"/>
  <c r="B6" i="63"/>
  <c r="B46" i="50"/>
  <c r="B4" i="63" s="1"/>
  <c r="C46" i="36"/>
  <c r="C59" i="34"/>
  <c r="C48" i="35"/>
  <c r="D48" i="35" s="1"/>
  <c r="C52" i="37"/>
  <c r="D52" i="37"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U23" i="36"/>
  <c r="AC27" i="36"/>
  <c r="W28" i="36"/>
  <c r="AA32" i="36"/>
  <c r="U13" i="36"/>
  <c r="AA22" i="36"/>
  <c r="AA13" i="36"/>
  <c r="W8" i="36"/>
  <c r="AC30" i="35"/>
  <c r="U24" i="35"/>
  <c r="W32" i="35"/>
  <c r="S24" i="35"/>
  <c r="AA33" i="35"/>
  <c r="U32" i="35"/>
  <c r="W22" i="35"/>
  <c r="W34" i="35"/>
  <c r="S32" i="35"/>
  <c r="W35" i="37"/>
  <c r="AC33" i="37"/>
  <c r="U33" i="37"/>
  <c r="AA13" i="37"/>
  <c r="S12" i="37"/>
  <c r="W38" i="37"/>
  <c r="W36" i="37"/>
  <c r="AB28" i="37"/>
  <c r="S28" i="37"/>
  <c r="W13" i="37"/>
  <c r="U38" i="37"/>
  <c r="AA31" i="34"/>
  <c r="AB35" i="34"/>
  <c r="W47" i="34"/>
  <c r="AB29" i="34"/>
  <c r="AB47" i="34"/>
  <c r="AB13" i="34"/>
  <c r="AC13" i="34"/>
  <c r="S47" i="34"/>
  <c r="AA29" i="34"/>
  <c r="S19" i="34"/>
  <c r="S8" i="34"/>
  <c r="AA19" i="33"/>
  <c r="AB14" i="33"/>
  <c r="AB12" i="33"/>
  <c r="S39" i="21"/>
  <c r="AA25" i="21"/>
  <c r="AC37" i="21"/>
  <c r="U27" i="21"/>
  <c r="S27" i="21"/>
  <c r="AC27" i="21"/>
  <c r="G96" i="40"/>
  <c r="J27" i="40"/>
  <c r="W37" i="40"/>
  <c r="S17" i="40"/>
  <c r="W30" i="40"/>
  <c r="U17" i="40"/>
  <c r="S40" i="40"/>
  <c r="J31" i="39"/>
  <c r="W31" i="39" s="1"/>
  <c r="AC46" i="39"/>
  <c r="W42" i="39"/>
  <c r="W36" i="39"/>
  <c r="AC37" i="39"/>
  <c r="U14" i="39"/>
  <c r="W16" i="39"/>
  <c r="S15" i="39"/>
  <c r="AA46" i="39"/>
  <c r="W10" i="39"/>
  <c r="W11" i="39"/>
  <c r="U42" i="39"/>
  <c r="W40" i="39"/>
  <c r="S32" i="40"/>
  <c r="C27" i="39"/>
  <c r="C17" i="40"/>
  <c r="C19" i="40"/>
  <c r="C19" i="39"/>
  <c r="C23" i="40"/>
  <c r="B48" i="46"/>
  <c r="B51" i="46"/>
  <c r="B59" i="46"/>
  <c r="B62" i="46"/>
  <c r="B66" i="46"/>
  <c r="B53" i="46"/>
  <c r="B64" i="46"/>
  <c r="D24" i="15"/>
  <c r="S14" i="36"/>
  <c r="AB20" i="36"/>
  <c r="AA20" i="36"/>
  <c r="AC14" i="36"/>
  <c r="W14" i="36"/>
  <c r="U14" i="36"/>
  <c r="AB14" i="36"/>
  <c r="U18" i="36"/>
  <c r="AB18" i="36"/>
  <c r="AA26" i="35"/>
  <c r="U26" i="35"/>
  <c r="S19" i="37"/>
  <c r="W19" i="37"/>
  <c r="AB19" i="37"/>
  <c r="U19" i="37"/>
  <c r="AC17" i="37"/>
  <c r="W17" i="37"/>
  <c r="U25" i="34"/>
  <c r="AB25" i="34"/>
  <c r="AA25" i="34"/>
  <c r="S25" i="34"/>
  <c r="W25" i="34"/>
  <c r="AC25" i="34"/>
  <c r="U23" i="34"/>
  <c r="AB23" i="34"/>
  <c r="AA23" i="34"/>
  <c r="AC23" i="34"/>
  <c r="W23" i="34"/>
  <c r="AA17" i="33"/>
  <c r="AB39" i="40"/>
  <c r="U39" i="40"/>
  <c r="AC39" i="40"/>
  <c r="AA39" i="40"/>
  <c r="S39" i="40"/>
  <c r="U37" i="40"/>
  <c r="AB37" i="40"/>
  <c r="AA37" i="40"/>
  <c r="S37" i="40"/>
  <c r="U29" i="40"/>
  <c r="AB29" i="40"/>
  <c r="AC29" i="40"/>
  <c r="AA29" i="40"/>
  <c r="W19" i="40"/>
  <c r="AC19" i="40"/>
  <c r="AA19" i="40"/>
  <c r="S19" i="40"/>
  <c r="AB19" i="40"/>
  <c r="U19" i="40"/>
  <c r="AC27" i="40"/>
  <c r="W27" i="40"/>
  <c r="AT6" i="3"/>
  <c r="AZ16" i="3"/>
  <c r="A9" i="64"/>
  <c r="A9" i="51"/>
  <c r="B9" i="63" s="1"/>
  <c r="D72" i="39"/>
  <c r="D67" i="40"/>
  <c r="G66" i="36"/>
  <c r="J18" i="36"/>
  <c r="AE6" i="1"/>
  <c r="W18" i="36"/>
  <c r="AC18" i="36"/>
  <c r="AG6" i="1"/>
  <c r="L20" i="6"/>
  <c r="E67" i="40"/>
  <c r="F65" i="40"/>
  <c r="F67" i="40" s="1"/>
  <c r="E72" i="39"/>
  <c r="F70" i="39"/>
  <c r="F72" i="39" s="1"/>
  <c r="G70" i="39"/>
  <c r="H70" i="39" s="1"/>
  <c r="G72" i="39"/>
  <c r="C45" i="9"/>
  <c r="H14" i="66" s="1"/>
  <c r="B7" i="66" s="1"/>
  <c r="K31" i="9"/>
  <c r="K32" i="9" s="1"/>
  <c r="N76" i="9"/>
  <c r="C46" i="9"/>
  <c r="K33" i="9" s="1"/>
  <c r="K34" i="9" s="1"/>
  <c r="F43" i="79"/>
  <c r="F7" i="79"/>
  <c r="M11" i="44"/>
  <c r="B11" i="67"/>
  <c r="F37" i="15"/>
  <c r="M24" i="15"/>
  <c r="J36" i="15"/>
  <c r="B14" i="67"/>
  <c r="M26" i="15"/>
  <c r="F9" i="67"/>
  <c r="M8" i="15"/>
  <c r="M28" i="15"/>
  <c r="N3" i="65"/>
  <c r="F43" i="15"/>
  <c r="M29" i="15"/>
  <c r="F36" i="15"/>
  <c r="F28" i="44"/>
  <c r="F42" i="15"/>
  <c r="L47" i="15"/>
  <c r="F9" i="44"/>
  <c r="F8" i="15"/>
  <c r="M30" i="44"/>
  <c r="F11" i="67"/>
  <c r="F45" i="44"/>
  <c r="F18" i="44"/>
  <c r="B12" i="67"/>
  <c r="F13" i="15"/>
  <c r="F13" i="67"/>
  <c r="N4" i="65"/>
  <c r="E9" i="67"/>
  <c r="M24" i="44"/>
  <c r="F39" i="44"/>
  <c r="F40" i="15"/>
  <c r="F43" i="44"/>
  <c r="M25" i="44"/>
  <c r="F9" i="15"/>
  <c r="M28" i="44"/>
  <c r="M9" i="15"/>
  <c r="F38" i="15"/>
  <c r="N7" i="65"/>
  <c r="E8" i="67"/>
  <c r="M29" i="79"/>
  <c r="F38" i="44"/>
  <c r="B9" i="67"/>
  <c r="B13" i="67"/>
  <c r="F15" i="44"/>
  <c r="E14" i="67"/>
  <c r="L48" i="15"/>
  <c r="M27" i="15"/>
  <c r="AE9" i="1"/>
  <c r="L49" i="44"/>
  <c r="E10" i="67"/>
  <c r="N6" i="65"/>
  <c r="F7" i="15"/>
  <c r="L48" i="44"/>
  <c r="M23" i="15"/>
  <c r="M26" i="44"/>
  <c r="F40" i="44"/>
  <c r="M8" i="44"/>
  <c r="J17" i="44"/>
  <c r="F10" i="67"/>
  <c r="F12" i="67"/>
  <c r="B10" i="67"/>
  <c r="J15" i="15"/>
  <c r="M10" i="44"/>
  <c r="M22" i="15"/>
  <c r="F8" i="44"/>
  <c r="F11" i="44"/>
  <c r="E13" i="67"/>
  <c r="F10" i="44"/>
  <c r="N5" i="65"/>
  <c r="B8" i="67"/>
  <c r="F6" i="15"/>
  <c r="M6" i="15"/>
  <c r="M31" i="44"/>
  <c r="F8" i="67"/>
  <c r="E12" i="67"/>
  <c r="F16" i="15"/>
  <c r="M29" i="44"/>
  <c r="F14" i="67"/>
  <c r="F26" i="15"/>
  <c r="E11" i="67"/>
  <c r="F49" i="79" l="1"/>
  <c r="C48" i="79" s="1"/>
  <c r="M7" i="79"/>
  <c r="J6" i="79" s="1"/>
  <c r="C6" i="79"/>
  <c r="F70" i="79"/>
  <c r="M9" i="1"/>
  <c r="AB45" i="39"/>
  <c r="F29" i="6"/>
  <c r="AA35" i="40"/>
  <c r="S35" i="40"/>
  <c r="AZ501" i="3"/>
  <c r="AZ498" i="3"/>
  <c r="AZ540" i="3"/>
  <c r="AZ538" i="3"/>
  <c r="W11" i="34"/>
  <c r="AC11" i="34"/>
  <c r="S23" i="40"/>
  <c r="AA23" i="40"/>
  <c r="AB47" i="39"/>
  <c r="U47" i="39"/>
  <c r="AB27" i="34"/>
  <c r="U27" i="34"/>
  <c r="U32" i="21"/>
  <c r="AB32" i="21"/>
  <c r="S31" i="37"/>
  <c r="AA31" i="37"/>
  <c r="S41" i="34"/>
  <c r="AA41" i="34"/>
  <c r="AZ542" i="3"/>
  <c r="AZ550" i="3"/>
  <c r="S30" i="21"/>
  <c r="AA30" i="21"/>
  <c r="AC44" i="34"/>
  <c r="W44" i="34"/>
  <c r="AC19" i="33"/>
  <c r="W19" i="33"/>
  <c r="U16" i="35"/>
  <c r="AB16" i="35"/>
  <c r="AA24" i="36"/>
  <c r="S24" i="36"/>
  <c r="AA22" i="35"/>
  <c r="S22" i="35"/>
  <c r="AB9" i="21"/>
  <c r="U9" i="21"/>
  <c r="AB35" i="21"/>
  <c r="U35" i="21"/>
  <c r="H5" i="3"/>
  <c r="S31" i="36"/>
  <c r="AA31" i="36"/>
  <c r="W8" i="37"/>
  <c r="AC8" i="37"/>
  <c r="H14" i="37"/>
  <c r="F14" i="37"/>
  <c r="J14" i="37"/>
  <c r="J26" i="37"/>
  <c r="F26" i="37"/>
  <c r="F14" i="40"/>
  <c r="H14" i="40"/>
  <c r="BA567" i="3"/>
  <c r="AZ567" i="3" s="1"/>
  <c r="BL565" i="3"/>
  <c r="AZ565" i="3" s="1"/>
  <c r="BL564" i="3"/>
  <c r="BA564" i="3"/>
  <c r="BA563" i="3"/>
  <c r="AZ563" i="3" s="1"/>
  <c r="BA561" i="3"/>
  <c r="AZ561" i="3" s="1"/>
  <c r="BL559" i="3"/>
  <c r="BA559" i="3"/>
  <c r="BL539" i="3"/>
  <c r="AZ539" i="3" s="1"/>
  <c r="BA537" i="3"/>
  <c r="AZ537" i="3" s="1"/>
  <c r="BL526" i="3"/>
  <c r="AZ526" i="3" s="1"/>
  <c r="BL524" i="3"/>
  <c r="AZ524" i="3" s="1"/>
  <c r="BA518" i="3"/>
  <c r="AZ518" i="3" s="1"/>
  <c r="BL516" i="3"/>
  <c r="BA516" i="3"/>
  <c r="AZ516" i="3" s="1"/>
  <c r="BA515" i="3"/>
  <c r="AZ515" i="3" s="1"/>
  <c r="BA513" i="3"/>
  <c r="AZ513" i="3" s="1"/>
  <c r="BL507" i="3"/>
  <c r="AZ507" i="3" s="1"/>
  <c r="BL505" i="3"/>
  <c r="BA505" i="3"/>
  <c r="BL494" i="3"/>
  <c r="AZ494" i="3" s="1"/>
  <c r="BL492" i="3"/>
  <c r="BA492" i="3"/>
  <c r="AZ492" i="3" s="1"/>
  <c r="BL490" i="3"/>
  <c r="AZ490" i="3" s="1"/>
  <c r="BA489" i="3"/>
  <c r="AZ489" i="3" s="1"/>
  <c r="BL485" i="3"/>
  <c r="BA485" i="3"/>
  <c r="AZ485" i="3" s="1"/>
  <c r="BA483" i="3"/>
  <c r="AZ483" i="3" s="1"/>
  <c r="BL482" i="3"/>
  <c r="BA482" i="3"/>
  <c r="BB5" i="3"/>
  <c r="E5" i="6" s="1"/>
  <c r="D21" i="12" s="1"/>
  <c r="C21" i="12" s="1"/>
  <c r="BL481" i="3"/>
  <c r="BK5" i="3"/>
  <c r="BA481" i="3"/>
  <c r="AZ481" i="3" s="1"/>
  <c r="BC5" i="3"/>
  <c r="F28" i="6"/>
  <c r="S27" i="34"/>
  <c r="AA27" i="34"/>
  <c r="U38" i="39"/>
  <c r="AB38" i="39"/>
  <c r="AC35" i="40"/>
  <c r="W35" i="40"/>
  <c r="AB35" i="40"/>
  <c r="U35" i="40"/>
  <c r="U32" i="40"/>
  <c r="AB32" i="40"/>
  <c r="U23" i="40"/>
  <c r="AB23" i="40"/>
  <c r="AC14" i="39"/>
  <c r="W14" i="39"/>
  <c r="AB35" i="37"/>
  <c r="U35" i="37"/>
  <c r="U13" i="40"/>
  <c r="AB13" i="40"/>
  <c r="U23" i="37"/>
  <c r="S36" i="37"/>
  <c r="AA36" i="37"/>
  <c r="W41" i="34"/>
  <c r="AC41" i="34"/>
  <c r="AZ502" i="3"/>
  <c r="AZ560" i="3"/>
  <c r="AZ551" i="3"/>
  <c r="AC13" i="21"/>
  <c r="W13" i="21"/>
  <c r="S33" i="34"/>
  <c r="AA33" i="34"/>
  <c r="AB43" i="21"/>
  <c r="U43" i="21"/>
  <c r="BA572" i="3"/>
  <c r="AZ572" i="3" s="1"/>
  <c r="BA571" i="3"/>
  <c r="AZ571" i="3" s="1"/>
  <c r="BL570" i="3"/>
  <c r="AZ570" i="3" s="1"/>
  <c r="E81" i="21"/>
  <c r="F81" i="21" s="1"/>
  <c r="G81" i="21" s="1"/>
  <c r="H19" i="21"/>
  <c r="AB19" i="21" s="1"/>
  <c r="E79" i="21"/>
  <c r="F79" i="21" s="1"/>
  <c r="G79" i="21" s="1"/>
  <c r="H17" i="21"/>
  <c r="AB17" i="21" s="1"/>
  <c r="E106" i="21"/>
  <c r="F106" i="21" s="1"/>
  <c r="G106" i="21" s="1"/>
  <c r="H106" i="21" s="1"/>
  <c r="I106" i="21" s="1"/>
  <c r="J106" i="21" s="1"/>
  <c r="K106" i="21" s="1"/>
  <c r="L106" i="21" s="1"/>
  <c r="M106" i="21" s="1"/>
  <c r="H34" i="21"/>
  <c r="U34" i="21" s="1"/>
  <c r="F13" i="33"/>
  <c r="J13" i="33"/>
  <c r="H13" i="33"/>
  <c r="J29" i="33"/>
  <c r="H29" i="33"/>
  <c r="F29" i="33"/>
  <c r="J24" i="36"/>
  <c r="H24" i="36"/>
  <c r="AA10" i="37"/>
  <c r="S10" i="37"/>
  <c r="H111" i="33"/>
  <c r="I111" i="33" s="1"/>
  <c r="J111" i="33" s="1"/>
  <c r="K111" i="33" s="1"/>
  <c r="L111" i="33" s="1"/>
  <c r="M111" i="33" s="1"/>
  <c r="H36" i="33"/>
  <c r="J36" i="33"/>
  <c r="W36" i="33" s="1"/>
  <c r="AA40" i="33"/>
  <c r="S40" i="33"/>
  <c r="BL566" i="3"/>
  <c r="AZ566" i="3" s="1"/>
  <c r="BL562" i="3"/>
  <c r="BA562" i="3"/>
  <c r="AZ562" i="3" s="1"/>
  <c r="BA552" i="3"/>
  <c r="AZ552" i="3" s="1"/>
  <c r="BL547" i="3"/>
  <c r="AZ547" i="3" s="1"/>
  <c r="BA536" i="3"/>
  <c r="AZ536" i="3" s="1"/>
  <c r="BL532" i="3"/>
  <c r="AZ532" i="3" s="1"/>
  <c r="BL525" i="3"/>
  <c r="AZ525" i="3" s="1"/>
  <c r="BL517" i="3"/>
  <c r="AZ517" i="3" s="1"/>
  <c r="BL514" i="3"/>
  <c r="AZ514" i="3" s="1"/>
  <c r="BL512" i="3"/>
  <c r="AZ512" i="3" s="1"/>
  <c r="BA508" i="3"/>
  <c r="AZ508" i="3" s="1"/>
  <c r="BA506" i="3"/>
  <c r="AZ506" i="3" s="1"/>
  <c r="BA500" i="3"/>
  <c r="AZ500" i="3" s="1"/>
  <c r="BL499" i="3"/>
  <c r="AZ499" i="3" s="1"/>
  <c r="BA497" i="3"/>
  <c r="AZ497" i="3" s="1"/>
  <c r="BL493" i="3"/>
  <c r="BA493" i="3"/>
  <c r="BL491" i="3"/>
  <c r="BA491" i="3"/>
  <c r="BL484" i="3"/>
  <c r="AZ484" i="3" s="1"/>
  <c r="BP5" i="3"/>
  <c r="G29" i="6" s="1"/>
  <c r="BE5" i="3"/>
  <c r="F34" i="15"/>
  <c r="F61" i="15" s="1"/>
  <c r="F34" i="77"/>
  <c r="F61" i="77" s="1"/>
  <c r="M20" i="77"/>
  <c r="F36" i="44"/>
  <c r="M20" i="15"/>
  <c r="O40" i="9"/>
  <c r="R7" i="54" s="1"/>
  <c r="B52" i="63" s="1"/>
  <c r="U17" i="33"/>
  <c r="B55" i="46"/>
  <c r="C21" i="39"/>
  <c r="C17" i="39"/>
  <c r="W45" i="39"/>
  <c r="S45" i="39"/>
  <c r="S42" i="40"/>
  <c r="U38" i="40"/>
  <c r="S34" i="40"/>
  <c r="AB25" i="21"/>
  <c r="AC15" i="37"/>
  <c r="W29" i="36"/>
  <c r="U10" i="36"/>
  <c r="BA13" i="3"/>
  <c r="BA5" i="3" s="1"/>
  <c r="AC26" i="21"/>
  <c r="W28" i="21"/>
  <c r="W39" i="21"/>
  <c r="AA36" i="33"/>
  <c r="W14" i="33"/>
  <c r="U11" i="34"/>
  <c r="S29" i="37"/>
  <c r="J26" i="35"/>
  <c r="U22" i="35"/>
  <c r="S29" i="36"/>
  <c r="S17" i="34"/>
  <c r="W39" i="39"/>
  <c r="S15" i="34"/>
  <c r="S41" i="40"/>
  <c r="AB16" i="39"/>
  <c r="U37" i="34"/>
  <c r="S33" i="40"/>
  <c r="F32" i="77"/>
  <c r="F59" i="77" s="1"/>
  <c r="F28" i="77"/>
  <c r="C28" i="77" s="1"/>
  <c r="M18" i="77"/>
  <c r="F34" i="44"/>
  <c r="F66" i="9"/>
  <c r="P72" i="9" s="1"/>
  <c r="F72" i="9"/>
  <c r="F32" i="15"/>
  <c r="F59" i="15" s="1"/>
  <c r="F70" i="9"/>
  <c r="M20" i="44"/>
  <c r="F30" i="44"/>
  <c r="F28" i="15"/>
  <c r="W16" i="40"/>
  <c r="AC16" i="40"/>
  <c r="W38" i="39"/>
  <c r="AC38" i="39"/>
  <c r="AC33" i="40"/>
  <c r="W33" i="40"/>
  <c r="AA47" i="39"/>
  <c r="S47" i="39"/>
  <c r="AA16" i="39"/>
  <c r="S16" i="39"/>
  <c r="S8" i="37"/>
  <c r="U38" i="34"/>
  <c r="AB38" i="34"/>
  <c r="AC30" i="36"/>
  <c r="F29" i="39"/>
  <c r="AA29" i="39" s="1"/>
  <c r="F103" i="39"/>
  <c r="G103" i="39" s="1"/>
  <c r="J29" i="39"/>
  <c r="AC29" i="39" s="1"/>
  <c r="AB34" i="36"/>
  <c r="S11" i="36"/>
  <c r="AA11" i="36"/>
  <c r="U14" i="35"/>
  <c r="AB14" i="35"/>
  <c r="S35" i="34"/>
  <c r="S11" i="34"/>
  <c r="AA11" i="34"/>
  <c r="S40" i="21"/>
  <c r="AA40" i="21"/>
  <c r="J17" i="21"/>
  <c r="AC17" i="21" s="1"/>
  <c r="AC33" i="34"/>
  <c r="W33" i="34"/>
  <c r="AA30" i="33"/>
  <c r="AZ299" i="3"/>
  <c r="AZ379" i="3"/>
  <c r="AC45" i="33"/>
  <c r="U39" i="37"/>
  <c r="AC23" i="37"/>
  <c r="AC43" i="33"/>
  <c r="W43" i="33"/>
  <c r="AA10" i="35"/>
  <c r="S10" i="35"/>
  <c r="U41" i="34"/>
  <c r="AB41" i="34"/>
  <c r="AZ569" i="3"/>
  <c r="S19" i="21"/>
  <c r="AC14" i="21"/>
  <c r="AB30" i="33"/>
  <c r="U30" i="33"/>
  <c r="AA14" i="33"/>
  <c r="S14" i="33"/>
  <c r="AA40" i="37"/>
  <c r="S40" i="37"/>
  <c r="AB28" i="33"/>
  <c r="U28" i="33"/>
  <c r="U30" i="21"/>
  <c r="AB30" i="21"/>
  <c r="AA37" i="34"/>
  <c r="S37" i="34"/>
  <c r="F34" i="36"/>
  <c r="U10" i="35"/>
  <c r="AB10" i="35"/>
  <c r="U31" i="35"/>
  <c r="AA16" i="36"/>
  <c r="S16" i="36"/>
  <c r="S41" i="21"/>
  <c r="U12" i="21"/>
  <c r="AB12" i="21"/>
  <c r="J19" i="21"/>
  <c r="W19" i="21" s="1"/>
  <c r="F34" i="21"/>
  <c r="AA34" i="21" s="1"/>
  <c r="G571" i="3"/>
  <c r="W35" i="21"/>
  <c r="AC35" i="21"/>
  <c r="J29" i="21"/>
  <c r="H29" i="21"/>
  <c r="F29" i="21"/>
  <c r="J31" i="21"/>
  <c r="H31" i="21"/>
  <c r="F31" i="21"/>
  <c r="J45" i="21"/>
  <c r="F45" i="21"/>
  <c r="H45" i="21"/>
  <c r="E77" i="21"/>
  <c r="J15" i="21"/>
  <c r="W15" i="21" s="1"/>
  <c r="F123" i="21"/>
  <c r="J42" i="21"/>
  <c r="AC42" i="21" s="1"/>
  <c r="W8" i="33"/>
  <c r="AC8" i="33"/>
  <c r="AB9" i="34"/>
  <c r="U9" i="34"/>
  <c r="AB9" i="35"/>
  <c r="U9" i="35"/>
  <c r="U45" i="33"/>
  <c r="AB45" i="33"/>
  <c r="J12" i="34"/>
  <c r="H12" i="34"/>
  <c r="F12" i="34"/>
  <c r="J14" i="34"/>
  <c r="F14" i="34"/>
  <c r="H14" i="34"/>
  <c r="H30" i="34"/>
  <c r="F30" i="34"/>
  <c r="J30" i="34"/>
  <c r="H32" i="34"/>
  <c r="F32" i="34"/>
  <c r="J32" i="34"/>
  <c r="H46" i="34"/>
  <c r="F46" i="34"/>
  <c r="J46" i="34"/>
  <c r="F13" i="35"/>
  <c r="J13" i="35"/>
  <c r="H13" i="35"/>
  <c r="J23" i="35"/>
  <c r="F23" i="35"/>
  <c r="H36" i="35"/>
  <c r="F36" i="35"/>
  <c r="W27" i="35"/>
  <c r="AC27" i="35"/>
  <c r="J9" i="36"/>
  <c r="H9" i="36"/>
  <c r="F9" i="36"/>
  <c r="H26" i="37"/>
  <c r="J9" i="37"/>
  <c r="H9" i="37"/>
  <c r="F9" i="37"/>
  <c r="J39" i="37"/>
  <c r="F39" i="37"/>
  <c r="AZ393" i="3"/>
  <c r="AZ396" i="3"/>
  <c r="AZ408" i="3"/>
  <c r="F113" i="33"/>
  <c r="G113" i="33" s="1"/>
  <c r="H113" i="33" s="1"/>
  <c r="I113" i="33" s="1"/>
  <c r="J113" i="33" s="1"/>
  <c r="K113" i="33" s="1"/>
  <c r="L113" i="33" s="1"/>
  <c r="M113" i="33" s="1"/>
  <c r="F37" i="33"/>
  <c r="AA37" i="33" s="1"/>
  <c r="BT5" i="3"/>
  <c r="G28" i="6" s="1"/>
  <c r="BI5" i="3"/>
  <c r="BG5" i="3"/>
  <c r="G7" i="21"/>
  <c r="H7" i="21" s="1"/>
  <c r="AB7" i="21" s="1"/>
  <c r="I7" i="21"/>
  <c r="J7" i="21" s="1"/>
  <c r="AC7" i="21" s="1"/>
  <c r="E7" i="21"/>
  <c r="F7" i="21" s="1"/>
  <c r="AA7" i="21" s="1"/>
  <c r="I7" i="33"/>
  <c r="J7" i="33" s="1"/>
  <c r="AC7" i="33" s="1"/>
  <c r="E7" i="33"/>
  <c r="G7" i="33"/>
  <c r="E117" i="33"/>
  <c r="F117" i="33" s="1"/>
  <c r="G117" i="33" s="1"/>
  <c r="J39" i="33"/>
  <c r="G536" i="3"/>
  <c r="G524" i="3"/>
  <c r="G512" i="3"/>
  <c r="G489" i="3"/>
  <c r="G481" i="3"/>
  <c r="AZ389" i="3"/>
  <c r="AZ411" i="3"/>
  <c r="AZ413" i="3"/>
  <c r="AZ424" i="3"/>
  <c r="AZ437" i="3"/>
  <c r="AZ451" i="3"/>
  <c r="AZ470" i="3"/>
  <c r="AZ473" i="3"/>
  <c r="AZ318" i="3"/>
  <c r="AZ334" i="3"/>
  <c r="AZ350" i="3"/>
  <c r="C18" i="9"/>
  <c r="D18" i="9" s="1"/>
  <c r="M44" i="9" s="1"/>
  <c r="C110" i="9"/>
  <c r="AZ447" i="3"/>
  <c r="AZ387" i="3"/>
  <c r="AZ210" i="3"/>
  <c r="AZ222" i="3"/>
  <c r="AZ226" i="3"/>
  <c r="AZ238" i="3"/>
  <c r="AZ242" i="3"/>
  <c r="AZ254" i="3"/>
  <c r="AZ258" i="3"/>
  <c r="AZ269" i="3"/>
  <c r="AZ272" i="3"/>
  <c r="AZ285" i="3"/>
  <c r="AZ288" i="3"/>
  <c r="AZ296" i="3"/>
  <c r="AZ125" i="3"/>
  <c r="AZ128" i="3"/>
  <c r="AZ141" i="3"/>
  <c r="AZ144" i="3"/>
  <c r="AZ155" i="3"/>
  <c r="AZ168" i="3"/>
  <c r="AZ171" i="3"/>
  <c r="AZ22" i="3"/>
  <c r="AZ38" i="3"/>
  <c r="AZ176" i="3"/>
  <c r="AZ182" i="3"/>
  <c r="AZ190" i="3"/>
  <c r="AZ204" i="3"/>
  <c r="AZ29" i="3"/>
  <c r="AZ36" i="3"/>
  <c r="AZ42" i="3"/>
  <c r="AZ45" i="3"/>
  <c r="AZ49" i="3"/>
  <c r="I21" i="57"/>
  <c r="D1" i="57" s="1"/>
  <c r="E10" i="57" s="1"/>
  <c r="AZ61" i="3"/>
  <c r="AZ64" i="3"/>
  <c r="AZ69" i="3"/>
  <c r="AZ80" i="3"/>
  <c r="AZ89" i="3"/>
  <c r="AZ100" i="3"/>
  <c r="AZ105" i="3"/>
  <c r="G1" i="77"/>
  <c r="C31" i="39"/>
  <c r="S27" i="40"/>
  <c r="F31" i="39"/>
  <c r="AA31" i="39" s="1"/>
  <c r="O52" i="59"/>
  <c r="O51" i="59"/>
  <c r="C38" i="59"/>
  <c r="D37" i="59"/>
  <c r="C29" i="59"/>
  <c r="D28" i="59"/>
  <c r="D40" i="59"/>
  <c r="C41" i="59"/>
  <c r="D45" i="59"/>
  <c r="C46" i="59"/>
  <c r="D48" i="59"/>
  <c r="C49" i="59"/>
  <c r="N51" i="59"/>
  <c r="N52" i="59"/>
  <c r="D53" i="59"/>
  <c r="C73" i="59"/>
  <c r="E65" i="59"/>
  <c r="E64" i="59" s="1"/>
  <c r="D58" i="59"/>
  <c r="E57" i="59"/>
  <c r="E56" i="59" s="1"/>
  <c r="D54" i="59"/>
  <c r="E52" i="59"/>
  <c r="E16" i="59"/>
  <c r="E17" i="59" s="1"/>
  <c r="E18" i="59" s="1"/>
  <c r="U18" i="59" s="1"/>
  <c r="AB13" i="59"/>
  <c r="AB11" i="59"/>
  <c r="AB14" i="59"/>
  <c r="AA14" i="59"/>
  <c r="AA12" i="59"/>
  <c r="AA3" i="59"/>
  <c r="X13" i="59"/>
  <c r="X11" i="59"/>
  <c r="X15" i="59"/>
  <c r="F16" i="59"/>
  <c r="F17" i="59" s="1"/>
  <c r="F18" i="59" s="1"/>
  <c r="V18" i="59" s="1"/>
  <c r="AA16" i="59"/>
  <c r="X17" i="59"/>
  <c r="AA18" i="59"/>
  <c r="B20" i="59"/>
  <c r="B21" i="59" s="1"/>
  <c r="B22" i="59" s="1"/>
  <c r="S22" i="59" s="1"/>
  <c r="C20" i="59"/>
  <c r="AB19" i="59"/>
  <c r="Y20" i="59"/>
  <c r="Z20" i="59" s="1"/>
  <c r="AB21" i="59"/>
  <c r="Y22" i="59"/>
  <c r="Z22" i="59" s="1"/>
  <c r="X23" i="59"/>
  <c r="E24" i="59"/>
  <c r="E25" i="59" s="1"/>
  <c r="E26" i="59" s="1"/>
  <c r="U26" i="59" s="1"/>
  <c r="F24" i="59"/>
  <c r="F25" i="59" s="1"/>
  <c r="F26" i="59" s="1"/>
  <c r="V26" i="59" s="1"/>
  <c r="X24" i="59"/>
  <c r="AA24" i="59"/>
  <c r="Q51" i="59"/>
  <c r="B13" i="59"/>
  <c r="B12" i="59" s="1"/>
  <c r="S14" i="59"/>
  <c r="U14" i="59"/>
  <c r="E13" i="59"/>
  <c r="E12" i="59" s="1"/>
  <c r="Y8" i="59"/>
  <c r="Z8" i="59" s="1"/>
  <c r="AB8" i="59"/>
  <c r="X8" i="59"/>
  <c r="X7" i="59"/>
  <c r="AA7" i="59"/>
  <c r="Y10" i="59"/>
  <c r="Z10" i="59" s="1"/>
  <c r="AB10" i="59"/>
  <c r="C9" i="59"/>
  <c r="T10" i="59"/>
  <c r="X9" i="59"/>
  <c r="AA8" i="59"/>
  <c r="Y7" i="59"/>
  <c r="Z7" i="59" s="1"/>
  <c r="AB7" i="59"/>
  <c r="AB5" i="59"/>
  <c r="F10" i="59"/>
  <c r="E10" i="59"/>
  <c r="C14" i="59"/>
  <c r="AA10" i="59"/>
  <c r="X10" i="59"/>
  <c r="Y9" i="59"/>
  <c r="Z9" i="59" s="1"/>
  <c r="AA9" i="59"/>
  <c r="AB9" i="59"/>
  <c r="X6" i="59"/>
  <c r="AA6" i="59"/>
  <c r="AA5" i="59"/>
  <c r="F14" i="59"/>
  <c r="Y6" i="59"/>
  <c r="Z6" i="59" s="1"/>
  <c r="AB6" i="59"/>
  <c r="X5" i="59"/>
  <c r="Y5" i="59"/>
  <c r="Z5" i="59" s="1"/>
  <c r="AC23" i="21"/>
  <c r="W33" i="33"/>
  <c r="B24" i="31"/>
  <c r="B25" i="31" s="1"/>
  <c r="C25" i="31" s="1"/>
  <c r="L16" i="4"/>
  <c r="G13" i="3"/>
  <c r="J42" i="33"/>
  <c r="W42" i="33" s="1"/>
  <c r="F123" i="33"/>
  <c r="AC42" i="33"/>
  <c r="S43" i="33"/>
  <c r="U38" i="33"/>
  <c r="U37" i="33"/>
  <c r="S37" i="33"/>
  <c r="AP8" i="1"/>
  <c r="M8" i="1"/>
  <c r="AC36" i="33"/>
  <c r="AB43" i="33"/>
  <c r="W41" i="33"/>
  <c r="S35" i="33"/>
  <c r="AB34" i="33"/>
  <c r="F32" i="33"/>
  <c r="AA32" i="33" s="1"/>
  <c r="F101" i="33"/>
  <c r="G101" i="33" s="1"/>
  <c r="H101" i="33" s="1"/>
  <c r="I101" i="33" s="1"/>
  <c r="J101" i="33" s="1"/>
  <c r="K101" i="33" s="1"/>
  <c r="L101" i="33" s="1"/>
  <c r="M101" i="33" s="1"/>
  <c r="H32" i="33"/>
  <c r="AB32" i="33" s="1"/>
  <c r="J32" i="33"/>
  <c r="AC32" i="33" s="1"/>
  <c r="S28" i="33"/>
  <c r="H27" i="33"/>
  <c r="U27" i="33" s="1"/>
  <c r="F27" i="33"/>
  <c r="S27" i="33" s="1"/>
  <c r="F91" i="33"/>
  <c r="G91" i="33" s="1"/>
  <c r="H91" i="33" s="1"/>
  <c r="I91" i="33" s="1"/>
  <c r="J91" i="33" s="1"/>
  <c r="K91" i="33" s="1"/>
  <c r="L91" i="33" s="1"/>
  <c r="M91" i="33" s="1"/>
  <c r="J27" i="33"/>
  <c r="AC27" i="33" s="1"/>
  <c r="J25" i="33"/>
  <c r="W25" i="33" s="1"/>
  <c r="H25" i="33"/>
  <c r="AB25" i="33" s="1"/>
  <c r="F87" i="33"/>
  <c r="G87" i="33" s="1"/>
  <c r="H87" i="33" s="1"/>
  <c r="I87" i="33" s="1"/>
  <c r="J87" i="33" s="1"/>
  <c r="K87" i="33" s="1"/>
  <c r="L87" i="33" s="1"/>
  <c r="M87" i="33" s="1"/>
  <c r="F25" i="33"/>
  <c r="AA25" i="33" s="1"/>
  <c r="F23" i="33"/>
  <c r="F85" i="33"/>
  <c r="G85" i="33" s="1"/>
  <c r="J23" i="33"/>
  <c r="H23" i="33"/>
  <c r="U23" i="33" s="1"/>
  <c r="U19" i="33"/>
  <c r="W17" i="33"/>
  <c r="F77" i="33"/>
  <c r="G77" i="33" s="1"/>
  <c r="F15" i="33"/>
  <c r="H15" i="33"/>
  <c r="U15" i="33" s="1"/>
  <c r="J15" i="33"/>
  <c r="AB15" i="33"/>
  <c r="S10" i="33"/>
  <c r="AB10" i="33"/>
  <c r="W10" i="33"/>
  <c r="S9" i="33"/>
  <c r="W9" i="33"/>
  <c r="AB41" i="33"/>
  <c r="AA41" i="33"/>
  <c r="S39" i="33"/>
  <c r="U39" i="33"/>
  <c r="S38" i="33"/>
  <c r="AC37" i="33"/>
  <c r="AC35" i="33"/>
  <c r="W34" i="33"/>
  <c r="AA34" i="33"/>
  <c r="S32" i="33"/>
  <c r="W32" i="33"/>
  <c r="AC28" i="33"/>
  <c r="AB27" i="33"/>
  <c r="S26" i="33"/>
  <c r="W26" i="33"/>
  <c r="AB26" i="33"/>
  <c r="W7" i="33"/>
  <c r="AC5" i="3"/>
  <c r="A30" i="51"/>
  <c r="B22" i="63" s="1"/>
  <c r="A30" i="64"/>
  <c r="K17" i="4"/>
  <c r="A22" i="51" s="1"/>
  <c r="B16" i="63" s="1"/>
  <c r="I4" i="6"/>
  <c r="G3" i="46" s="1"/>
  <c r="Y11" i="46" s="1"/>
  <c r="Y13" i="46" s="1"/>
  <c r="BL13" i="3"/>
  <c r="H16" i="1"/>
  <c r="E29" i="6"/>
  <c r="K15" i="1" s="1"/>
  <c r="F30" i="6"/>
  <c r="AB34" i="21"/>
  <c r="S32" i="21"/>
  <c r="J11" i="21"/>
  <c r="G69" i="21"/>
  <c r="H69" i="21" s="1"/>
  <c r="I69" i="21" s="1"/>
  <c r="J69" i="21" s="1"/>
  <c r="K69" i="21" s="1"/>
  <c r="L69" i="21" s="1"/>
  <c r="M69" i="21" s="1"/>
  <c r="F11" i="21"/>
  <c r="H11" i="21"/>
  <c r="AB23" i="21"/>
  <c r="U17" i="21"/>
  <c r="U42" i="21"/>
  <c r="S21" i="21"/>
  <c r="AA17" i="21"/>
  <c r="H126" i="39"/>
  <c r="I126" i="39" s="1"/>
  <c r="J126" i="39" s="1"/>
  <c r="K126" i="39" s="1"/>
  <c r="L126" i="39" s="1"/>
  <c r="M126" i="39" s="1"/>
  <c r="H43" i="39"/>
  <c r="F43" i="39"/>
  <c r="J43" i="39"/>
  <c r="U41" i="39"/>
  <c r="H34" i="39"/>
  <c r="AB34" i="39" s="1"/>
  <c r="H109" i="39"/>
  <c r="I109" i="39" s="1"/>
  <c r="J109" i="39" s="1"/>
  <c r="K109" i="39" s="1"/>
  <c r="L109" i="39" s="1"/>
  <c r="M109" i="39" s="1"/>
  <c r="F34" i="39"/>
  <c r="J34" i="39"/>
  <c r="AC34" i="39" s="1"/>
  <c r="F33" i="39"/>
  <c r="J33" i="39"/>
  <c r="F107" i="39"/>
  <c r="G107" i="39" s="1"/>
  <c r="H107" i="39" s="1"/>
  <c r="I107" i="39" s="1"/>
  <c r="J107" i="39" s="1"/>
  <c r="K107" i="39" s="1"/>
  <c r="L107" i="39" s="1"/>
  <c r="M107" i="39" s="1"/>
  <c r="H33" i="39"/>
  <c r="S29" i="39"/>
  <c r="AB29" i="39"/>
  <c r="F27" i="39"/>
  <c r="J27" i="39"/>
  <c r="AC27" i="39" s="1"/>
  <c r="G101" i="39"/>
  <c r="H27" i="39"/>
  <c r="AB25" i="39"/>
  <c r="AA23" i="39"/>
  <c r="S23" i="39"/>
  <c r="G97" i="39"/>
  <c r="J23" i="39"/>
  <c r="H23" i="39"/>
  <c r="AB23" i="39" s="1"/>
  <c r="G95" i="39"/>
  <c r="H21" i="39"/>
  <c r="F21" i="39"/>
  <c r="J21" i="39"/>
  <c r="J19" i="39"/>
  <c r="F93" i="39"/>
  <c r="G93" i="39" s="1"/>
  <c r="H19" i="39"/>
  <c r="G91" i="39"/>
  <c r="H17" i="39"/>
  <c r="U17" i="39" s="1"/>
  <c r="F17" i="39"/>
  <c r="J17" i="39"/>
  <c r="W17" i="39" s="1"/>
  <c r="AC31" i="39"/>
  <c r="S31" i="39"/>
  <c r="W25" i="39"/>
  <c r="S25" i="39"/>
  <c r="AB17" i="39"/>
  <c r="AA43" i="21"/>
  <c r="AC40" i="21"/>
  <c r="AA38" i="21"/>
  <c r="W25" i="21"/>
  <c r="AA23" i="21"/>
  <c r="AC19" i="21"/>
  <c r="U19" i="21"/>
  <c r="W17" i="21"/>
  <c r="AC15" i="21"/>
  <c r="G66" i="21"/>
  <c r="H66" i="21" s="1"/>
  <c r="I66" i="21" s="1"/>
  <c r="H10" i="21"/>
  <c r="J10" i="21"/>
  <c r="F10" i="21"/>
  <c r="W9" i="21"/>
  <c r="S8" i="21"/>
  <c r="S7" i="21"/>
  <c r="W42" i="21"/>
  <c r="U39" i="21"/>
  <c r="U38" i="21"/>
  <c r="AC36" i="21"/>
  <c r="AB36" i="21"/>
  <c r="AA36" i="21"/>
  <c r="S35" i="21"/>
  <c r="AC34" i="21"/>
  <c r="S34" i="21"/>
  <c r="W32" i="21"/>
  <c r="AA44" i="39"/>
  <c r="AB44" i="39"/>
  <c r="W44" i="39"/>
  <c r="S41" i="39"/>
  <c r="W41" i="39"/>
  <c r="W34" i="39"/>
  <c r="U34" i="39"/>
  <c r="B54" i="46"/>
  <c r="D23" i="15"/>
  <c r="A18" i="51"/>
  <c r="B14" i="63" s="1"/>
  <c r="L5" i="54"/>
  <c r="B39" i="63" s="1"/>
  <c r="K5" i="54"/>
  <c r="A18" i="64"/>
  <c r="B74" i="63" s="1"/>
  <c r="C53" i="10"/>
  <c r="T41" i="4"/>
  <c r="A17" i="64" s="1"/>
  <c r="A11" i="55"/>
  <c r="B62" i="63" s="1"/>
  <c r="A2" i="55"/>
  <c r="B55" i="63" s="1"/>
  <c r="O41" i="9"/>
  <c r="R8" i="54" s="1"/>
  <c r="B54" i="63" s="1"/>
  <c r="I14" i="66"/>
  <c r="B8" i="66" s="1"/>
  <c r="L76" i="9"/>
  <c r="K76" i="9"/>
  <c r="K77" i="9" s="1"/>
  <c r="K79" i="9" s="1"/>
  <c r="K81" i="9" s="1"/>
  <c r="U7" i="21"/>
  <c r="E14" i="52"/>
  <c r="C30" i="44"/>
  <c r="C25" i="12"/>
  <c r="C15" i="43"/>
  <c r="C27" i="43"/>
  <c r="C31" i="43"/>
  <c r="C28" i="15"/>
  <c r="H1" i="65"/>
  <c r="W7" i="21"/>
  <c r="Q16" i="1"/>
  <c r="F33" i="12" s="1"/>
  <c r="C34" i="12" s="1"/>
  <c r="D33" i="12" s="1"/>
  <c r="H51" i="46"/>
  <c r="X7" i="46"/>
  <c r="E17" i="46"/>
  <c r="N17" i="46"/>
  <c r="O17" i="46"/>
  <c r="M17" i="46"/>
  <c r="L17" i="46"/>
  <c r="O7" i="1"/>
  <c r="P7" i="1" s="1"/>
  <c r="O11" i="1"/>
  <c r="P11" i="1" s="1"/>
  <c r="O13" i="1"/>
  <c r="P13" i="1" s="1"/>
  <c r="O9" i="1"/>
  <c r="P9" i="1" s="1"/>
  <c r="O12" i="1"/>
  <c r="P12" i="1" s="1"/>
  <c r="AP7" i="1"/>
  <c r="AP16" i="1" s="1"/>
  <c r="F22" i="11" s="1"/>
  <c r="G13" i="1"/>
  <c r="I70" i="39"/>
  <c r="H72" i="39"/>
  <c r="G65" i="40"/>
  <c r="E52" i="37"/>
  <c r="D46" i="36"/>
  <c r="E48" i="35"/>
  <c r="D59" i="34"/>
  <c r="G6" i="1"/>
  <c r="G16" i="1" s="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58" i="15"/>
  <c r="F31" i="15"/>
  <c r="M17" i="15"/>
  <c r="M19" i="44"/>
  <c r="F33" i="44"/>
  <c r="F41" i="79"/>
  <c r="J6" i="65"/>
  <c r="J4" i="65"/>
  <c r="I7" i="65"/>
  <c r="I4" i="65"/>
  <c r="I3" i="65"/>
  <c r="C18" i="44"/>
  <c r="C16" i="15"/>
  <c r="C16" i="79"/>
  <c r="J5" i="65"/>
  <c r="F68" i="79" l="1"/>
  <c r="M11" i="79"/>
  <c r="J10" i="79" s="1"/>
  <c r="J5" i="79" s="1"/>
  <c r="F11" i="79"/>
  <c r="G17" i="46"/>
  <c r="C16" i="46" s="1"/>
  <c r="D5" i="46" s="1"/>
  <c r="E14" i="6"/>
  <c r="I101" i="46"/>
  <c r="I102" i="46" s="1"/>
  <c r="E13" i="6"/>
  <c r="E65" i="39" s="1"/>
  <c r="M43" i="9"/>
  <c r="AE11" i="46"/>
  <c r="AE13" i="46" s="1"/>
  <c r="E10" i="6"/>
  <c r="K101" i="46"/>
  <c r="W29" i="39"/>
  <c r="W27" i="39"/>
  <c r="F19" i="39"/>
  <c r="S19" i="39" s="1"/>
  <c r="AC17" i="39"/>
  <c r="AH11" i="46"/>
  <c r="L101" i="46"/>
  <c r="AI11" i="46"/>
  <c r="AI13" i="46" s="1"/>
  <c r="AG11" i="46"/>
  <c r="AG13" i="46" s="1"/>
  <c r="E101" i="46"/>
  <c r="B113" i="46"/>
  <c r="E11" i="6"/>
  <c r="E63" i="39" s="1"/>
  <c r="E12" i="6"/>
  <c r="E64" i="39" s="1"/>
  <c r="E15" i="6"/>
  <c r="E67" i="39" s="1"/>
  <c r="H22" i="46"/>
  <c r="AB11" i="46"/>
  <c r="AF11" i="46"/>
  <c r="AF13" i="46" s="1"/>
  <c r="AA11" i="46"/>
  <c r="AA13" i="46" s="1"/>
  <c r="Z11" i="46"/>
  <c r="Z13" i="46" s="1"/>
  <c r="E22" i="46"/>
  <c r="Z7" i="46"/>
  <c r="F22" i="46"/>
  <c r="N104" i="45"/>
  <c r="AD11" i="46"/>
  <c r="D12" i="11"/>
  <c r="C12" i="11" s="1"/>
  <c r="AZ13" i="3"/>
  <c r="E28" i="6"/>
  <c r="G30" i="6"/>
  <c r="G31" i="6" s="1"/>
  <c r="B73" i="39"/>
  <c r="D14" i="59"/>
  <c r="T14" i="59"/>
  <c r="C13" i="59"/>
  <c r="F9" i="59"/>
  <c r="F8" i="59" s="1"/>
  <c r="F7" i="59" s="1"/>
  <c r="F6" i="59" s="1"/>
  <c r="V10" i="59"/>
  <c r="D73" i="59"/>
  <c r="C72" i="59"/>
  <c r="D72" i="59" s="1"/>
  <c r="C50" i="59"/>
  <c r="D49" i="59"/>
  <c r="D46" i="59"/>
  <c r="T46" i="59"/>
  <c r="C42" i="59"/>
  <c r="D41" i="59"/>
  <c r="AC39" i="37"/>
  <c r="W39" i="37"/>
  <c r="AB9" i="37"/>
  <c r="U9" i="37"/>
  <c r="AB26" i="37"/>
  <c r="U26" i="37"/>
  <c r="AB9" i="36"/>
  <c r="U9" i="36"/>
  <c r="S36" i="35"/>
  <c r="AA36" i="35"/>
  <c r="S23" i="35"/>
  <c r="AA23" i="35"/>
  <c r="AB13" i="35"/>
  <c r="U13" i="35"/>
  <c r="AA13" i="35"/>
  <c r="S13" i="35"/>
  <c r="S46" i="34"/>
  <c r="AA46" i="34"/>
  <c r="AC32" i="34"/>
  <c r="W32" i="34"/>
  <c r="U32" i="34"/>
  <c r="AB32" i="34"/>
  <c r="AA30" i="34"/>
  <c r="S30" i="34"/>
  <c r="U14" i="34"/>
  <c r="AB14" i="34"/>
  <c r="W14" i="34"/>
  <c r="AC14" i="34"/>
  <c r="U12" i="34"/>
  <c r="AB12" i="34"/>
  <c r="U45" i="21"/>
  <c r="AB45" i="21"/>
  <c r="AC45" i="21"/>
  <c r="W45" i="21"/>
  <c r="AB31" i="21"/>
  <c r="U31" i="21"/>
  <c r="AA29" i="21"/>
  <c r="S29" i="21"/>
  <c r="W29" i="21"/>
  <c r="AC29" i="21"/>
  <c r="S34" i="36"/>
  <c r="AA34" i="36"/>
  <c r="AC26" i="35"/>
  <c r="W26" i="35"/>
  <c r="AB36" i="33"/>
  <c r="U36" i="33"/>
  <c r="AB24" i="36"/>
  <c r="U24" i="36"/>
  <c r="S29" i="33"/>
  <c r="AA29" i="33"/>
  <c r="AC29" i="33"/>
  <c r="W29" i="33"/>
  <c r="AC13" i="33"/>
  <c r="W13" i="33"/>
  <c r="AA14" i="40"/>
  <c r="S14" i="40"/>
  <c r="AC26" i="37"/>
  <c r="W26" i="37"/>
  <c r="AA14" i="37"/>
  <c r="S14" i="37"/>
  <c r="U32" i="33"/>
  <c r="AB23" i="33"/>
  <c r="V14" i="59"/>
  <c r="F13" i="59"/>
  <c r="F12" i="59" s="1"/>
  <c r="E9" i="59"/>
  <c r="E8" i="59" s="1"/>
  <c r="E7" i="59" s="1"/>
  <c r="E6" i="59" s="1"/>
  <c r="U10" i="59"/>
  <c r="C8" i="59"/>
  <c r="D9" i="59"/>
  <c r="D20" i="59"/>
  <c r="C21" i="59"/>
  <c r="P51" i="59"/>
  <c r="P52" i="59"/>
  <c r="C30" i="59"/>
  <c r="D29" i="59"/>
  <c r="D38" i="59"/>
  <c r="T38" i="59"/>
  <c r="AC39" i="33"/>
  <c r="W39" i="33"/>
  <c r="S39" i="37"/>
  <c r="AA39" i="37"/>
  <c r="AA9" i="37"/>
  <c r="S9" i="37"/>
  <c r="AC9" i="37"/>
  <c r="W9" i="37"/>
  <c r="AA9" i="36"/>
  <c r="S9" i="36"/>
  <c r="AC9" i="36"/>
  <c r="W9" i="36"/>
  <c r="AB36" i="35"/>
  <c r="U36" i="35"/>
  <c r="AC23" i="35"/>
  <c r="W23" i="35"/>
  <c r="AC13" i="35"/>
  <c r="W13" i="35"/>
  <c r="AC46" i="34"/>
  <c r="W46" i="34"/>
  <c r="AB46" i="34"/>
  <c r="U46" i="34"/>
  <c r="S32" i="34"/>
  <c r="AA32" i="34"/>
  <c r="AC30" i="34"/>
  <c r="W30" i="34"/>
  <c r="AB30" i="34"/>
  <c r="U30" i="34"/>
  <c r="S14" i="34"/>
  <c r="AA14" i="34"/>
  <c r="AA12" i="34"/>
  <c r="S12" i="34"/>
  <c r="W12" i="34"/>
  <c r="AC12" i="34"/>
  <c r="G123" i="21"/>
  <c r="H123" i="21" s="1"/>
  <c r="I123" i="21" s="1"/>
  <c r="J123" i="21" s="1"/>
  <c r="K123" i="21" s="1"/>
  <c r="L123" i="21" s="1"/>
  <c r="M123" i="21" s="1"/>
  <c r="F42" i="21"/>
  <c r="F77" i="21"/>
  <c r="G77" i="21" s="1"/>
  <c r="F15" i="21"/>
  <c r="H15" i="21"/>
  <c r="S45" i="21"/>
  <c r="AA45" i="21"/>
  <c r="S31" i="21"/>
  <c r="AA31" i="21"/>
  <c r="AC31" i="21"/>
  <c r="W31" i="21"/>
  <c r="U29" i="21"/>
  <c r="AB29" i="21"/>
  <c r="AZ491" i="3"/>
  <c r="AZ493" i="3"/>
  <c r="AZ5" i="3" s="1"/>
  <c r="E3" i="6" s="1"/>
  <c r="D16" i="12" s="1"/>
  <c r="W24" i="36"/>
  <c r="AC24" i="36"/>
  <c r="AB29" i="33"/>
  <c r="U29" i="33"/>
  <c r="AB13" i="33"/>
  <c r="U13" i="33"/>
  <c r="AA13" i="33"/>
  <c r="S13" i="33"/>
  <c r="AZ482" i="3"/>
  <c r="AZ505" i="3"/>
  <c r="AZ559" i="3"/>
  <c r="AZ564" i="3"/>
  <c r="AB14" i="40"/>
  <c r="U14" i="40"/>
  <c r="AA26" i="37"/>
  <c r="S26" i="37"/>
  <c r="AC14" i="37"/>
  <c r="W14" i="37"/>
  <c r="U14" i="37"/>
  <c r="AB14" i="37"/>
  <c r="E8" i="6"/>
  <c r="J22" i="46"/>
  <c r="B22" i="31"/>
  <c r="G101" i="46"/>
  <c r="G106" i="46" s="1"/>
  <c r="N101" i="46"/>
  <c r="N105" i="46" s="1"/>
  <c r="D101" i="46"/>
  <c r="D106" i="46" s="1"/>
  <c r="H101" i="46"/>
  <c r="H102" i="46" s="1"/>
  <c r="J101" i="46"/>
  <c r="J106" i="46" s="1"/>
  <c r="C101" i="46"/>
  <c r="C109" i="46" s="1"/>
  <c r="AJ11" i="46"/>
  <c r="AJ13" i="46" s="1"/>
  <c r="AC11" i="46"/>
  <c r="AC13" i="46" s="1"/>
  <c r="M101" i="46"/>
  <c r="M106" i="46" s="1"/>
  <c r="F101" i="46"/>
  <c r="G22" i="46"/>
  <c r="G5" i="3"/>
  <c r="B3" i="3" s="1"/>
  <c r="E13" i="3" s="1"/>
  <c r="S25" i="33"/>
  <c r="AA27" i="33"/>
  <c r="U25" i="33"/>
  <c r="F42" i="33"/>
  <c r="H42" i="33"/>
  <c r="G123" i="33"/>
  <c r="H123" i="33" s="1"/>
  <c r="I123" i="33" s="1"/>
  <c r="J123" i="33" s="1"/>
  <c r="K123" i="33" s="1"/>
  <c r="L123" i="33" s="1"/>
  <c r="M123" i="33" s="1"/>
  <c r="AC25" i="33"/>
  <c r="O8" i="1"/>
  <c r="P8" i="1" s="1"/>
  <c r="C15" i="12" s="1"/>
  <c r="W27" i="33"/>
  <c r="W23" i="33"/>
  <c r="AC23" i="33"/>
  <c r="AA23" i="33"/>
  <c r="S23" i="33"/>
  <c r="W15" i="33"/>
  <c r="AC15" i="33"/>
  <c r="AA15" i="33"/>
  <c r="S15" i="33"/>
  <c r="M11" i="77"/>
  <c r="J10" i="77" s="1"/>
  <c r="F11" i="77"/>
  <c r="BL5" i="3"/>
  <c r="L19" i="6"/>
  <c r="L27" i="6" s="1"/>
  <c r="AH13" i="46"/>
  <c r="I106" i="46"/>
  <c r="U11" i="21"/>
  <c r="AB11" i="21"/>
  <c r="S11" i="21"/>
  <c r="AA11" i="21"/>
  <c r="W11" i="21"/>
  <c r="AC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AA17" i="39"/>
  <c r="S17" i="39"/>
  <c r="AA10" i="21"/>
  <c r="S10" i="21"/>
  <c r="U10" i="21"/>
  <c r="AB10" i="21"/>
  <c r="AC10" i="21"/>
  <c r="W10" i="21"/>
  <c r="A17" i="51"/>
  <c r="B13" i="63" s="1"/>
  <c r="A25" i="64"/>
  <c r="A25" i="51"/>
  <c r="B18" i="63" s="1"/>
  <c r="B38" i="63"/>
  <c r="A3" i="55"/>
  <c r="B56" i="63" s="1"/>
  <c r="B5" i="59"/>
  <c r="D107" i="46"/>
  <c r="E20" i="46"/>
  <c r="P28" i="46" s="1"/>
  <c r="H107" i="46"/>
  <c r="C5" i="46"/>
  <c r="H105" i="46"/>
  <c r="H106" i="46"/>
  <c r="F18" i="11"/>
  <c r="C18" i="11" s="1"/>
  <c r="F24" i="43"/>
  <c r="C26" i="43" s="1"/>
  <c r="D24" i="43" s="1"/>
  <c r="I109" i="46"/>
  <c r="E60" i="40"/>
  <c r="E61" i="40"/>
  <c r="E66" i="39"/>
  <c r="E58" i="40"/>
  <c r="E59" i="40"/>
  <c r="E62" i="40"/>
  <c r="AB7" i="33"/>
  <c r="U7" i="33"/>
  <c r="F48" i="35"/>
  <c r="E46" i="36"/>
  <c r="H65" i="40"/>
  <c r="G67" i="40"/>
  <c r="AA7" i="33"/>
  <c r="S7" i="33"/>
  <c r="J12" i="40"/>
  <c r="H12" i="39"/>
  <c r="F12" i="39"/>
  <c r="H12" i="40"/>
  <c r="F12" i="40"/>
  <c r="J12" i="39"/>
  <c r="E59" i="34"/>
  <c r="F59" i="34" s="1"/>
  <c r="G59" i="34" s="1"/>
  <c r="H59" i="34" s="1"/>
  <c r="I59" i="34" s="1"/>
  <c r="J59" i="34" s="1"/>
  <c r="K59" i="34" s="1"/>
  <c r="L59" i="34" s="1"/>
  <c r="M59" i="34" s="1"/>
  <c r="N59" i="34" s="1"/>
  <c r="O59" i="34" s="1"/>
  <c r="F52" i="37"/>
  <c r="J70" i="39"/>
  <c r="I72" i="39"/>
  <c r="I104" i="46"/>
  <c r="AD13" i="46"/>
  <c r="I103"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K109" i="46"/>
  <c r="C103" i="46"/>
  <c r="E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M22" i="77"/>
  <c r="L47" i="77"/>
  <c r="M28" i="77"/>
  <c r="F42" i="77"/>
  <c r="F7" i="77"/>
  <c r="M23" i="77"/>
  <c r="F26" i="77"/>
  <c r="F38" i="77"/>
  <c r="F16" i="77"/>
  <c r="M8" i="77"/>
  <c r="F6" i="77"/>
  <c r="F36" i="77"/>
  <c r="F13" i="77"/>
  <c r="J15" i="77"/>
  <c r="I5" i="65"/>
  <c r="F40" i="77"/>
  <c r="AE7" i="1"/>
  <c r="J3" i="65"/>
  <c r="L48" i="77"/>
  <c r="F9" i="77"/>
  <c r="I6" i="65"/>
  <c r="J7" i="65"/>
  <c r="M29" i="77"/>
  <c r="M26" i="77"/>
  <c r="M24" i="77"/>
  <c r="F37" i="77"/>
  <c r="M27" i="77"/>
  <c r="F46" i="44"/>
  <c r="M9" i="77"/>
  <c r="F43" i="77"/>
  <c r="J36" i="77"/>
  <c r="M6" i="77"/>
  <c r="F8" i="77"/>
  <c r="C52" i="79" l="1"/>
  <c r="C47" i="79" s="1"/>
  <c r="C10" i="79"/>
  <c r="C5" i="79" s="1"/>
  <c r="J24" i="79"/>
  <c r="J18" i="79"/>
  <c r="J26" i="79"/>
  <c r="J29" i="79" s="1"/>
  <c r="E16" i="6"/>
  <c r="J103" i="46"/>
  <c r="G102" i="46"/>
  <c r="D102" i="46"/>
  <c r="I1" i="65"/>
  <c r="J107" i="46"/>
  <c r="G109" i="46"/>
  <c r="K14" i="1"/>
  <c r="J109" i="46"/>
  <c r="J102" i="46"/>
  <c r="G105" i="46"/>
  <c r="G103" i="46"/>
  <c r="D109" i="46"/>
  <c r="AA19" i="39"/>
  <c r="J105" i="46"/>
  <c r="J104" i="46"/>
  <c r="G107" i="46"/>
  <c r="G104" i="46"/>
  <c r="E30" i="6"/>
  <c r="D104" i="46"/>
  <c r="D105" i="46"/>
  <c r="C106" i="46"/>
  <c r="C104" i="46"/>
  <c r="N106" i="46"/>
  <c r="D22" i="46"/>
  <c r="N102" i="46"/>
  <c r="N107" i="46"/>
  <c r="C27" i="77"/>
  <c r="F64" i="77"/>
  <c r="F70" i="77"/>
  <c r="F67" i="77"/>
  <c r="F65" i="77"/>
  <c r="J1" i="65"/>
  <c r="Q72" i="77"/>
  <c r="M7" i="77"/>
  <c r="J6" i="77" s="1"/>
  <c r="J5" i="77" s="1"/>
  <c r="F49" i="77"/>
  <c r="L57" i="77"/>
  <c r="J53" i="77"/>
  <c r="L56" i="77"/>
  <c r="J60" i="77"/>
  <c r="Q49" i="77" s="1"/>
  <c r="L60" i="77"/>
  <c r="J57" i="77"/>
  <c r="J55" i="77" s="1"/>
  <c r="J58" i="77" s="1"/>
  <c r="Q51" i="77" s="1"/>
  <c r="J59" i="77"/>
  <c r="I54" i="77"/>
  <c r="C6" i="77"/>
  <c r="C10" i="77" s="1"/>
  <c r="C5" i="77" s="1"/>
  <c r="F50" i="77"/>
  <c r="C48" i="77" s="1"/>
  <c r="L59" i="77"/>
  <c r="L58" i="77"/>
  <c r="F63" i="77"/>
  <c r="AB15" i="21"/>
  <c r="U15" i="21"/>
  <c r="C22" i="59"/>
  <c r="D21" i="59"/>
  <c r="D42" i="59"/>
  <c r="T42" i="59"/>
  <c r="D50" i="59"/>
  <c r="T50" i="59"/>
  <c r="F5" i="59"/>
  <c r="V6" i="59"/>
  <c r="C105" i="46"/>
  <c r="C102" i="46"/>
  <c r="C107" i="46"/>
  <c r="N103" i="46"/>
  <c r="N109" i="46"/>
  <c r="N104" i="46"/>
  <c r="V48" i="33"/>
  <c r="I48" i="33" s="1"/>
  <c r="I52" i="33" s="1"/>
  <c r="J52" i="33" s="1"/>
  <c r="E58" i="39"/>
  <c r="E53" i="40"/>
  <c r="F27" i="6"/>
  <c r="S15" i="21"/>
  <c r="AA15" i="21"/>
  <c r="AA42" i="21"/>
  <c r="S42" i="21"/>
  <c r="D30" i="59"/>
  <c r="T30" i="59"/>
  <c r="D8" i="59"/>
  <c r="C7" i="59"/>
  <c r="E5" i="59"/>
  <c r="U6" i="59"/>
  <c r="C12" i="59"/>
  <c r="D12" i="59" s="1"/>
  <c r="D13" i="59"/>
  <c r="H104" i="46"/>
  <c r="H109" i="46"/>
  <c r="H103" i="46"/>
  <c r="D103" i="46"/>
  <c r="M105" i="46"/>
  <c r="M102" i="46"/>
  <c r="M104" i="46"/>
  <c r="F106" i="46"/>
  <c r="F107" i="46"/>
  <c r="F104" i="46"/>
  <c r="F105" i="46"/>
  <c r="F109" i="46"/>
  <c r="F102" i="46"/>
  <c r="F103" i="46"/>
  <c r="M107" i="46"/>
  <c r="M103" i="46"/>
  <c r="M109" i="46"/>
  <c r="AY6" i="3"/>
  <c r="E411" i="3"/>
  <c r="E41" i="3"/>
  <c r="E418" i="3"/>
  <c r="E92" i="3"/>
  <c r="E414" i="3"/>
  <c r="E202" i="3"/>
  <c r="E36" i="3"/>
  <c r="E237" i="3"/>
  <c r="E428" i="3"/>
  <c r="E100" i="3"/>
  <c r="E374" i="3"/>
  <c r="E223" i="3"/>
  <c r="E205" i="3"/>
  <c r="E399" i="3"/>
  <c r="E478" i="3"/>
  <c r="E317" i="3"/>
  <c r="E357" i="3"/>
  <c r="E179" i="3"/>
  <c r="AS6" i="3"/>
  <c r="E444" i="3"/>
  <c r="E383"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71" i="3"/>
  <c r="E238" i="3"/>
  <c r="E304" i="3"/>
  <c r="E404" i="3"/>
  <c r="E441" i="3"/>
  <c r="E415" i="3"/>
  <c r="E28" i="3"/>
  <c r="E168" i="3"/>
  <c r="E407"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250" i="3"/>
  <c r="E408" i="3"/>
  <c r="E44" i="3"/>
  <c r="E131" i="3"/>
  <c r="E165" i="3"/>
  <c r="E30" i="3"/>
  <c r="E367" i="3"/>
  <c r="E80" i="3"/>
  <c r="E141" i="3"/>
  <c r="E34" i="3"/>
  <c r="E550"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335" i="3"/>
  <c r="E483" i="3"/>
  <c r="E366" i="3"/>
  <c r="E532" i="3"/>
  <c r="E330" i="3"/>
  <c r="E340" i="3"/>
  <c r="E350" i="3"/>
  <c r="E521" i="3"/>
  <c r="E496" i="3"/>
  <c r="E130" i="3"/>
  <c r="E352" i="3"/>
  <c r="E461" i="3"/>
  <c r="E138" i="3"/>
  <c r="E328" i="3"/>
  <c r="E519" i="3"/>
  <c r="E155" i="3"/>
  <c r="E252" i="3"/>
  <c r="E346" i="3"/>
  <c r="E544" i="3"/>
  <c r="E541" i="3"/>
  <c r="E523" i="3"/>
  <c r="E557" i="3"/>
  <c r="E395" i="3"/>
  <c r="E280" i="3"/>
  <c r="E270" i="3"/>
  <c r="E157" i="3"/>
  <c r="E161" i="3"/>
  <c r="E492" i="3"/>
  <c r="E295" i="3"/>
  <c r="E89" i="3"/>
  <c r="E201" i="3"/>
  <c r="E170" i="3"/>
  <c r="E274" i="3"/>
  <c r="E32" i="3"/>
  <c r="E547" i="3"/>
  <c r="E447" i="3"/>
  <c r="E33" i="3"/>
  <c r="Q6" i="3"/>
  <c r="E119" i="3"/>
  <c r="E500" i="3"/>
  <c r="E97" i="3"/>
  <c r="AE6" i="3"/>
  <c r="E289" i="3"/>
  <c r="E533" i="3"/>
  <c r="E189" i="3"/>
  <c r="E37" i="3"/>
  <c r="E507" i="3"/>
  <c r="E303" i="3"/>
  <c r="E275" i="3"/>
  <c r="E203" i="3"/>
  <c r="E39" i="3"/>
  <c r="E402" i="3"/>
  <c r="E107" i="3"/>
  <c r="E172" i="3"/>
  <c r="E288" i="3"/>
  <c r="E255" i="3"/>
  <c r="E393" i="3"/>
  <c r="E417" i="3"/>
  <c r="E88" i="3"/>
  <c r="E145" i="3"/>
  <c r="E480" i="3"/>
  <c r="E279" i="3"/>
  <c r="E220" i="3"/>
  <c r="E34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AN6" i="3"/>
  <c r="E59" i="3"/>
  <c r="E464" i="3"/>
  <c r="E209" i="3"/>
  <c r="E450" i="3"/>
  <c r="E149" i="3"/>
  <c r="E249" i="3"/>
  <c r="E549" i="3"/>
  <c r="E460" i="3"/>
  <c r="I3" i="6"/>
  <c r="E463" i="3"/>
  <c r="E292" i="3"/>
  <c r="E426" i="3"/>
  <c r="E60" i="3"/>
  <c r="E75" i="3"/>
  <c r="E178" i="3"/>
  <c r="J6" i="3"/>
  <c r="E48" i="3"/>
  <c r="E438" i="3"/>
  <c r="E455" i="3"/>
  <c r="E293" i="3"/>
  <c r="E190" i="3"/>
  <c r="E560" i="3"/>
  <c r="E420" i="3"/>
  <c r="E111" i="3"/>
  <c r="E233" i="3"/>
  <c r="E261" i="3"/>
  <c r="L6" i="3"/>
  <c r="E467" i="3"/>
  <c r="E429" i="3"/>
  <c r="E67" i="3"/>
  <c r="E116" i="3"/>
  <c r="E214" i="3"/>
  <c r="E372" i="3"/>
  <c r="E486" i="3"/>
  <c r="E465" i="3"/>
  <c r="E543" i="3"/>
  <c r="E154" i="3"/>
  <c r="E264" i="3"/>
  <c r="E243" i="3"/>
  <c r="E3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U42" i="33"/>
  <c r="AB42" i="33"/>
  <c r="T48" i="33" s="1"/>
  <c r="G48" i="33" s="1"/>
  <c r="AA42" i="33"/>
  <c r="S42" i="33"/>
  <c r="AY474" i="3"/>
  <c r="AY410" i="3"/>
  <c r="R48" i="33"/>
  <c r="E48" i="33" s="1"/>
  <c r="C52" i="77"/>
  <c r="AY473" i="3"/>
  <c r="AY403" i="3"/>
  <c r="AY456" i="3"/>
  <c r="AY441" i="3"/>
  <c r="AY466" i="3"/>
  <c r="AY59" i="3"/>
  <c r="AY391" i="3"/>
  <c r="AY213" i="3"/>
  <c r="AY506" i="3"/>
  <c r="AY259" i="3"/>
  <c r="AY491" i="3"/>
  <c r="AY482" i="3"/>
  <c r="AY496" i="3"/>
  <c r="AY541" i="3"/>
  <c r="AY306" i="3"/>
  <c r="AY237" i="3"/>
  <c r="AY48" i="3"/>
  <c r="AY454" i="3"/>
  <c r="AY110" i="3"/>
  <c r="AY547" i="3"/>
  <c r="AY436" i="3"/>
  <c r="AY78" i="3"/>
  <c r="AY367" i="3"/>
  <c r="AY445" i="3"/>
  <c r="AY508" i="3"/>
  <c r="AY121" i="3"/>
  <c r="BE6" i="3"/>
  <c r="AY354" i="3"/>
  <c r="AY521" i="3"/>
  <c r="AY255" i="3"/>
  <c r="AY570" i="3"/>
  <c r="AY551" i="3"/>
  <c r="AY33" i="3"/>
  <c r="AY522" i="3"/>
  <c r="AY173" i="3"/>
  <c r="AY23" i="3"/>
  <c r="AY215" i="3"/>
  <c r="AY507" i="3"/>
  <c r="AY499" i="3"/>
  <c r="AY514" i="3"/>
  <c r="AY298" i="3"/>
  <c r="AY502" i="3"/>
  <c r="AY455" i="3"/>
  <c r="AY433" i="3"/>
  <c r="AY192" i="3"/>
  <c r="AY475" i="3"/>
  <c r="AY375" i="3"/>
  <c r="AY247" i="3"/>
  <c r="BT6" i="3"/>
  <c r="AY471" i="3"/>
  <c r="AY430" i="3"/>
  <c r="AY30" i="3"/>
  <c r="AY523" i="3"/>
  <c r="AY452" i="3"/>
  <c r="AY535" i="3"/>
  <c r="AY292" i="3"/>
  <c r="AY517" i="3"/>
  <c r="AY477" i="3"/>
  <c r="BJ6" i="3"/>
  <c r="AY180" i="3"/>
  <c r="AY536" i="3"/>
  <c r="AY439" i="3"/>
  <c r="AY511" i="3"/>
  <c r="AY167"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87" i="3"/>
  <c r="AY113" i="3"/>
  <c r="AY276" i="3"/>
  <c r="AY240" i="3"/>
  <c r="AY559" i="3"/>
  <c r="AY153" i="3"/>
  <c r="AY20" i="3"/>
  <c r="AY112" i="3"/>
  <c r="AY370" i="3"/>
  <c r="AY413" i="3"/>
  <c r="AY316" i="3"/>
  <c r="AY171" i="3"/>
  <c r="AY207" i="3"/>
  <c r="AY224" i="3"/>
  <c r="AY13" i="3"/>
  <c r="AY486" i="3"/>
  <c r="AY83" i="3"/>
  <c r="AY169" i="3"/>
  <c r="AY143" i="3"/>
  <c r="AY556" i="3"/>
  <c r="AY335" i="3"/>
  <c r="AY369" i="3"/>
  <c r="AY320" i="3"/>
  <c r="AY154" i="3"/>
  <c r="AY409" i="3"/>
  <c r="AY365" i="3"/>
  <c r="AY138" i="3"/>
  <c r="AY29" i="3"/>
  <c r="AY166" i="3"/>
  <c r="AY319" i="3"/>
  <c r="AY323" i="3"/>
  <c r="AY388" i="3"/>
  <c r="AY518" i="3"/>
  <c r="AY415" i="3"/>
  <c r="AY503" i="3"/>
  <c r="AY208" i="3"/>
  <c r="AY299" i="3"/>
  <c r="AY447" i="3"/>
  <c r="AY185" i="3"/>
  <c r="AY483" i="3"/>
  <c r="AY108" i="3"/>
  <c r="AY60" i="3"/>
  <c r="AY567" i="3"/>
  <c r="AY538" i="3"/>
  <c r="AY534" i="3"/>
  <c r="AY557" i="3"/>
  <c r="AY478" i="3"/>
  <c r="AY418"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368" i="3"/>
  <c r="AY75" i="3"/>
  <c r="AY510" i="3"/>
  <c r="AY268" i="3"/>
  <c r="AY314" i="3"/>
  <c r="AY229" i="3"/>
  <c r="AY85" i="3"/>
  <c r="AY111" i="3"/>
  <c r="AY200" i="3"/>
  <c r="AY114" i="3"/>
  <c r="AY274" i="3"/>
  <c r="AY91" i="3"/>
  <c r="AY382" i="3"/>
  <c r="AY72" i="3"/>
  <c r="AY286" i="3"/>
  <c r="AY277" i="3"/>
  <c r="AY203" i="3"/>
  <c r="AY339" i="3"/>
  <c r="AY393" i="3"/>
  <c r="AY545" i="3"/>
  <c r="AY189" i="3"/>
  <c r="AY363" i="3"/>
  <c r="AY395" i="3"/>
  <c r="AY267" i="3"/>
  <c r="AY322" i="3"/>
  <c r="AY495" i="3"/>
  <c r="AY281" i="3"/>
  <c r="AY401" i="3"/>
  <c r="AY40"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414" i="3"/>
  <c r="AY275" i="3"/>
  <c r="AY191" i="3"/>
  <c r="AY449" i="3"/>
  <c r="AY308" i="3"/>
  <c r="AY555" i="3"/>
  <c r="AY542" i="3"/>
  <c r="AY241" i="3"/>
  <c r="AY348" i="3"/>
  <c r="AY398" i="3"/>
  <c r="AY202" i="3"/>
  <c r="AY384" i="3"/>
  <c r="AY45" i="3"/>
  <c r="AY95" i="3"/>
  <c r="AY37" i="3"/>
  <c r="D16" i="43"/>
  <c r="C16" i="43" s="1"/>
  <c r="C33" i="21"/>
  <c r="AY271" i="3"/>
  <c r="AY187" i="3"/>
  <c r="AY411" i="3"/>
  <c r="AY386" i="3"/>
  <c r="AY293" i="3"/>
  <c r="AY92" i="3"/>
  <c r="AY21" i="3"/>
  <c r="AY525" i="3"/>
  <c r="AY124" i="3"/>
  <c r="AY35" i="3"/>
  <c r="AY157" i="3"/>
  <c r="AY188" i="3"/>
  <c r="AY420" i="3"/>
  <c r="AY132" i="3"/>
  <c r="AY230" i="3"/>
  <c r="AY435" i="3"/>
  <c r="AY115" i="3"/>
  <c r="BK6" i="3"/>
  <c r="AY238" i="3"/>
  <c r="AY70" i="3"/>
  <c r="AY364" i="3"/>
  <c r="AY139" i="3"/>
  <c r="AY479" i="3"/>
  <c r="AY467" i="3"/>
  <c r="AY264" i="3"/>
  <c r="AY175" i="3"/>
  <c r="AY182" i="3"/>
  <c r="AY504" i="3"/>
  <c r="AY128" i="3"/>
  <c r="AY41" i="3"/>
  <c r="AY82"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515" i="3"/>
  <c r="AY42" i="3"/>
  <c r="AY64" i="3"/>
  <c r="AY526" i="3"/>
  <c r="AY494" i="3"/>
  <c r="AY428" i="3"/>
  <c r="AY273"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432" i="3"/>
  <c r="AY333" i="3"/>
  <c r="AY216" i="3"/>
  <c r="AY246" i="3"/>
  <c r="AY150" i="3"/>
  <c r="AY36" i="3"/>
  <c r="AY204" i="3"/>
  <c r="AY52" i="3"/>
  <c r="AY103" i="3"/>
  <c r="AY516" i="3"/>
  <c r="AY481" i="3"/>
  <c r="AY236" i="3"/>
  <c r="AY99" i="3"/>
  <c r="AY528"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126" i="3"/>
  <c r="AY47" i="3"/>
  <c r="AY100" i="3"/>
  <c r="AY105" i="3"/>
  <c r="AY179" i="3"/>
  <c r="AY159" i="3"/>
  <c r="AY58" i="3"/>
  <c r="AY67" i="3"/>
  <c r="AY80"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L38" i="9"/>
  <c r="B14" i="66" s="1"/>
  <c r="D45" i="9"/>
  <c r="E6" i="6"/>
  <c r="D46" i="9"/>
  <c r="C21" i="4"/>
  <c r="O5" i="54" s="1"/>
  <c r="B45" i="63" s="1"/>
  <c r="D10" i="11"/>
  <c r="D19" i="12"/>
  <c r="C19" i="12" s="1"/>
  <c r="C16" i="12"/>
  <c r="O28" i="46"/>
  <c r="G20" i="46" s="1"/>
  <c r="E41" i="46" s="1"/>
  <c r="C41" i="46" s="1"/>
  <c r="M28" i="46"/>
  <c r="N28" i="46"/>
  <c r="C20" i="46"/>
  <c r="S5" i="46"/>
  <c r="S2" i="46"/>
  <c r="S3" i="46"/>
  <c r="S7" i="46"/>
  <c r="S6" i="46"/>
  <c r="S4" i="46"/>
  <c r="K16" i="1"/>
  <c r="M14" i="1"/>
  <c r="E68" i="39"/>
  <c r="K70" i="39"/>
  <c r="J72" i="39"/>
  <c r="G52" i="37"/>
  <c r="H7" i="34"/>
  <c r="J7" i="34"/>
  <c r="AA12" i="40"/>
  <c r="S12" i="40"/>
  <c r="S12" i="39"/>
  <c r="AA12" i="39"/>
  <c r="W12" i="40"/>
  <c r="AC12" i="40"/>
  <c r="G48" i="35"/>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9" i="44"/>
  <c r="C16" i="77"/>
  <c r="E3" i="65"/>
  <c r="L52" i="44"/>
  <c r="F41" i="15"/>
  <c r="E2" i="65"/>
  <c r="C32" i="79" l="1"/>
  <c r="C38" i="79"/>
  <c r="C65" i="79"/>
  <c r="C59" i="79"/>
  <c r="F31" i="6"/>
  <c r="E27" i="6"/>
  <c r="B40" i="1"/>
  <c r="J18" i="77"/>
  <c r="J24" i="77"/>
  <c r="J26" i="77"/>
  <c r="C47" i="77"/>
  <c r="C65" i="77" s="1"/>
  <c r="F17" i="11"/>
  <c r="C17" i="11" s="1"/>
  <c r="C19" i="11" s="1"/>
  <c r="C20" i="11" s="1"/>
  <c r="C21" i="11" s="1"/>
  <c r="C22" i="11" s="1"/>
  <c r="C23" i="11" s="1"/>
  <c r="B2" i="11" s="1"/>
  <c r="B3" i="11" s="1"/>
  <c r="F7" i="36"/>
  <c r="C6" i="59"/>
  <c r="D7" i="59"/>
  <c r="Q61" i="77"/>
  <c r="Q74" i="77"/>
  <c r="Q53" i="77"/>
  <c r="F1" i="77"/>
  <c r="D22" i="59"/>
  <c r="T22" i="59"/>
  <c r="Q75" i="77"/>
  <c r="Q62" i="77"/>
  <c r="Q67" i="77"/>
  <c r="Q58" i="77"/>
  <c r="B1" i="66"/>
  <c r="H6" i="3"/>
  <c r="AC6" i="3"/>
  <c r="AY425" i="3"/>
  <c r="AY61" i="3"/>
  <c r="D3" i="6"/>
  <c r="D6" i="6" s="1"/>
  <c r="G53" i="33"/>
  <c r="H53" i="33" s="1"/>
  <c r="G52" i="33"/>
  <c r="H52" i="33" s="1"/>
  <c r="R49" i="33"/>
  <c r="C48" i="33" s="1"/>
  <c r="C38" i="77"/>
  <c r="C32" i="77"/>
  <c r="J33" i="21"/>
  <c r="F33" i="21"/>
  <c r="H33" i="21"/>
  <c r="F68" i="15"/>
  <c r="J29" i="15"/>
  <c r="D22" i="12"/>
  <c r="C22" i="12" s="1"/>
  <c r="C20" i="12" s="1"/>
  <c r="D13" i="11"/>
  <c r="C13" i="11" s="1"/>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R24" i="31" s="1"/>
  <c r="AB7" i="34"/>
  <c r="T49" i="34" s="1"/>
  <c r="G49" i="34" s="1"/>
  <c r="U7" i="34"/>
  <c r="H52" i="37"/>
  <c r="L70" i="39"/>
  <c r="K72" i="39"/>
  <c r="J7" i="36"/>
  <c r="Q69" i="44"/>
  <c r="L58" i="44"/>
  <c r="L61" i="44" s="1"/>
  <c r="L47" i="44" s="1"/>
  <c r="C32" i="15"/>
  <c r="C38" i="15"/>
  <c r="C59" i="15"/>
  <c r="C65" i="15"/>
  <c r="Q49" i="44"/>
  <c r="Q55" i="44" s="1"/>
  <c r="Q67" i="44"/>
  <c r="Q58" i="44"/>
  <c r="AE8" i="1"/>
  <c r="F24" i="77" l="1"/>
  <c r="F24" i="79"/>
  <c r="K20" i="6"/>
  <c r="K24" i="6"/>
  <c r="M24" i="6" s="1"/>
  <c r="I24" i="6" s="1"/>
  <c r="S24" i="6" s="1"/>
  <c r="K23" i="6"/>
  <c r="M23" i="6" s="1"/>
  <c r="I23" i="6" s="1"/>
  <c r="S23" i="6" s="1"/>
  <c r="K26" i="6"/>
  <c r="M26" i="6" s="1"/>
  <c r="I26" i="6" s="1"/>
  <c r="S26" i="6" s="1"/>
  <c r="K25" i="6"/>
  <c r="M25" i="6" s="1"/>
  <c r="I25" i="6" s="1"/>
  <c r="S25" i="6" s="1"/>
  <c r="K19" i="6"/>
  <c r="K21" i="6"/>
  <c r="K22" i="6"/>
  <c r="E31" i="6"/>
  <c r="F24" i="15"/>
  <c r="C24" i="15" s="1"/>
  <c r="F26" i="12"/>
  <c r="C27" i="12" s="1"/>
  <c r="D26" i="12" s="1"/>
  <c r="C32" i="12" s="1"/>
  <c r="D30" i="12" s="1"/>
  <c r="C59" i="77"/>
  <c r="F26" i="44"/>
  <c r="C26" i="44" s="1"/>
  <c r="F21" i="43"/>
  <c r="C23" i="43" s="1"/>
  <c r="D21" i="43" s="1"/>
  <c r="B4" i="11"/>
  <c r="B5" i="11"/>
  <c r="T6" i="59"/>
  <c r="C5" i="59"/>
  <c r="D5" i="59" s="1"/>
  <c r="D6" i="59"/>
  <c r="M20" i="46" s="1"/>
  <c r="C19" i="46" s="1"/>
  <c r="C8" i="66"/>
  <c r="C7" i="66"/>
  <c r="R25" i="31"/>
  <c r="S25" i="31" s="1"/>
  <c r="S24" i="31"/>
  <c r="B2" i="33"/>
  <c r="D23" i="6"/>
  <c r="D24" i="6"/>
  <c r="D22" i="6"/>
  <c r="D12" i="6"/>
  <c r="H25" i="6"/>
  <c r="D5" i="6"/>
  <c r="H26" i="6"/>
  <c r="E46" i="9"/>
  <c r="E63" i="40"/>
  <c r="D19" i="6"/>
  <c r="D25" i="6"/>
  <c r="D13" i="6"/>
  <c r="H24" i="6"/>
  <c r="D14" i="6"/>
  <c r="D20" i="6"/>
  <c r="F45" i="9"/>
  <c r="K38" i="9"/>
  <c r="C14" i="66" s="1"/>
  <c r="D26" i="6"/>
  <c r="D11" i="6"/>
  <c r="D9" i="6"/>
  <c r="D29" i="6"/>
  <c r="D15" i="6"/>
  <c r="F46" i="9"/>
  <c r="C22" i="4"/>
  <c r="D21" i="6"/>
  <c r="D10" i="6"/>
  <c r="D28" i="6"/>
  <c r="D8" i="6"/>
  <c r="E45" i="9"/>
  <c r="E6" i="3"/>
  <c r="C24" i="77"/>
  <c r="AA33" i="21"/>
  <c r="R48" i="21" s="1"/>
  <c r="S33" i="21"/>
  <c r="U33" i="21"/>
  <c r="AB33" i="21"/>
  <c r="T48" i="21" s="1"/>
  <c r="G48" i="21" s="1"/>
  <c r="W33" i="21"/>
  <c r="AC33" i="21"/>
  <c r="V48" i="21" s="1"/>
  <c r="I48" i="21" s="1"/>
  <c r="I52" i="21" s="1"/>
  <c r="J52" i="21" s="1"/>
  <c r="P14" i="1"/>
  <c r="P16" i="1" s="1"/>
  <c r="C13" i="12" s="1"/>
  <c r="C14" i="12" s="1"/>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41" i="77"/>
  <c r="R26" i="6" l="1"/>
  <c r="J29" i="77"/>
  <c r="F68" i="77"/>
  <c r="C24" i="79"/>
  <c r="H23" i="6"/>
  <c r="M21" i="6"/>
  <c r="I21" i="6" s="1"/>
  <c r="S8" i="1"/>
  <c r="M22" i="6"/>
  <c r="I22" i="6" s="1"/>
  <c r="S9" i="1"/>
  <c r="S6" i="1"/>
  <c r="K27" i="6"/>
  <c r="M19" i="6"/>
  <c r="S7" i="1"/>
  <c r="M20" i="6"/>
  <c r="I20" i="6" s="1"/>
  <c r="D30" i="6"/>
  <c r="T4" i="46"/>
  <c r="V4" i="46" s="1"/>
  <c r="C33" i="46"/>
  <c r="T2" i="46"/>
  <c r="V2" i="46" s="1"/>
  <c r="T6" i="46"/>
  <c r="V6" i="46" s="1"/>
  <c r="T5" i="46"/>
  <c r="V5" i="46" s="1"/>
  <c r="C38" i="46"/>
  <c r="T9" i="46"/>
  <c r="V9" i="46" s="1"/>
  <c r="T15" i="46"/>
  <c r="V15" i="46" s="1"/>
  <c r="C29" i="46"/>
  <c r="T8" i="46"/>
  <c r="V8" i="46" s="1"/>
  <c r="T11" i="46"/>
  <c r="V11" i="46" s="1"/>
  <c r="C39" i="46"/>
  <c r="C34" i="46"/>
  <c r="C37" i="46"/>
  <c r="T7" i="46"/>
  <c r="V7" i="46" s="1"/>
  <c r="C36" i="46"/>
  <c r="T3" i="46"/>
  <c r="V3" i="46" s="1"/>
  <c r="C35" i="46"/>
  <c r="T16" i="46"/>
  <c r="V16" i="46" s="1"/>
  <c r="T14" i="46"/>
  <c r="V14" i="46" s="1"/>
  <c r="T12" i="46"/>
  <c r="V12" i="46" s="1"/>
  <c r="T13" i="46"/>
  <c r="V13" i="46" s="1"/>
  <c r="T10" i="46"/>
  <c r="V10" i="46" s="1"/>
  <c r="B2" i="66"/>
  <c r="D7" i="66" s="1"/>
  <c r="S22" i="31"/>
  <c r="D27" i="6"/>
  <c r="D31" i="6" s="1"/>
  <c r="D16" i="6"/>
  <c r="R25" i="6"/>
  <c r="R24" i="6"/>
  <c r="A6" i="51"/>
  <c r="B7" i="63" s="1"/>
  <c r="A20" i="64"/>
  <c r="N5" i="54"/>
  <c r="B43" i="63" s="1"/>
  <c r="A6" i="64"/>
  <c r="A20" i="51"/>
  <c r="B15" i="63" s="1"/>
  <c r="R23" i="6"/>
  <c r="G52" i="21"/>
  <c r="H52" i="21" s="1"/>
  <c r="G53" i="21"/>
  <c r="H53" i="21" s="1"/>
  <c r="E48" i="21"/>
  <c r="R49" i="21"/>
  <c r="C17" i="12"/>
  <c r="C18" i="12" s="1"/>
  <c r="C23" i="12" s="1"/>
  <c r="C14" i="43"/>
  <c r="C17" i="43"/>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7" i="77"/>
  <c r="C17" i="15"/>
  <c r="M23" i="44"/>
  <c r="C17" i="79"/>
  <c r="F37" i="44"/>
  <c r="D8" i="66" l="1"/>
  <c r="S22" i="6"/>
  <c r="H22" i="6"/>
  <c r="R22" i="6" s="1"/>
  <c r="R9" i="1" s="1"/>
  <c r="S21" i="6"/>
  <c r="H21" i="6"/>
  <c r="R21" i="6" s="1"/>
  <c r="R8" i="1" s="1"/>
  <c r="S20" i="6"/>
  <c r="H20" i="6"/>
  <c r="R20" i="6" s="1"/>
  <c r="R7" i="1" s="1"/>
  <c r="I19" i="6"/>
  <c r="M27" i="6"/>
  <c r="S16" i="1"/>
  <c r="E34" i="46"/>
  <c r="G34" i="46"/>
  <c r="I34" i="46" s="1"/>
  <c r="E29" i="46"/>
  <c r="C30" i="46"/>
  <c r="E30" i="46" s="1"/>
  <c r="E35" i="46"/>
  <c r="G35" i="46"/>
  <c r="I35" i="46" s="1"/>
  <c r="G36" i="46"/>
  <c r="I36" i="46" s="1"/>
  <c r="E36" i="46"/>
  <c r="G37" i="46"/>
  <c r="I37" i="46" s="1"/>
  <c r="E37" i="46"/>
  <c r="G39" i="46"/>
  <c r="I39" i="46" s="1"/>
  <c r="E39" i="46"/>
  <c r="E38" i="46"/>
  <c r="G38" i="46"/>
  <c r="I38" i="46" s="1"/>
  <c r="E33" i="46"/>
  <c r="G33" i="46"/>
  <c r="I33" i="46" s="1"/>
  <c r="J22" i="44"/>
  <c r="C36" i="44"/>
  <c r="B20" i="31"/>
  <c r="R22" i="31"/>
  <c r="B21" i="31" s="1"/>
  <c r="I6" i="6"/>
  <c r="I5" i="6"/>
  <c r="I53" i="21"/>
  <c r="J53" i="21" s="1"/>
  <c r="E52" i="21"/>
  <c r="F52" i="21" s="1"/>
  <c r="E53" i="21"/>
  <c r="F53" i="21" s="1"/>
  <c r="C48" i="21"/>
  <c r="C49" i="21"/>
  <c r="B3" i="21" s="1"/>
  <c r="C18" i="43"/>
  <c r="C19" i="43" s="1"/>
  <c r="C25" i="43" s="1"/>
  <c r="C24" i="43" s="1"/>
  <c r="S9" i="39"/>
  <c r="AA9" i="39"/>
  <c r="R49" i="39" s="1"/>
  <c r="L67" i="40"/>
  <c r="M65" i="40"/>
  <c r="H9" i="39"/>
  <c r="J9" i="39"/>
  <c r="K48" i="35"/>
  <c r="L48" i="35" s="1"/>
  <c r="M48" i="35" s="1"/>
  <c r="N48" i="35" s="1"/>
  <c r="O48" i="35" s="1"/>
  <c r="K52" i="37"/>
  <c r="M21" i="79"/>
  <c r="F35" i="77"/>
  <c r="F35" i="15"/>
  <c r="F35" i="79"/>
  <c r="M21" i="77"/>
  <c r="M21" i="15"/>
  <c r="F7" i="67"/>
  <c r="F62" i="77" l="1"/>
  <c r="C61" i="77" s="1"/>
  <c r="C34" i="77"/>
  <c r="J20" i="77"/>
  <c r="J20" i="79"/>
  <c r="C34" i="79"/>
  <c r="F62" i="79"/>
  <c r="C61" i="79" s="1"/>
  <c r="C33" i="79"/>
  <c r="J20" i="15"/>
  <c r="C34" i="15"/>
  <c r="F62" i="15"/>
  <c r="C61" i="15" s="1"/>
  <c r="T11" i="1"/>
  <c r="T13" i="1"/>
  <c r="T9" i="1"/>
  <c r="T8" i="1"/>
  <c r="T12" i="1"/>
  <c r="T10" i="1"/>
  <c r="T6" i="1"/>
  <c r="S19" i="6"/>
  <c r="S27" i="6" s="1"/>
  <c r="I27" i="6"/>
  <c r="H19" i="6"/>
  <c r="T7" i="1"/>
  <c r="E4" i="67"/>
  <c r="C27" i="46"/>
  <c r="C26" i="46"/>
  <c r="B2" i="21"/>
  <c r="J7" i="35"/>
  <c r="AC7" i="35" s="1"/>
  <c r="V38" i="35" s="1"/>
  <c r="I38" i="35" s="1"/>
  <c r="J59" i="15"/>
  <c r="J60" i="15" s="1"/>
  <c r="Q49" i="15" s="1"/>
  <c r="C22" i="43"/>
  <c r="C21" i="43" s="1"/>
  <c r="C28" i="43" s="1"/>
  <c r="C30" i="43" s="1"/>
  <c r="C32" i="43" s="1"/>
  <c r="B2" i="43" s="1"/>
  <c r="AC9" i="39"/>
  <c r="V49" i="39" s="1"/>
  <c r="I49" i="39" s="1"/>
  <c r="W9" i="39"/>
  <c r="N65" i="40"/>
  <c r="N67" i="40" s="1"/>
  <c r="M67" i="40"/>
  <c r="L52" i="37"/>
  <c r="F7" i="35"/>
  <c r="H7" i="35"/>
  <c r="AB9" i="39"/>
  <c r="T49" i="39" s="1"/>
  <c r="G49" i="39" s="1"/>
  <c r="U9" i="39"/>
  <c r="E49" i="39"/>
  <c r="C14" i="79"/>
  <c r="C14" i="15"/>
  <c r="C14" i="77"/>
  <c r="C16" i="44"/>
  <c r="E7" i="67"/>
  <c r="C18" i="77" l="1"/>
  <c r="C15" i="77"/>
  <c r="C15" i="79"/>
  <c r="C18" i="79"/>
  <c r="C31" i="79"/>
  <c r="C60" i="79"/>
  <c r="C58" i="79" s="1"/>
  <c r="C15" i="15"/>
  <c r="C18" i="15"/>
  <c r="C20" i="44"/>
  <c r="C17" i="44"/>
  <c r="T16" i="1"/>
  <c r="R19" i="6"/>
  <c r="H27" i="6"/>
  <c r="E3" i="67"/>
  <c r="W7" i="35"/>
  <c r="B2" i="46"/>
  <c r="C33" i="77"/>
  <c r="C31" i="77" s="1"/>
  <c r="R50" i="39"/>
  <c r="C50" i="39" s="1"/>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B7" i="67"/>
  <c r="C19" i="77" l="1"/>
  <c r="C19" i="79"/>
  <c r="C20" i="79" s="1"/>
  <c r="C26" i="79" s="1"/>
  <c r="C20" i="77"/>
  <c r="C26" i="77" s="1"/>
  <c r="C19" i="15"/>
  <c r="C20" i="15" s="1"/>
  <c r="C26" i="15" s="1"/>
  <c r="C21" i="44"/>
  <c r="C22" i="44" s="1"/>
  <c r="C25" i="44" s="1"/>
  <c r="R27" i="6"/>
  <c r="R6" i="1"/>
  <c r="R16" i="1" s="1"/>
  <c r="B2" i="67"/>
  <c r="D4" i="46"/>
  <c r="B3" i="46"/>
  <c r="B4" i="46"/>
  <c r="C49" i="39"/>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C23" i="77" l="1"/>
  <c r="C29" i="77" s="1"/>
  <c r="Q50" i="77" s="1"/>
  <c r="C23" i="79"/>
  <c r="C29" i="79" s="1"/>
  <c r="C23" i="15"/>
  <c r="C29" i="15" s="1"/>
  <c r="C28" i="44"/>
  <c r="C31" i="44" s="1"/>
  <c r="B4" i="67"/>
  <c r="B3" i="67"/>
  <c r="F68" i="39"/>
  <c r="B2"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C36" i="77" l="1"/>
  <c r="J14" i="77"/>
  <c r="C13" i="77"/>
  <c r="C55" i="77" s="1"/>
  <c r="C64" i="77" s="1"/>
  <c r="C56" i="77"/>
  <c r="J19" i="77"/>
  <c r="J17" i="77" s="1"/>
  <c r="J22" i="77"/>
  <c r="J13" i="77"/>
  <c r="J23" i="77" s="1"/>
  <c r="C56" i="79"/>
  <c r="C63" i="79" s="1"/>
  <c r="C36" i="79"/>
  <c r="J19" i="79"/>
  <c r="J17" i="79" s="1"/>
  <c r="C13" i="79"/>
  <c r="Q50" i="79"/>
  <c r="J14" i="79"/>
  <c r="C60" i="77"/>
  <c r="C58" i="77" s="1"/>
  <c r="C63" i="77"/>
  <c r="Q51" i="44"/>
  <c r="J16" i="44"/>
  <c r="C38" i="44"/>
  <c r="J21" i="44"/>
  <c r="J19" i="44" s="1"/>
  <c r="C35" i="44"/>
  <c r="C33" i="44" s="1"/>
  <c r="C15" i="44"/>
  <c r="C36" i="15"/>
  <c r="C33" i="15"/>
  <c r="C31" i="15" s="1"/>
  <c r="C13" i="15"/>
  <c r="Q50" i="15"/>
  <c r="J19" i="15"/>
  <c r="J17" i="15" s="1"/>
  <c r="C56" i="15"/>
  <c r="J14" i="15"/>
  <c r="L44" i="9"/>
  <c r="B3" i="39"/>
  <c r="B4" i="39"/>
  <c r="B5" i="39"/>
  <c r="W7" i="37"/>
  <c r="AC7" i="37"/>
  <c r="V42" i="37" s="1"/>
  <c r="I42" i="37" s="1"/>
  <c r="C45" i="40"/>
  <c r="C44" i="40"/>
  <c r="AB7" i="37"/>
  <c r="T42" i="37" s="1"/>
  <c r="G42" i="37" s="1"/>
  <c r="U7" i="37"/>
  <c r="E48" i="40"/>
  <c r="F48" i="40" s="1"/>
  <c r="E49" i="40"/>
  <c r="F49" i="40" s="1"/>
  <c r="E42" i="37"/>
  <c r="R43" i="37"/>
  <c r="D20" i="9"/>
  <c r="D21" i="9"/>
  <c r="C37" i="77" l="1"/>
  <c r="C30" i="77" s="1"/>
  <c r="C39" i="77" s="1"/>
  <c r="C40" i="77" s="1"/>
  <c r="Q71" i="77"/>
  <c r="J35" i="77"/>
  <c r="J16" i="77"/>
  <c r="J25" i="77" s="1"/>
  <c r="C57" i="77"/>
  <c r="C66" i="77" s="1"/>
  <c r="C67" i="77" s="1"/>
  <c r="J22" i="79"/>
  <c r="J13" i="79"/>
  <c r="J23" i="79" s="1"/>
  <c r="C55" i="79"/>
  <c r="C64" i="79" s="1"/>
  <c r="C57" i="79" s="1"/>
  <c r="C66" i="79" s="1"/>
  <c r="C67" i="79" s="1"/>
  <c r="C37" i="79"/>
  <c r="C30" i="79" s="1"/>
  <c r="C39" i="79" s="1"/>
  <c r="Q71" i="79"/>
  <c r="J35" i="79"/>
  <c r="C60" i="15"/>
  <c r="C58" i="15" s="1"/>
  <c r="C63" i="15"/>
  <c r="J13" i="15"/>
  <c r="J23" i="15" s="1"/>
  <c r="J22" i="15"/>
  <c r="J35" i="15"/>
  <c r="C55" i="15"/>
  <c r="C64" i="15" s="1"/>
  <c r="Q71" i="15"/>
  <c r="C37" i="15"/>
  <c r="C30" i="15" s="1"/>
  <c r="C39" i="15" s="1"/>
  <c r="Q72" i="44"/>
  <c r="C39" i="44"/>
  <c r="C32" i="44" s="1"/>
  <c r="C42" i="44" s="1"/>
  <c r="C43" i="44"/>
  <c r="J15" i="44"/>
  <c r="J25" i="44" s="1"/>
  <c r="J24"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L51" i="79"/>
  <c r="L51" i="15"/>
  <c r="J39" i="77" l="1"/>
  <c r="J40" i="77" s="1"/>
  <c r="Q70" i="77"/>
  <c r="Q69" i="77" s="1"/>
  <c r="J16" i="79"/>
  <c r="J25" i="79" s="1"/>
  <c r="Q68" i="79"/>
  <c r="C70" i="79"/>
  <c r="Q66" i="77"/>
  <c r="Q76" i="77" s="1"/>
  <c r="J42" i="77"/>
  <c r="J43" i="77" s="1"/>
  <c r="C43" i="77"/>
  <c r="B2" i="77"/>
  <c r="Q57" i="77"/>
  <c r="Q63" i="77" s="1"/>
  <c r="Q48" i="77"/>
  <c r="Q54" i="77" s="1"/>
  <c r="C40" i="79"/>
  <c r="Q70" i="79"/>
  <c r="Q69" i="79" s="1"/>
  <c r="J39" i="79"/>
  <c r="J40" i="79" s="1"/>
  <c r="C70" i="77"/>
  <c r="C46" i="77"/>
  <c r="J39" i="15"/>
  <c r="J40" i="15" s="1"/>
  <c r="C57" i="15"/>
  <c r="C66" i="15" s="1"/>
  <c r="C67" i="15" s="1"/>
  <c r="C70" i="15" s="1"/>
  <c r="Q68" i="15"/>
  <c r="Q71" i="44"/>
  <c r="Q70" i="44" s="1"/>
  <c r="C44" i="44"/>
  <c r="C45" i="44" s="1"/>
  <c r="B2" i="44" s="1"/>
  <c r="J18" i="44"/>
  <c r="J27" i="44" s="1"/>
  <c r="C40" i="15"/>
  <c r="Q70" i="15"/>
  <c r="Q69" i="15" s="1"/>
  <c r="J16" i="15"/>
  <c r="J25" i="15" s="1"/>
  <c r="B5" i="40"/>
  <c r="B4" i="40"/>
  <c r="B3" i="40"/>
  <c r="L51" i="77"/>
  <c r="Q68" i="77" l="1"/>
  <c r="Q48" i="79"/>
  <c r="Q54" i="79" s="1"/>
  <c r="B2" i="79"/>
  <c r="Q57" i="79"/>
  <c r="Q63" i="79" s="1"/>
  <c r="C43" i="79"/>
  <c r="Q66" i="79"/>
  <c r="Q76" i="79" s="1"/>
  <c r="J42" i="79"/>
  <c r="J43" i="79" s="1"/>
  <c r="B3" i="77"/>
  <c r="E8" i="12" s="1"/>
  <c r="E10" i="12"/>
  <c r="C46" i="79"/>
  <c r="C43" i="15"/>
  <c r="Q48" i="15"/>
  <c r="Q54" i="15" s="1"/>
  <c r="Q66" i="15"/>
  <c r="Q76" i="15" s="1"/>
  <c r="Q57" i="15"/>
  <c r="Q63" i="15" s="1"/>
  <c r="B2" i="15"/>
  <c r="B3" i="15" s="1"/>
  <c r="J42" i="15"/>
  <c r="J43" i="15" s="1"/>
  <c r="C46" i="15"/>
  <c r="B5" i="44"/>
  <c r="B4" i="44"/>
  <c r="B3" i="44"/>
  <c r="C8" i="12"/>
  <c r="C10" i="12" s="1"/>
  <c r="B3" i="79" l="1"/>
  <c r="F8" i="12" s="1"/>
  <c r="F10" i="12"/>
  <c r="D8" i="12"/>
  <c r="D10" i="12" s="1"/>
  <c r="C6" i="12" l="1"/>
  <c r="C29" i="12" s="1"/>
  <c r="C24" i="12" l="1"/>
  <c r="C35" i="12" s="1"/>
  <c r="C33" i="12" s="1"/>
  <c r="C28" i="12" l="1"/>
  <c r="C26" i="12" s="1"/>
  <c r="C31" i="12" s="1"/>
  <c r="C30" i="12" s="1"/>
  <c r="C36" i="12" s="1"/>
  <c r="B2" i="12" s="1"/>
  <c r="B3" i="12" s="1"/>
  <c r="C20" i="9"/>
  <c r="C19" i="9"/>
  <c r="D22" i="9" l="1"/>
  <c r="L43" i="9"/>
  <c r="G19" i="9"/>
  <c r="C32" i="9" s="1"/>
  <c r="B5" i="12"/>
  <c r="B4" i="12"/>
  <c r="G20" i="9"/>
  <c r="N43" i="9"/>
  <c r="C21" i="9"/>
  <c r="A27" i="9" l="1"/>
  <c r="G21" i="9"/>
  <c r="G22" i="9"/>
  <c r="C33" i="9"/>
  <c r="C35" i="9"/>
  <c r="F42" i="9" s="1"/>
  <c r="O38" i="9"/>
  <c r="C42" i="9"/>
  <c r="C34" i="9"/>
  <c r="O43" i="9"/>
  <c r="M38" i="9" l="1"/>
  <c r="K27" i="9" s="1"/>
  <c r="E42" i="9"/>
  <c r="P5" i="54" s="1"/>
  <c r="B46" i="63" s="1"/>
  <c r="K25" i="9"/>
  <c r="K26" i="9"/>
  <c r="D42" i="9"/>
  <c r="Q5" i="54" s="1"/>
  <c r="B47" i="63" s="1"/>
  <c r="N38" i="9"/>
  <c r="K28" i="9" s="1"/>
  <c r="N68" i="9"/>
  <c r="D63" i="9"/>
  <c r="D14" i="66"/>
  <c r="R5" i="54"/>
  <c r="B48" i="63" s="1"/>
  <c r="C44" i="9"/>
  <c r="C103" i="9" l="1"/>
  <c r="D77" i="9"/>
  <c r="N75" i="9" s="1"/>
  <c r="C96" i="9"/>
  <c r="C91" i="9" s="1"/>
  <c r="C90" i="9"/>
  <c r="C111" i="9"/>
  <c r="C104" i="9" s="1"/>
  <c r="D71" i="9"/>
  <c r="D66" i="9" s="1"/>
  <c r="N72" i="9" s="1"/>
  <c r="C82" i="9"/>
  <c r="C81" i="9" s="1"/>
  <c r="C85" i="9" s="1"/>
  <c r="C86" i="9" s="1"/>
  <c r="D72" i="9" s="1"/>
  <c r="D70" i="9"/>
  <c r="F44" i="9"/>
  <c r="O39" i="9"/>
  <c r="N69" i="9"/>
  <c r="D44" i="9"/>
  <c r="E44" i="9"/>
  <c r="G14" i="66"/>
  <c r="B6" i="66" s="1"/>
  <c r="E14" i="66"/>
  <c r="B5" i="66"/>
  <c r="F14" i="66"/>
  <c r="C13" i="78" s="1"/>
  <c r="C14" i="78" s="1"/>
  <c r="C15" i="78" s="1"/>
  <c r="C5" i="66" l="1"/>
  <c r="D5" i="66"/>
  <c r="D6" i="66"/>
  <c r="C6" i="66"/>
  <c r="R6" i="54"/>
  <c r="B50" i="63" s="1"/>
  <c r="K29" i="9"/>
  <c r="K30" i="9" s="1"/>
  <c r="C97" i="9"/>
  <c r="M87" i="9"/>
  <c r="N87" i="9" s="1"/>
  <c r="M83" i="9"/>
  <c r="N83" i="9" s="1"/>
  <c r="M84" i="9"/>
  <c r="N84" i="9" s="1"/>
  <c r="M85" i="9"/>
  <c r="N85" i="9" s="1"/>
  <c r="M86" i="9"/>
  <c r="N86" i="9" s="1"/>
  <c r="M88" i="9"/>
  <c r="N88" i="9" s="1"/>
  <c r="C113" i="9"/>
  <c r="C114" i="9" l="1"/>
  <c r="E114" i="9" s="1"/>
  <c r="E115" i="9" s="1"/>
  <c r="N89" i="9"/>
  <c r="O89" i="9" s="1"/>
  <c r="C98" i="9"/>
  <c r="E98" i="9" s="1"/>
  <c r="E9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<sst xmlns="http://schemas.openxmlformats.org/spreadsheetml/2006/main" count="8918" uniqueCount="3514">
  <si>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</si>
  <si>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</si>
  <si>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</si>
  <si>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</si>
  <si>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</si>
  <si>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</si>
  <si>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</si>
  <si>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</si>
  <si>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</si>
  <si>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</si>
  <si>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</si>
  <si>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</si>
  <si>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</si>
  <si>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</si>
  <si>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</si>
  <si>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</si>
  <si>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</si>
  <si>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</si>
  <si>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</si>
  <si>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</si>
  <si>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</si>
  <si>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</si>
  <si>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</si>
  <si>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</si>
  <si>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</si>
  <si>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</si>
  <si>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</si>
  <si>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</si>
  <si>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</si>
  <si>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</si>
  <si>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</si>
  <si>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</si>
  <si>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</si>
  <si>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</si>
  <si>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</si>
  <si>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</si>
  <si>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</si>
  <si>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</si>
  <si>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</si>
  <si>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</si>
  <si>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</si>
  <si>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</si>
  <si>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</si>
  <si>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</si>
  <si>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</si>
  <si>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</si>
  <si>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</si>
  <si>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</si>
  <si>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</si>
  <si>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</si>
  <si>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</si>
  <si>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</si>
  <si>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</si>
  <si>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</si>
  <si>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</si>
  <si>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</si>
  <si>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</si>
  <si>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</si>
  <si>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</si>
  <si>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</si>
  <si>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</si>
  <si>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</si>
  <si>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</si>
  <si>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</si>
  <si>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</si>
  <si>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</si>
  <si>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</si>
  <si>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</si>
  <si>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</si>
  <si>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</si>
  <si>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</si>
  <si>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</si>
  <si>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</si>
  <si>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</si>
  <si>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</si>
  <si>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</si>
  <si>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</si>
  <si>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</si>
  <si>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</si>
  <si>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</si>
  <si>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</si>
  <si>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</si>
  <si>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</si>
  <si>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</si>
  <si>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</si>
  <si>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</si>
  <si>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</si>
  <si>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</si>
  <si>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</si>
  <si>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</si>
  <si>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</si>
  <si>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</si>
  <si>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</si>
  <si>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</si>
  <si>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</si>
  <si>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</si>
  <si>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</si>
  <si>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</si>
  <si>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</si>
  <si>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</si>
  <si>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</si>
  <si>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</si>
  <si>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</si>
  <si>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</si>
  <si>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</si>
  <si>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</si>
  <si>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</si>
  <si>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</si>
  <si>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</si>
  <si>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</si>
  <si>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</si>
  <si>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</si>
  <si>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</si>
  <si>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</si>
  <si>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</si>
  <si>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</si>
  <si>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</si>
  <si>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</si>
  <si>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</si>
  <si>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</si>
  <si>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</si>
  <si>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</si>
  <si>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</si>
  <si>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</si>
  <si>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</si>
  <si>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</si>
  <si>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</si>
  <si>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</si>
  <si>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</si>
  <si>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</si>
  <si>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</si>
  <si>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</si>
  <si>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</si>
  <si>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</si>
  <si>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</si>
  <si>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</si>
  <si>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</si>
  <si>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</si>
  <si>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</si>
  <si>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</si>
  <si>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</si>
  <si>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</si>
  <si>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</si>
  <si>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</si>
  <si>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</si>
  <si>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</si>
  <si>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</si>
  <si>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</si>
  <si>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</si>
  <si>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</si>
  <si>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</si>
  <si>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</si>
  <si>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</si>
  <si>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</si>
  <si>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</si>
  <si>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</si>
  <si>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</si>
  <si>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</si>
  <si>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</si>
  <si>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</si>
  <si>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</si>
  <si>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</si>
  <si>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</si>
  <si>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</si>
  <si>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</si>
  <si>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</si>
  <si>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</si>
  <si>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</si>
  <si>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</si>
  <si>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</si>
  <si>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</si>
  <si>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</si>
  <si>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</si>
  <si>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</si>
  <si>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</si>
  <si>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</si>
  <si>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</si>
  <si>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</si>
  <si>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</si>
  <si>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</si>
  <si>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</si>
  <si>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</si>
  <si>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</si>
  <si>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</si>
  <si>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</si>
  <si>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</si>
  <si>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</si>
  <si>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</si>
  <si>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</si>
  <si>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</si>
  <si>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</si>
  <si>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</si>
  <si>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</si>
  <si>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</si>
  <si>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</si>
  <si>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</si>
  <si>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</si>
  <si>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</si>
  <si>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</si>
  <si>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</si>
  <si>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</si>
  <si>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</si>
  <si>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</si>
  <si>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</si>
  <si>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</si>
  <si>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</si>
  <si>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</si>
  <si>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</si>
  <si>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</si>
  <si>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</si>
  <si>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</si>
  <si>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</si>
  <si>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</si>
  <si>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</si>
  <si>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</si>
  <si>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</si>
  <si>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</si>
  <si>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</si>
  <si>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</si>
  <si>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</si>
  <si>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</si>
  <si>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</si>
  <si>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</si>
  <si>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</si>
  <si>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</si>
  <si>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</si>
  <si>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</si>
  <si>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</si>
  <si>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</si>
  <si>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</si>
  <si>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</si>
  <si>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</si>
  <si>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</si>
  <si>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</si>
  <si>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</si>
  <si>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</si>
  <si>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</si>
  <si>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</si>
  <si>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</si>
  <si>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</si>
  <si>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</si>
  <si>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</si>
  <si>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</si>
  <si>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</si>
  <si>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</si>
  <si>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</si>
  <si>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</si>
  <si>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</si>
  <si>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</si>
  <si>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</si>
  <si>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</si>
  <si>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</si>
  <si>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</si>
  <si>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</si>
  <si>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</si>
  <si>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</si>
  <si>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</si>
  <si>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</si>
  <si>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</si>
  <si>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</si>
  <si>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</si>
  <si>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</si>
  <si>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</si>
  <si>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</si>
  <si>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</si>
  <si>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</si>
  <si>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</si>
  <si>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</si>
  <si>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</si>
  <si>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</si>
  <si>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</si>
  <si>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</si>
  <si>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</si>
  <si>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</si>
  <si>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</si>
  <si>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</si>
  <si>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</si>
  <si>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</si>
  <si>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</si>
  <si>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</si>
  <si>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</si>
  <si>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</si>
  <si>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</si>
  <si>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</si>
  <si>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</si>
  <si>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</si>
  <si>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</si>
  <si>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</si>
  <si>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</si>
  <si>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</si>
  <si>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</si>
  <si>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</si>
  <si>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</si>
  <si>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</si>
  <si>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</si>
  <si>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</si>
  <si>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</si>
  <si>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</si>
  <si>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</si>
  <si>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</si>
  <si>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</si>
  <si>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</si>
  <si>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</si>
  <si>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</si>
  <si>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</si>
  <si>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</si>
  <si>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</si>
  <si>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</si>
  <si>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</si>
  <si>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</si>
  <si>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</si>
  <si>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</si>
  <si>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</si>
  <si>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</si>
  <si>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</si>
  <si>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</si>
  <si>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</si>
  <si>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</si>
  <si>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</si>
  <si>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</si>
  <si>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</si>
  <si>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</si>
  <si>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</si>
  <si>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</si>
  <si>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</si>
  <si>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</si>
  <si>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</si>
  <si>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</si>
  <si>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</si>
  <si>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</si>
  <si>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</si>
  <si>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</si>
  <si>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</si>
  <si>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</si>
  <si>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</si>
  <si>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</si>
  <si>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</si>
  <si>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</si>
  <si>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</si>
  <si>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</si>
  <si>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</si>
  <si>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</si>
  <si>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</si>
  <si>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</si>
  <si>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</si>
  <si>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</si>
  <si>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</si>
  <si>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</si>
  <si>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</si>
  <si>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</si>
  <si>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</si>
  <si>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</si>
  <si>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</si>
  <si>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</si>
  <si>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</si>
  <si>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</si>
  <si>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</si>
  <si>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</si>
  <si>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</si>
  <si>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</si>
  <si>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</si>
  <si>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</si>
  <si>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</si>
  <si>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</si>
  <si>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</si>
  <si>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</si>
  <si>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</si>
  <si>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</si>
  <si>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</si>
  <si>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</si>
  <si>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</si>
  <si>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</si>
  <si>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</si>
  <si>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</si>
  <si>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</si>
  <si>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</si>
  <si>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</si>
  <si>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</si>
  <si>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</si>
  <si>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</si>
  <si>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</si>
  <si>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</si>
  <si>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</si>
  <si>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</si>
  <si>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</si>
  <si>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</si>
  <si>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</si>
  <si>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</si>
  <si>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</si>
  <si>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</si>
  <si>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</si>
  <si>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</si>
  <si>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</si>
  <si>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</si>
  <si>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</si>
  <si>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</si>
  <si>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</si>
  <si>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</si>
  <si>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</si>
  <si>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</si>
  <si>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</si>
  <si>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</si>
  <si>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</si>
  <si>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</si>
  <si>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</si>
  <si>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</si>
  <si>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</si>
  <si>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</si>
  <si>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</si>
  <si>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</si>
  <si>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</si>
  <si>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</si>
  <si>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</si>
  <si>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</si>
  <si>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</si>
  <si>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</si>
  <si>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</si>
  <si>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</si>
  <si>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</si>
  <si>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</si>
  <si>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</si>
  <si>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</si>
  <si>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</si>
  <si>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</si>
  <si>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</si>
  <si>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</si>
  <si>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</si>
  <si>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</si>
  <si>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</si>
  <si>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</si>
  <si>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</si>
  <si>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</si>
  <si>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</si>
  <si>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</si>
  <si>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</si>
  <si>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</si>
  <si>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</si>
  <si>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</si>
  <si>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</si>
  <si>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</si>
  <si>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</si>
  <si>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</si>
  <si>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</si>
  <si>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</si>
  <si>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</si>
  <si>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</si>
  <si>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</si>
  <si>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</si>
  <si>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</si>
  <si>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</si>
  <si>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</si>
  <si>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</si>
  <si>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</si>
  <si>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</si>
  <si>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</si>
  <si>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</si>
  <si>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</si>
  <si>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</si>
  <si>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</si>
  <si>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</si>
  <si>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</si>
  <si>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</si>
  <si>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</si>
  <si>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</si>
  <si>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</si>
  <si>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</si>
  <si>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</si>
  <si>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</si>
  <si>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</si>
  <si>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</si>
  <si>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</si>
  <si>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</si>
  <si>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</si>
  <si>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</si>
  <si>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</si>
  <si>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</si>
  <si>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</si>
  <si>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</si>
  <si>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</si>
  <si>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</si>
  <si>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</si>
  <si>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</si>
  <si>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</si>
  <si>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</si>
  <si>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</si>
  <si>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</si>
  <si>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</si>
  <si>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</si>
  <si>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</si>
  <si>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</si>
  <si>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</si>
  <si>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</si>
  <si>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</si>
  <si>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</si>
  <si>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</si>
  <si>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</si>
  <si>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</si>
  <si>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</si>
  <si>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</si>
  <si>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</si>
  <si>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</si>
  <si>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</si>
  <si>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</si>
  <si>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</si>
  <si>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</si>
  <si>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</si>
  <si>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</si>
  <si>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</si>
  <si>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</si>
  <si>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</si>
  <si>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</si>
  <si>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</si>
  <si>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</si>
  <si>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</si>
  <si>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</si>
  <si>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</si>
  <si>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</si>
  <si>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</si>
  <si>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</si>
  <si>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</si>
  <si>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</si>
  <si>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</si>
  <si>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</si>
  <si>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</si>
  <si>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</si>
  <si>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</si>
  <si>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</si>
  <si>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</si>
  <si>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</si>
  <si>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</si>
  <si>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</si>
  <si>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</si>
  <si>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</si>
  <si>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</si>
  <si>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</si>
  <si>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</si>
  <si>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</si>
  <si>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</si>
  <si>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</si>
  <si>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</si>
  <si>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</si>
  <si>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</si>
  <si>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</si>
  <si>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</si>
  <si>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</si>
  <si>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</si>
  <si>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</si>
  <si>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</si>
  <si>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</si>
  <si>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</si>
  <si>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</si>
  <si>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</si>
  <si>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</si>
  <si>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</si>
  <si>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</si>
  <si>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</si>
  <si>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</si>
  <si>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</si>
  <si>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</si>
  <si>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</si>
  <si>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</si>
  <si>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</si>
  <si>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</si>
  <si>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</si>
  <si>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</si>
  <si>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</si>
  <si>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</si>
  <si>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</si>
  <si>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</si>
  <si>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</si>
  <si>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</si>
  <si>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</si>
  <si>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</si>
  <si>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</si>
  <si>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</si>
  <si>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</si>
  <si>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</si>
  <si>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</si>
  <si>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</si>
  <si>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</si>
  <si>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</si>
  <si>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</si>
  <si>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</si>
  <si>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</si>
  <si>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</si>
  <si>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</si>
  <si>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</si>
  <si>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</si>
  <si>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</si>
  <si>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</si>
  <si>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</si>
  <si>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</si>
  <si>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</si>
  <si>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</si>
  <si>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</si>
  <si>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</si>
  <si>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</si>
  <si>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</si>
  <si>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</si>
  <si>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</si>
  <si>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</si>
  <si>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</si>
  <si>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</si>
  <si>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</si>
  <si>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</si>
  <si>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</si>
  <si>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</si>
  <si>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</si>
  <si>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</si>
  <si>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</si>
  <si>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</si>
  <si>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</si>
  <si>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</si>
  <si>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</si>
  <si>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</si>
  <si>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</si>
  <si>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</si>
  <si>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</si>
  <si>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</si>
  <si>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</si>
  <si>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</si>
  <si>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</si>
  <si>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</si>
  <si>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</si>
  <si>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</si>
  <si>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</si>
  <si>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</si>
  <si>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</si>
  <si>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</si>
  <si>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</si>
  <si>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</si>
  <si>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</si>
  <si>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</si>
  <si>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</si>
  <si>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</si>
  <si>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</si>
  <si>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</si>
  <si>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</si>
  <si>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</si>
  <si>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</si>
  <si>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</si>
  <si>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</si>
  <si>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</si>
  <si>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</si>
  <si>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</si>
  <si>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</si>
  <si>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</si>
  <si>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</si>
  <si>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</si>
  <si>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</si>
  <si>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</si>
  <si>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</si>
  <si>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</si>
  <si>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</si>
  <si>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</si>
  <si>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</si>
  <si>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</si>
  <si>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</si>
  <si>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</si>
  <si>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</si>
  <si>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</si>
  <si>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</si>
  <si>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</si>
  <si>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</si>
  <si>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</si>
  <si>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</si>
  <si>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</si>
  <si>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</si>
  <si>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</si>
  <si>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</si>
  <si>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</si>
  <si>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</si>
  <si>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</si>
  <si>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</si>
  <si>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</si>
  <si>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</si>
  <si>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</si>
  <si>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</si>
  <si>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</si>
  <si>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</si>
  <si>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</si>
  <si>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</si>
  <si>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</si>
  <si>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</si>
  <si>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</si>
  <si>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</si>
  <si>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</si>
  <si>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</si>
  <si>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</si>
  <si>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</si>
  <si>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</si>
  <si>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</si>
  <si>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</si>
  <si>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</si>
  <si>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</si>
  <si>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</si>
  <si>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</si>
  <si>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</si>
  <si>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</si>
  <si>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</si>
  <si>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</si>
  <si>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</si>
  <si>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</si>
  <si>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</si>
  <si>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</si>
  <si>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</si>
  <si>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</si>
  <si>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</si>
  <si>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</si>
  <si>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</si>
  <si>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</si>
  <si>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</si>
  <si>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</si>
  <si>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</si>
  <si>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</si>
  <si>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</si>
  <si>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</si>
  <si>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</si>
  <si>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</si>
  <si>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</si>
  <si>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</si>
  <si>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</si>
  <si>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</si>
  <si>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</si>
  <si>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</si>
  <si>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</si>
  <si>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</si>
  <si>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</si>
  <si>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</si>
  <si>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</si>
  <si>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</si>
  <si>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</si>
  <si>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</si>
  <si>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</si>
  <si>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</si>
  <si>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</si>
  <si>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</si>
  <si>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</si>
  <si>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</si>
  <si>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</si>
  <si>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</si>
  <si>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</si>
  <si>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</si>
  <si>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</si>
  <si>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</si>
  <si>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</si>
  <si>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</si>
  <si>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</si>
  <si>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</si>
  <si>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</si>
  <si>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</si>
  <si>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</si>
  <si>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</si>
  <si>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</si>
  <si>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</si>
  <si>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</si>
  <si>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</si>
  <si>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</si>
  <si>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</si>
  <si>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</si>
  <si>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</si>
  <si>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</si>
  <si>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</si>
  <si>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</si>
  <si>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</si>
  <si>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</si>
  <si>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</si>
  <si>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</si>
  <si>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</si>
  <si>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</si>
  <si>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</si>
  <si>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</si>
  <si>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</si>
  <si>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</si>
  <si>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</si>
  <si>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</si>
  <si>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</si>
  <si>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</si>
  <si>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</si>
  <si>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</si>
  <si>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</si>
  <si>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</si>
  <si>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</si>
  <si>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</si>
  <si>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</si>
  <si>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</si>
  <si>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</si>
  <si>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</si>
  <si>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</si>
  <si>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</si>
  <si>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</si>
  <si>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</si>
  <si>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</si>
  <si>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</si>
  <si>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</si>
  <si>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</si>
  <si>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</si>
  <si>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</si>
  <si>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</si>
  <si>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</si>
  <si>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</si>
  <si>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</si>
  <si>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</si>
  <si>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</si>
  <si>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</si>
  <si>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</si>
  <si>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</si>
  <si>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</si>
  <si>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</si>
  <si>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</si>
  <si>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</si>
  <si>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</si>
  <si>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</si>
  <si>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</si>
  <si>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</si>
  <si>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</si>
  <si>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</si>
  <si>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</si>
  <si>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</si>
  <si>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</si>
  <si>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</si>
  <si>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</si>
  <si>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</si>
  <si>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</si>
  <si>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</si>
  <si>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</si>
  <si>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</si>
  <si>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</si>
  <si>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</si>
  <si>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</si>
  <si>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</si>
  <si>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</si>
  <si>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</si>
  <si>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</si>
  <si>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</si>
  <si>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</si>
  <si>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</si>
  <si>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</si>
  <si>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</si>
  <si>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</si>
  <si>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</si>
  <si>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</si>
  <si>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</si>
  <si>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</si>
  <si>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</si>
  <si>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</si>
  <si>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</si>
  <si>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</si>
  <si>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</si>
  <si>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</si>
  <si>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</si>
  <si>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</si>
  <si>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</si>
  <si>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</si>
  <si>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</si>
  <si>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</si>
  <si>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</si>
  <si>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</si>
  <si>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</si>
  <si>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</si>
  <si>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</si>
  <si>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</si>
  <si>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</si>
  <si>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</si>
  <si>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</si>
  <si>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</si>
  <si>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</si>
  <si>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</si>
  <si>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</si>
  <si>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</si>
  <si>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</si>
  <si>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</si>
  <si>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</si>
  <si>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</si>
  <si>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</si>
  <si>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</si>
  <si>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</si>
  <si>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</si>
  <si>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</si>
  <si>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</si>
  <si>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</si>
  <si>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</si>
  <si>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</si>
  <si>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</si>
  <si>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</si>
  <si>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</si>
  <si>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</si>
  <si>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</si>
  <si>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</si>
  <si>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</si>
  <si>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</si>
  <si>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</si>
  <si>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</si>
  <si>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</si>
  <si>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</si>
  <si>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</si>
  <si>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</si>
  <si>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</si>
  <si>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</si>
  <si>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</si>
  <si>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</si>
  <si>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</si>
  <si>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</si>
  <si>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</si>
  <si>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</si>
  <si>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</si>
  <si>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</si>
  <si>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</si>
  <si>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</si>
  <si>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</si>
  <si>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</si>
  <si>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</si>
  <si>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</si>
  <si>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</si>
  <si>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</si>
  <si>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</si>
  <si>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</si>
  <si>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</si>
  <si>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</si>
  <si>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</si>
  <si>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</si>
  <si>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</si>
  <si>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</si>
  <si>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</si>
  <si>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</si>
  <si>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</si>
  <si>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</si>
  <si>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</si>
  <si>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</si>
  <si>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</si>
  <si>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</si>
  <si>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</si>
  <si>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</si>
  <si>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</si>
  <si>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</si>
  <si>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</si>
  <si>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</si>
  <si>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</si>
  <si>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</si>
  <si>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</si>
  <si>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</si>
  <si>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</si>
  <si>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</si>
  <si>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</si>
  <si>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</si>
  <si>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</si>
  <si>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</si>
  <si>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</si>
  <si>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</si>
  <si>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</si>
  <si>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</si>
  <si>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</si>
  <si>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</si>
  <si>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</si>
  <si>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</si>
  <si>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</si>
  <si>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</si>
  <si>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</si>
  <si>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</si>
  <si>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</si>
  <si>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</si>
  <si>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</si>
  <si>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</si>
  <si>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</si>
  <si>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</si>
  <si>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</si>
  <si>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</si>
  <si>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</si>
  <si>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</si>
  <si>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</si>
  <si>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</si>
  <si>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</si>
  <si>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</si>
  <si>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</si>
  <si>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</si>
  <si>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</si>
  <si>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</si>
  <si>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</si>
  <si>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</si>
  <si>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</si>
  <si>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</si>
  <si>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</si>
  <si>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</si>
  <si>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</si>
  <si>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</si>
  <si>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</si>
  <si>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</si>
  <si>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</si>
  <si>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</si>
  <si>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</si>
  <si>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</si>
  <si>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</si>
  <si>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</si>
  <si>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</si>
  <si>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</si>
  <si>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</si>
  <si>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</si>
  <si>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</si>
  <si>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</si>
  <si>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</si>
  <si>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</si>
  <si>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</si>
  <si>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</si>
  <si>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</si>
  <si>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</si>
  <si>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</si>
  <si>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</si>
  <si>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</si>
  <si>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</si>
  <si>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</si>
  <si>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</si>
  <si>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</si>
  <si>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</si>
  <si>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</si>
  <si>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</si>
  <si>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</si>
  <si>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</si>
  <si>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</si>
  <si>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</si>
  <si>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</si>
  <si>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</si>
  <si>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</si>
  <si>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</si>
  <si>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</si>
  <si>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</si>
  <si>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</si>
  <si>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</si>
  <si>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</si>
  <si>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</si>
  <si>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</si>
  <si>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</si>
  <si>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</si>
  <si>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</si>
  <si>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</si>
  <si>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</si>
  <si>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</si>
  <si>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</si>
  <si>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</si>
  <si>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</si>
  <si>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</si>
  <si>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</si>
  <si>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</si>
  <si>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</si>
  <si>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</si>
  <si>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</si>
  <si>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</si>
  <si>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</si>
  <si>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</si>
  <si>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</si>
  <si>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</si>
  <si>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</si>
  <si>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</si>
  <si>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</si>
  <si>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</si>
  <si>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</si>
  <si>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</si>
  <si>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</si>
  <si>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</si>
  <si>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</si>
  <si>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</si>
  <si>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</si>
  <si>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</si>
  <si>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</si>
  <si>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</si>
  <si>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</si>
  <si>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</si>
  <si>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</si>
  <si>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</si>
  <si>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</si>
  <si>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</si>
  <si>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</si>
  <si>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</si>
  <si>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</si>
  <si>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</si>
  <si>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</si>
  <si>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</si>
  <si>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</si>
  <si>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</si>
  <si>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</si>
  <si>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</si>
  <si>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</si>
  <si>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</si>
  <si>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</si>
  <si>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</si>
  <si>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</si>
  <si>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</si>
  <si>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</si>
  <si>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</si>
  <si>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</si>
  <si>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</si>
  <si>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</si>
  <si>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</si>
  <si>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</si>
  <si>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</si>
  <si>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</si>
  <si>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</si>
  <si>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</si>
  <si>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</si>
  <si>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</si>
  <si>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</si>
  <si>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</si>
  <si>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</si>
  <si>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</si>
  <si>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</si>
  <si>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</si>
  <si>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</si>
  <si>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</si>
  <si>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</si>
  <si>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</si>
  <si>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</si>
  <si>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</si>
  <si>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</si>
  <si>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</si>
  <si>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</si>
  <si>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</si>
  <si>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</si>
  <si>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</si>
  <si>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</si>
  <si>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</si>
  <si>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</si>
  <si>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</si>
  <si>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</si>
  <si>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</si>
  <si>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</si>
  <si>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</si>
  <si>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</si>
  <si>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</si>
  <si>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</si>
  <si>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</si>
  <si>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</si>
  <si>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</si>
  <si>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</si>
  <si>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</si>
  <si>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</si>
  <si>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</si>
  <si>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</si>
  <si>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</si>
  <si>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</si>
  <si>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</si>
  <si>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</si>
  <si>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</si>
  <si>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</si>
  <si>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</si>
  <si>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</si>
  <si>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</si>
  <si>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</si>
  <si>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</si>
  <si>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</si>
  <si>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</si>
  <si>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</si>
  <si>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</si>
  <si>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</si>
  <si>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</si>
  <si>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</si>
  <si>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</si>
  <si>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</si>
  <si>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</si>
  <si>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</si>
  <si>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</si>
  <si>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</si>
  <si>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</si>
  <si>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</si>
  <si>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</si>
  <si>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</si>
  <si>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</si>
  <si>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</si>
  <si>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</si>
  <si>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</si>
  <si>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</si>
  <si>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</si>
  <si>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</si>
  <si>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</si>
  <si>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</si>
  <si>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</si>
  <si>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</si>
  <si>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</si>
  <si>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</si>
  <si>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</si>
  <si>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</si>
  <si>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</si>
  <si>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</si>
  <si>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</si>
  <si>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</si>
  <si>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</si>
  <si>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</si>
  <si>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</si>
  <si>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</si>
  <si>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</si>
  <si>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</si>
  <si>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</si>
  <si>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</si>
  <si>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</si>
  <si>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</si>
  <si>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</si>
  <si>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</si>
  <si>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</si>
  <si>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</si>
  <si>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</si>
  <si>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</si>
  <si>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</si>
  <si>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</si>
  <si>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</si>
  <si>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</si>
  <si>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</si>
  <si>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</si>
  <si>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</si>
  <si>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</si>
  <si>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</si>
  <si>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</si>
  <si>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</si>
  <si>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</si>
  <si>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</si>
  <si>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</si>
  <si>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</si>
  <si>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</si>
  <si>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</si>
  <si>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</si>
  <si>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</si>
  <si>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</si>
  <si>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</si>
  <si>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</si>
  <si>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</si>
  <si>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</si>
  <si>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</si>
  <si>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</si>
  <si>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</si>
  <si>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</si>
  <si>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</si>
  <si>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</si>
  <si>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</si>
  <si>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</si>
  <si>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</si>
  <si>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</si>
  <si>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</si>
  <si>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</si>
  <si>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</si>
  <si>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</si>
  <si>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</si>
  <si>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</si>
  <si>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</si>
  <si>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</si>
  <si>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</si>
  <si>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</si>
  <si>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</si>
  <si>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</si>
  <si>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</si>
  <si>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</si>
  <si>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</si>
  <si>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</si>
  <si>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</si>
  <si>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</si>
  <si>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</si>
  <si>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</si>
  <si>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</si>
  <si>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</si>
  <si>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</si>
  <si>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</si>
  <si>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</si>
  <si>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</si>
  <si>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</si>
  <si>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</si>
  <si>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</si>
  <si>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</si>
  <si>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</si>
  <si>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</si>
  <si>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</si>
  <si>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</si>
  <si>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</si>
  <si>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</si>
  <si>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</si>
  <si>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</si>
  <si>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</si>
  <si>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</si>
  <si>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</si>
  <si>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</si>
  <si>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</si>
  <si>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</si>
  <si>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</si>
  <si>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</si>
  <si>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</si>
  <si>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</si>
  <si>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</si>
  <si>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</si>
  <si>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</si>
  <si>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</si>
  <si>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</si>
  <si>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</si>
  <si>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</si>
  <si>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</si>
  <si>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</si>
  <si>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</si>
  <si>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</si>
  <si>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</si>
  <si>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</si>
  <si>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</si>
  <si>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</si>
  <si>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</si>
  <si>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</si>
  <si>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</si>
  <si>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</si>
  <si>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</si>
  <si>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</si>
  <si>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</si>
  <si>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</si>
  <si>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</si>
  <si>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</si>
  <si>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</si>
  <si>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</si>
  <si>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</si>
  <si>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</si>
  <si>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</si>
  <si>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</si>
  <si>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</si>
  <si>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</si>
  <si>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</si>
  <si>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</si>
  <si>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</si>
  <si>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</si>
  <si>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</si>
  <si>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</si>
  <si>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</si>
  <si>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</si>
  <si>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</si>
  <si>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</si>
  <si>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</si>
  <si>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</si>
  <si>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</si>
  <si>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</si>
  <si>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</si>
  <si>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</si>
  <si>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</si>
  <si>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</si>
  <si>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</si>
  <si>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</si>
  <si>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</si>
  <si>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</si>
  <si>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</si>
  <si>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</si>
  <si>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</si>
  <si>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</si>
  <si>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</si>
  <si>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</si>
  <si>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</si>
  <si>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</si>
  <si>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</si>
  <si>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</si>
  <si>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</si>
  <si>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</si>
  <si>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</si>
  <si>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</si>
  <si>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</si>
  <si>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</si>
  <si>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</si>
  <si>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</si>
  <si>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</si>
  <si>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</si>
  <si>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</si>
  <si>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</si>
  <si>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</si>
  <si>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</si>
  <si>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</si>
  <si>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</si>
  <si>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</si>
  <si>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</si>
  <si>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</si>
  <si>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</si>
  <si>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</si>
  <si>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</si>
  <si>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</si>
  <si>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</si>
  <si>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</si>
  <si>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</si>
  <si>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</si>
  <si>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</si>
  <si>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</si>
  <si>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</si>
  <si>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</si>
  <si>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</si>
  <si>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</si>
  <si>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</si>
  <si>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</si>
  <si>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</si>
  <si>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</si>
  <si>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</si>
  <si>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</si>
  <si>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</si>
  <si>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</si>
  <si>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</si>
  <si>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</si>
  <si>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</si>
  <si>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</si>
  <si>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</si>
  <si>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</si>
  <si>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</si>
  <si>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</si>
  <si>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</si>
  <si>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</si>
  <si>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</si>
  <si>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</si>
  <si>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</si>
  <si>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</si>
  <si>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</si>
  <si>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</si>
  <si>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</si>
  <si>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</si>
  <si>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</si>
  <si>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</si>
  <si>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</si>
  <si>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</si>
  <si>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</si>
  <si>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</si>
  <si>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</si>
  <si>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</si>
  <si>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</si>
  <si>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</si>
  <si>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</si>
  <si>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</si>
  <si>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</si>
  <si>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</si>
  <si>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</si>
  <si>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</si>
  <si>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</si>
  <si>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</si>
  <si>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</si>
  <si>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</si>
  <si>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</si>
  <si>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</si>
  <si>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</si>
  <si>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</si>
  <si>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</si>
  <si>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</si>
  <si>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</si>
  <si>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</si>
  <si>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</si>
  <si>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</si>
  <si>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</si>
  <si>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</si>
  <si>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</si>
  <si>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</si>
  <si>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</si>
  <si>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</si>
  <si>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</si>
  <si>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</si>
  <si>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</si>
  <si>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</si>
  <si>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</si>
  <si>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</si>
  <si>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</si>
  <si>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</si>
  <si>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</si>
  <si>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</si>
  <si>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</si>
  <si>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</si>
  <si>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</si>
  <si>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</si>
  <si>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</si>
  <si>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</si>
  <si>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</si>
  <si>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</si>
  <si>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</si>
  <si>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</si>
  <si>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</si>
  <si>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</si>
  <si>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</si>
  <si>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</si>
  <si>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</si>
  <si>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</si>
  <si>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</si>
  <si>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</si>
  <si>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</si>
  <si>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</si>
  <si>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</si>
  <si>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</si>
  <si>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</si>
  <si>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</si>
  <si>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</si>
  <si>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</si>
  <si>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</si>
  <si>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</si>
  <si>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</si>
  <si>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</si>
  <si>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</si>
  <si>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</si>
  <si>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</si>
  <si>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</si>
  <si>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</si>
  <si>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</si>
  <si>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</si>
  <si>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</si>
  <si>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</si>
  <si>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</si>
  <si>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</si>
  <si>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</si>
  <si>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</si>
  <si>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</si>
  <si>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</si>
  <si>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</si>
  <si>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</si>
  <si>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</si>
  <si>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</si>
  <si>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</si>
  <si>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</si>
  <si>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</si>
  <si>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</si>
  <si>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</si>
  <si>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</si>
  <si>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</si>
  <si>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</si>
  <si>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</si>
  <si>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</si>
  <si>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</si>
  <si>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</si>
  <si>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</si>
  <si>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</si>
  <si>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</si>
  <si>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</si>
  <si>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</si>
  <si>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</si>
  <si>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</si>
  <si>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</si>
  <si>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</si>
  <si>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</si>
  <si>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</si>
  <si>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</si>
  <si>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</si>
  <si>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</si>
  <si>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</si>
  <si>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</si>
  <si>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</si>
  <si>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</si>
  <si>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</si>
  <si>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</si>
  <si>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</si>
  <si>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</si>
  <si>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</si>
  <si>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</si>
  <si>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</si>
  <si>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</si>
  <si>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</si>
  <si>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</si>
  <si>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</si>
  <si>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</si>
  <si>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</si>
  <si>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</si>
  <si>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</si>
  <si>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</si>
  <si>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</si>
  <si>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</si>
  <si>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</si>
  <si>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</si>
  <si>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</si>
  <si>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</si>
  <si>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</si>
  <si>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</si>
  <si>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</si>
  <si>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</si>
  <si>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</si>
  <si>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</si>
  <si>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</si>
  <si>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</si>
  <si>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</si>
  <si>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</si>
  <si>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</si>
  <si>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</si>
  <si>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</si>
  <si>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</si>
  <si>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</si>
  <si>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</si>
  <si>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</si>
  <si>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</si>
  <si>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</si>
  <si>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</si>
  <si>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</si>
  <si>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</si>
  <si>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</si>
  <si>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</si>
  <si>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</si>
  <si>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</si>
  <si>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</si>
  <si>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</si>
  <si>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</si>
  <si>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</si>
  <si>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</si>
  <si>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</si>
  <si>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</si>
  <si>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</si>
  <si>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</si>
  <si>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</si>
  <si>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</si>
  <si>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</si>
  <si>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</si>
  <si>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</si>
  <si>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</si>
  <si>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</si>
  <si>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</si>
  <si>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</si>
  <si>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</si>
  <si>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</si>
  <si>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</si>
  <si>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</si>
  <si>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</si>
  <si>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</si>
  <si>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</si>
  <si>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</si>
  <si>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</si>
  <si>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</si>
  <si>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</si>
  <si>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</si>
  <si>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</si>
  <si>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</si>
  <si>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</si>
  <si>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</si>
  <si>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</si>
  <si>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</si>
  <si>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</si>
  <si>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</si>
  <si>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</si>
  <si>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</si>
  <si>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</si>
  <si>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</si>
  <si>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</si>
  <si>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</si>
  <si>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</si>
  <si>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</si>
  <si>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</si>
  <si>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</si>
  <si>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</si>
  <si>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</si>
  <si>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</si>
  <si>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</si>
  <si>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</si>
  <si>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</si>
  <si>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</si>
  <si>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</si>
  <si>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</si>
  <si>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</si>
  <si>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</si>
  <si>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</si>
  <si>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</si>
  <si>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</si>
  <si>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</si>
  <si>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</si>
  <si>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</si>
  <si>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</si>
  <si>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</si>
  <si>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</si>
  <si>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</si>
  <si>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</si>
  <si>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</si>
  <si>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</si>
  <si>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</si>
  <si>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</si>
  <si>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</si>
  <si>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</si>
  <si>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</si>
  <si>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</si>
  <si>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</si>
  <si>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</si>
  <si>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</si>
  <si>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</si>
  <si>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</si>
  <si>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</si>
  <si>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</si>
  <si>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</si>
  <si>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</si>
  <si>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</si>
  <si>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</si>
  <si>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</si>
  <si>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</si>
  <si>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</si>
  <si>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</si>
  <si>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</si>
  <si>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</si>
  <si>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</si>
  <si>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</si>
  <si>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</si>
  <si>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</si>
  <si>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</si>
  <si>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</si>
  <si>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</si>
  <si>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</si>
  <si>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</si>
  <si>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</si>
  <si>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</si>
  <si>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</si>
  <si>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</si>
  <si>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</si>
  <si>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</si>
  <si>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</si>
  <si>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</si>
  <si>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</si>
  <si>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</si>
  <si>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</si>
  <si>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</si>
  <si>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</si>
  <si>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</si>
  <si>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</si>
  <si>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</si>
  <si>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</si>
  <si>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</si>
  <si>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</si>
  <si>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</si>
  <si>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</si>
  <si>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</si>
  <si>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</si>
  <si>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</si>
  <si>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</si>
  <si>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</si>
  <si>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</si>
  <si>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</si>
  <si>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</si>
  <si>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</si>
  <si>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</si>
  <si>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</si>
  <si>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</si>
  <si>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</si>
  <si>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</si>
  <si>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</si>
  <si>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</si>
  <si>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</si>
  <si>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</si>
  <si>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</si>
  <si>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</si>
  <si>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</si>
  <si>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</si>
  <si>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</si>
  <si>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</si>
  <si>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</si>
  <si>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</si>
  <si>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</si>
  <si>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</si>
  <si>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</si>
  <si>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</si>
  <si>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</si>
  <si>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</si>
  <si>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</si>
  <si>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</si>
  <si>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</si>
  <si>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</si>
  <si>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</si>
  <si>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</si>
  <si>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</si>
  <si>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</si>
  <si>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</si>
  <si>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</si>
  <si>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</si>
  <si>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</si>
  <si>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</si>
  <si>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</si>
  <si>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</si>
  <si>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</si>
  <si>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</si>
  <si>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</si>
  <si>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</si>
  <si>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</si>
  <si>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</si>
  <si>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</si>
  <si>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</si>
  <si>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</si>
  <si>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</si>
  <si>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</si>
  <si>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</si>
  <si>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</si>
  <si>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</si>
  <si>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</si>
  <si>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</si>
  <si>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</si>
  <si>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</si>
  <si>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</si>
  <si>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</si>
  <si>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</si>
  <si>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</si>
  <si>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</si>
  <si>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</si>
  <si>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</si>
  <si>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</si>
  <si>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</si>
  <si>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</si>
  <si>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</si>
  <si>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</si>
  <si>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</si>
  <si>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</si>
  <si>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</si>
  <si>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</si>
  <si>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</si>
  <si>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</si>
  <si>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</si>
  <si>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</si>
  <si>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</si>
  <si>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</si>
  <si>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</si>
  <si>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</si>
  <si>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</si>
  <si>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</si>
  <si>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</si>
  <si>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</si>
  <si>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</si>
  <si>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</si>
  <si>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</si>
  <si>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</si>
  <si>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</si>
  <si>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</si>
  <si>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</si>
  <si>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</si>
  <si>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</si>
  <si>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</si>
  <si>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</si>
  <si>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</si>
  <si>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</si>
  <si>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</si>
  <si>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</si>
  <si>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</si>
  <si>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</si>
  <si>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</si>
  <si>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</si>
  <si>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</si>
  <si>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</si>
  <si>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</si>
  <si>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</si>
  <si>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</si>
  <si>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</si>
  <si>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</si>
  <si>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</si>
  <si>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</si>
  <si>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</si>
  <si>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</si>
  <si>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</si>
  <si>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</si>
  <si>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</si>
  <si>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</si>
  <si>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</si>
  <si>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</si>
  <si>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</si>
  <si>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</si>
  <si>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</si>
  <si>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</si>
  <si>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</si>
  <si>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</si>
  <si>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</si>
  <si>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</si>
  <si>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</si>
  <si>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</si>
  <si>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</si>
  <si>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</si>
  <si>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</si>
  <si>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</si>
  <si>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</si>
  <si>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</si>
  <si>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</si>
  <si>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</si>
  <si>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</si>
  <si>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</si>
  <si>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</si>
  <si>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</si>
  <si>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</si>
  <si>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</si>
  <si>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</si>
  <si>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</si>
  <si>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</si>
  <si>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</si>
  <si>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</si>
  <si>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</si>
  <si>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</si>
  <si>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</si>
  <si>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</si>
  <si>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</si>
  <si>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</si>
  <si>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</si>
  <si>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</si>
  <si>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</si>
  <si>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</si>
  <si>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</si>
  <si>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</si>
  <si>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</si>
  <si>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</si>
  <si>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</si>
  <si>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</si>
  <si>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</si>
  <si>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</si>
  <si>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</si>
  <si>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</si>
  <si>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</si>
  <si>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</si>
  <si>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</si>
  <si>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</si>
  <si>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</si>
  <si>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</si>
  <si>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</si>
  <si>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</si>
  <si>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</si>
  <si>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</si>
  <si>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</si>
  <si>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</si>
  <si>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</si>
  <si>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</si>
  <si>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</si>
  <si>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</si>
  <si>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</si>
  <si>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</si>
  <si>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</si>
  <si>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</si>
  <si>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</si>
  <si>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</si>
  <si>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</si>
  <si>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</si>
  <si>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</si>
  <si>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</si>
  <si>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</si>
  <si>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</si>
  <si>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</si>
  <si>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</si>
  <si>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</si>
  <si>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</si>
  <si>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</si>
  <si>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</si>
  <si>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</si>
  <si>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</si>
  <si>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</si>
  <si>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</si>
  <si>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</si>
  <si>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</si>
  <si>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</si>
  <si>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</si>
  <si>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</si>
  <si>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</si>
  <si>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</si>
  <si>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</si>
  <si>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</si>
  <si>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</si>
  <si>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</si>
  <si>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</si>
  <si>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</si>
  <si>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</si>
  <si>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</si>
  <si>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</si>
  <si>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</si>
  <si>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</si>
  <si>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</si>
  <si>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</si>
  <si>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</si>
  <si>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</si>
  <si>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</si>
  <si>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</si>
  <si>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</si>
  <si>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</si>
  <si>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</si>
  <si>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</si>
  <si>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</si>
  <si>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</si>
  <si>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</si>
  <si>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</si>
  <si>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</si>
  <si>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</si>
  <si>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</si>
  <si>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</si>
  <si>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</si>
  <si>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</si>
  <si>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</si>
  <si>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</si>
  <si>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</si>
  <si>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</si>
  <si>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</si>
  <si>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</si>
  <si>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</si>
  <si>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</si>
  <si>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</si>
  <si>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</si>
  <si>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</si>
  <si>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</si>
  <si>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</si>
  <si>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</si>
  <si>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</si>
  <si>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</si>
  <si>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</si>
  <si>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</si>
  <si>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</si>
  <si>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</si>
  <si>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</si>
  <si>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</si>
  <si>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</si>
  <si>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</si>
  <si>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</si>
  <si>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</si>
  <si>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</si>
  <si>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</si>
  <si>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</si>
  <si>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</si>
  <si>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</si>
  <si>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</si>
  <si>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</si>
  <si>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</si>
  <si>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</si>
  <si>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</si>
  <si>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</si>
  <si>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</si>
  <si>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</si>
  <si>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</si>
  <si>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</si>
  <si>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</si>
  <si>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</si>
  <si>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</si>
  <si>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</si>
  <si>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</si>
  <si>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</si>
  <si>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</si>
  <si>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</si>
  <si>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</si>
  <si>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</si>
  <si>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</si>
  <si>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</si>
  <si>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</si>
  <si>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</si>
  <si>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</si>
  <si>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</si>
  <si>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</si>
  <si>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</si>
  <si>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</si>
  <si>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</si>
  <si>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</si>
  <si>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</si>
  <si>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</si>
  <si>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</si>
  <si>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</si>
  <si>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</si>
  <si>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</si>
  <si>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</si>
  <si>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</si>
  <si>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</si>
  <si>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</si>
  <si>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</si>
  <si>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</si>
  <si>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</si>
  <si>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</si>
  <si>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</si>
  <si>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</si>
  <si>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</si>
  <si>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</si>
  <si>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</si>
  <si>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</si>
  <si>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</si>
  <si>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</si>
  <si>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</si>
  <si>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</si>
  <si>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</si>
  <si>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</si>
  <si>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</si>
  <si>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</si>
  <si>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</si>
  <si>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</si>
  <si>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</si>
  <si>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</si>
  <si>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</si>
  <si>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</si>
  <si>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</si>
  <si>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</si>
  <si>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</si>
  <si>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</si>
  <si>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</si>
  <si>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</si>
  <si>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</si>
  <si>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</si>
  <si>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</si>
  <si>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</si>
  <si>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</si>
  <si>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</si>
  <si>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</si>
  <si>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</si>
  <si>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</si>
  <si>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</si>
  <si>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</si>
  <si>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</si>
  <si>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</si>
  <si>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</si>
  <si>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</si>
  <si>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</si>
  <si>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</si>
  <si>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</si>
  <si>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</si>
  <si>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</si>
  <si>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</si>
  <si>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</si>
  <si>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</si>
  <si>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</si>
  <si>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</si>
  <si>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</si>
  <si>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</si>
  <si>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</si>
  <si>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</si>
  <si>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</si>
  <si>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</si>
  <si>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</si>
  <si>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</si>
  <si>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</si>
  <si>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</si>
  <si>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</si>
  <si>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</si>
  <si>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</si>
  <si>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</si>
  <si>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</si>
  <si>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</si>
  <si>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</si>
  <si>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</si>
  <si>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</si>
  <si>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</si>
  <si>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</si>
  <si>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</si>
  <si>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</si>
  <si>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</si>
  <si>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</si>
  <si>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</si>
  <si>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</si>
  <si>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</si>
  <si>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</si>
  <si>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</si>
  <si>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</si>
  <si>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</si>
  <si>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</si>
  <si>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</si>
  <si>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</si>
  <si>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</si>
  <si>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</si>
  <si>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</si>
  <si>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</si>
  <si>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</si>
  <si>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</si>
  <si>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</si>
  <si>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</si>
  <si>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</si>
  <si>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</si>
  <si>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</si>
  <si>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</si>
  <si>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</si>
  <si>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</si>
  <si>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</si>
  <si>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</si>
  <si>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</si>
  <si>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</si>
  <si>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</si>
  <si>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</si>
  <si>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</si>
  <si>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</si>
  <si>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</si>
  <si>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</si>
  <si>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</si>
  <si>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</si>
  <si>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</si>
  <si>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</si>
  <si>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</si>
  <si>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</si>
  <si>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</si>
  <si>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</si>
  <si>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</si>
  <si>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</si>
  <si>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</si>
  <si>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</si>
  <si>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</si>
  <si>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</si>
  <si>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</si>
  <si>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</si>
  <si>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</si>
  <si>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</si>
  <si>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</si>
  <si>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</si>
  <si>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</si>
  <si>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</si>
  <si>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</si>
  <si>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</si>
  <si>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</si>
  <si>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</si>
  <si>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</si>
  <si>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</si>
  <si>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</si>
  <si>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</si>
  <si>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</si>
  <si>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</si>
  <si>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</si>
  <si>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</si>
  <si>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</si>
  <si>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</si>
  <si>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</si>
  <si>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</si>
  <si>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</si>
  <si>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</si>
  <si>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</si>
  <si>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</si>
  <si>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</si>
  <si>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</si>
  <si>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</si>
  <si>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</si>
  <si>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</si>
  <si>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</si>
  <si>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</si>
  <si>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</si>
  <si>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</si>
  <si>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</si>
  <si>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</si>
  <si>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</si>
  <si>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</si>
  <si>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</si>
  <si>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</si>
  <si>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</si>
  <si>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</si>
  <si>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</si>
  <si>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</si>
  <si>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</si>
  <si>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</si>
  <si>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</si>
  <si>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</si>
  <si>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</si>
  <si>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</si>
  <si>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</si>
  <si>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</si>
  <si>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</si>
  <si>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</si>
  <si>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</si>
  <si>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</si>
  <si>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</si>
  <si>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</si>
  <si>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</si>
  <si>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</si>
  <si>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</si>
  <si>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</si>
  <si>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</si>
  <si>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</si>
  <si>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</si>
  <si>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</si>
  <si>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</si>
  <si>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</si>
  <si>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</si>
  <si>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</si>
  <si>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</si>
  <si>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</si>
  <si>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</si>
  <si>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</si>
  <si>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</si>
  <si>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</si>
  <si>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</si>
  <si>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</si>
  <si>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</si>
  <si>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</si>
  <si>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</si>
  <si>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</si>
  <si>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</si>
  <si>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</si>
  <si>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</si>
  <si>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</si>
  <si>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</si>
  <si>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</si>
  <si>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</si>
  <si>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</si>
  <si>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</si>
  <si>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</si>
  <si>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</si>
  <si>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</si>
  <si>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</si>
  <si>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</si>
  <si>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</si>
  <si>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</si>
  <si>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</si>
  <si>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</si>
  <si>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</si>
  <si>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</si>
  <si>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</si>
  <si>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</si>
  <si>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</si>
  <si>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</si>
  <si>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</si>
  <si>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</si>
  <si>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</si>
  <si>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</si>
  <si>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</si>
  <si>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</si>
  <si>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</si>
  <si>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</si>
  <si>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</si>
  <si>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</si>
  <si>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</si>
  <si>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</si>
  <si>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</si>
  <si>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</si>
  <si>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</si>
  <si>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</si>
  <si>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</si>
  <si>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</si>
  <si>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</si>
  <si>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</si>
  <si>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</si>
  <si>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</si>
  <si>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</si>
  <si>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</si>
  <si>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</si>
  <si>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</si>
  <si>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</si>
  <si>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</si>
  <si>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</si>
  <si>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</si>
  <si>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</si>
  <si>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</si>
  <si>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</si>
  <si>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</si>
  <si>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</si>
  <si>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</si>
  <si>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</si>
  <si>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</si>
  <si>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</si>
  <si>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</si>
  <si>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</si>
  <si>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</si>
  <si>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</si>
  <si>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</si>
  <si>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</si>
  <si>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</si>
  <si>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</si>
  <si>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</si>
  <si>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</si>
  <si>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</si>
  <si>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</si>
  <si>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</si>
  <si>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</si>
  <si>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</si>
  <si>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</si>
  <si>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</si>
  <si>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</si>
  <si>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</si>
  <si>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</si>
  <si>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</si>
  <si>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</si>
  <si>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</si>
  <si>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</si>
  <si>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</si>
  <si>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</si>
  <si>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</si>
  <si>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</si>
  <si>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</si>
  <si>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</si>
  <si>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</si>
  <si>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</si>
  <si>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</si>
  <si>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</si>
  <si>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</si>
  <si>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</si>
  <si>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</si>
  <si>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</si>
  <si>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</si>
  <si>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</si>
  <si>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</si>
  <si>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</si>
  <si>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</si>
  <si>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</si>
  <si>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</si>
  <si>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</si>
  <si>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</si>
  <si>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</si>
  <si>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</si>
  <si>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</si>
  <si>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</si>
  <si>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</si>
  <si>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</si>
  <si>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</si>
  <si>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</si>
  <si>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</si>
  <si>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</si>
  <si>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</si>
  <si>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</si>
  <si>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</si>
  <si>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</si>
  <si>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</si>
  <si>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</si>
  <si>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</si>
  <si>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</si>
  <si>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</si>
  <si>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</si>
  <si>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</si>
  <si>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</si>
  <si>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</si>
  <si>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</si>
  <si>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</si>
  <si>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</si>
  <si>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</si>
  <si>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</si>
  <si>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</si>
  <si>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</si>
  <si>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</si>
  <si>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</si>
  <si>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</si>
  <si>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</si>
  <si>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</si>
  <si>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</si>
  <si>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</si>
  <si>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</si>
  <si>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</si>
  <si>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</si>
  <si>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</si>
  <si>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</si>
  <si>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</si>
  <si>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</si>
  <si>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</si>
  <si>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</si>
  <si>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</si>
  <si>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</si>
  <si>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</si>
  <si>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</si>
  <si>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</si>
  <si>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</si>
  <si>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</si>
  <si>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</si>
  <si>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</si>
  <si>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</si>
  <si>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</si>
  <si>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</si>
  <si>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</si>
  <si>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</si>
  <si>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</si>
  <si>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</si>
  <si>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</si>
  <si>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</si>
  <si>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</si>
  <si>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</si>
  <si>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</si>
  <si>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</si>
  <si>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</si>
  <si>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</si>
  <si>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</si>
  <si>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</si>
  <si>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</si>
  <si>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</si>
  <si>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</si>
  <si>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</si>
  <si>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</si>
  <si>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</si>
  <si>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</si>
  <si>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</si>
  <si>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</si>
  <si>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</si>
  <si>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</si>
  <si>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</si>
  <si>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</si>
  <si>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</si>
  <si>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</si>
  <si>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</si>
  <si>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</si>
  <si>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</si>
  <si>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</si>
  <si>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</si>
  <si>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</si>
  <si>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</si>
  <si>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</si>
  <si>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</si>
  <si>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</si>
  <si>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</si>
  <si>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</si>
  <si>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</si>
  <si>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</si>
  <si>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</si>
  <si>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</si>
  <si>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</si>
  <si>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</si>
  <si>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</si>
  <si>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</si>
  <si>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</si>
  <si>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</si>
  <si>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</si>
  <si>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</si>
  <si>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</si>
  <si>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</si>
  <si>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</si>
  <si>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</si>
  <si>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</si>
  <si>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</si>
  <si>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</si>
  <si>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</si>
  <si>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</si>
  <si>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</si>
  <si>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</si>
  <si>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</si>
  <si>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</si>
  <si>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</si>
  <si>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</si>
  <si>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</si>
  <si>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</si>
  <si>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</si>
  <si>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</si>
  <si>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</si>
  <si>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</si>
  <si>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</si>
  <si>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</si>
  <si>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</si>
  <si>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</si>
  <si>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</si>
  <si>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</si>
  <si>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</si>
  <si>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</si>
  <si>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</si>
  <si>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</si>
  <si>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</si>
  <si>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</si>
  <si>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</si>
  <si>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</si>
  <si>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</si>
  <si>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</si>
  <si>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</si>
  <si>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</si>
  <si>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</si>
  <si>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</si>
  <si>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</si>
  <si>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</si>
  <si>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</si>
  <si>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</si>
  <si>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</si>
  <si>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</si>
  <si>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</si>
  <si>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</si>
  <si>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</si>
  <si>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</si>
  <si>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</si>
  <si>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</si>
  <si>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</si>
  <si>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</si>
  <si>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</si>
  <si>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</si>
  <si>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</si>
  <si>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</si>
  <si>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</si>
  <si>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</si>
  <si>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</si>
  <si>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</si>
  <si>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</si>
  <si>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</si>
  <si>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</si>
  <si>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</si>
  <si>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</si>
  <si>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</si>
  <si>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</si>
  <si>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</si>
  <si>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</si>
  <si>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</si>
  <si>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</si>
  <si>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</si>
  <si>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</si>
  <si>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</si>
  <si>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</si>
  <si>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</si>
  <si>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</si>
  <si>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</si>
  <si>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</si>
  <si>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</si>
  <si>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</si>
  <si>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</si>
  <si>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</si>
  <si>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</si>
  <si>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</si>
  <si>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</si>
  <si>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</si>
  <si>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</si>
  <si>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</si>
  <si>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</si>
  <si>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</si>
  <si>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</si>
  <si>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</si>
  <si>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</si>
  <si>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</si>
  <si>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</si>
  <si>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</si>
  <si>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</si>
  <si>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</si>
  <si>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</si>
  <si>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</si>
  <si>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</si>
  <si>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</si>
  <si>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</si>
  <si>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</si>
  <si>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</si>
  <si>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</si>
  <si>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</si>
  <si>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</si>
  <si>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</si>
  <si>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</si>
  <si>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</si>
  <si>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</si>
  <si>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</si>
  <si>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</si>
  <si>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</si>
  <si>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</si>
  <si>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</si>
  <si>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</si>
  <si>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</si>
  <si>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</si>
  <si>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</si>
  <si>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</si>
  <si>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</si>
  <si>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</si>
  <si>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</si>
  <si>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</si>
  <si>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</si>
  <si>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</si>
  <si>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</si>
  <si>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</si>
  <si>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</si>
  <si>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</si>
  <si>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</si>
  <si>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</si>
  <si>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</si>
  <si>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</si>
  <si>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</si>
  <si>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</si>
  <si>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</si>
  <si>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</si>
  <si>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</si>
  <si>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</si>
  <si>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</si>
  <si>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</si>
  <si>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</si>
  <si>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</si>
  <si>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</si>
  <si>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</si>
  <si>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</si>
  <si>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</si>
  <si>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</si>
  <si>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</si>
  <si>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</si>
  <si>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</si>
  <si>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</si>
  <si>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</si>
  <si>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</si>
  <si>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</si>
  <si>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</si>
  <si>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</si>
  <si>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</si>
  <si>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</si>
  <si>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</si>
  <si>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</si>
  <si>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</si>
  <si>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</si>
  <si>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</si>
  <si>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</si>
  <si>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</si>
  <si>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</si>
  <si>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</si>
  <si>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</si>
  <si>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</si>
  <si>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</si>
  <si>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</si>
  <si>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</si>
  <si>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</si>
  <si>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</si>
  <si>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</si>
  <si>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</si>
  <si>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</si>
  <si>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</si>
  <si>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</si>
  <si>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</si>
  <si>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</si>
  <si>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</si>
  <si>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</si>
  <si>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</si>
  <si>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</si>
  <si>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</si>
  <si>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</si>
  <si>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</si>
  <si>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</si>
  <si>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</si>
  <si>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</si>
  <si>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</si>
  <si>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</si>
  <si>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</si>
  <si>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</si>
  <si>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</si>
  <si>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</si>
  <si>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</si>
  <si>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</si>
  <si>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</si>
  <si>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</si>
  <si>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</si>
  <si>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</si>
  <si>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</si>
  <si>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</si>
  <si>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</si>
  <si>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</si>
  <si>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</si>
  <si>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</si>
  <si>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</si>
  <si>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</si>
  <si>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</si>
  <si>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</si>
  <si>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</si>
  <si>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</si>
  <si>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</si>
  <si>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</si>
  <si>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</si>
  <si>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</si>
  <si>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</si>
  <si>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</si>
  <si>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</si>
  <si>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</si>
  <si>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</si>
  <si>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</si>
  <si>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</si>
  <si>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</si>
  <si>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</si>
  <si>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</si>
  <si>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</si>
  <si>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</si>
  <si>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</si>
  <si>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</si>
  <si>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</si>
  <si>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</si>
  <si>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</si>
  <si>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</si>
  <si>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</si>
  <si>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</si>
  <si>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</si>
  <si>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</si>
  <si>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</si>
  <si>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</si>
  <si>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</si>
  <si>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</si>
  <si>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</si>
  <si>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</si>
  <si>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</si>
  <si>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</si>
  <si>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</si>
  <si>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</si>
  <si>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</si>
  <si>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</si>
  <si>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</si>
  <si>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</si>
  <si>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</si>
  <si>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</si>
  <si>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</si>
  <si>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</si>
  <si>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</si>
  <si>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</si>
  <si>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</si>
  <si>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</si>
  <si>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</si>
  <si>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</si>
  <si>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</si>
  <si>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</si>
  <si>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</si>
  <si>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</si>
  <si>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</si>
  <si>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</si>
  <si>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</si>
  <si>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</si>
  <si>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</si>
  <si>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</si>
  <si>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</si>
  <si>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</si>
  <si>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</si>
  <si>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</si>
  <si>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</si>
  <si>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</si>
  <si>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</si>
  <si>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</si>
  <si>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</si>
  <si>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</si>
  <si>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</si>
  <si>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</si>
  <si>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</si>
  <si>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</si>
  <si>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</si>
  <si>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</si>
  <si>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</si>
  <si>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</si>
  <si>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</si>
  <si>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</si>
  <si>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</si>
  <si>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</si>
  <si>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</si>
  <si>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</si>
  <si>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</si>
  <si>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</si>
  <si>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</si>
  <si>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</si>
  <si>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</si>
  <si>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</si>
  <si>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</si>
  <si>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</si>
  <si>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</si>
  <si>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</si>
  <si>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</si>
  <si>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</si>
  <si>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</si>
  <si>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</si>
  <si>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</si>
  <si>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</si>
  <si>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</si>
  <si>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</si>
  <si>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</si>
  <si>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</si>
  <si>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</si>
  <si>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</si>
  <si>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</si>
  <si>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</si>
  <si>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</si>
  <si>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</si>
  <si>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</si>
  <si>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</si>
  <si>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</si>
  <si>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</si>
  <si>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</si>
  <si>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</si>
  <si>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</si>
  <si>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</si>
  <si>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</si>
  <si>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</si>
  <si>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</si>
  <si>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</si>
  <si>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</si>
  <si>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</si>
  <si>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</si>
  <si>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</si>
  <si>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</si>
  <si>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</si>
  <si>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</si>
  <si>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</si>
  <si>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</si>
  <si>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</si>
  <si>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</si>
  <si>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</si>
  <si>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</si>
  <si>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</si>
  <si>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</si>
  <si>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</si>
  <si>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</si>
  <si>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</si>
  <si>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</si>
  <si>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</si>
  <si>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</si>
  <si>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</si>
  <si>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</si>
  <si>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</si>
  <si>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</si>
  <si>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</si>
  <si>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</si>
  <si>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</si>
  <si>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</si>
  <si>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</si>
  <si>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</si>
  <si>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</si>
  <si>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</si>
  <si>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</si>
  <si>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</si>
  <si>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</si>
  <si>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</si>
  <si>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</si>
  <si>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</si>
  <si>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</si>
  <si>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</si>
  <si>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</si>
  <si>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</si>
  <si>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</si>
  <si>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</si>
  <si>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</si>
  <si>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</si>
  <si>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</si>
  <si>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</si>
  <si>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</si>
  <si>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</si>
  <si>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</si>
  <si>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</si>
  <si>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</si>
  <si>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</si>
  <si>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</si>
  <si>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</si>
  <si>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</si>
  <si>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</si>
  <si>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</si>
  <si>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</si>
  <si>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</si>
  <si>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</si>
  <si>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</si>
  <si>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</si>
  <si>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</si>
  <si>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</si>
  <si>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</si>
  <si>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</si>
  <si>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</si>
  <si>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</si>
  <si>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</si>
  <si>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</si>
  <si>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</si>
  <si>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</si>
  <si>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</si>
  <si>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</si>
  <si>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</si>
  <si>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</si>
  <si>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</si>
  <si>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</si>
  <si>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</si>
  <si>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</si>
  <si>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</si>
  <si>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</si>
  <si>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</si>
  <si>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</si>
  <si>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</si>
  <si>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</si>
  <si>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</si>
  <si>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</si>
  <si>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</si>
  <si>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</si>
  <si>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</si>
  <si>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</si>
  <si>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</si>
  <si>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</si>
  <si>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</si>
  <si>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</si>
  <si>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</si>
  <si>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</si>
  <si>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</si>
  <si>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</si>
  <si>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</si>
  <si>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</si>
  <si>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</si>
  <si>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</si>
  <si>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</si>
  <si>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</si>
  <si>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</si>
  <si>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</si>
  <si>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</si>
  <si>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</si>
  <si>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</si>
  <si>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</si>
  <si>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</si>
  <si>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</si>
  <si>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</si>
  <si>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</si>
  <si>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</si>
  <si>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</si>
  <si>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</si>
  <si>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</si>
  <si>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</si>
  <si>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</si>
  <si>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</si>
  <si>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</si>
  <si>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</si>
  <si>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</si>
  <si>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</si>
  <si>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</si>
  <si>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</si>
  <si>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</si>
  <si>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</si>
  <si>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</si>
  <si>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</si>
  <si>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</si>
  <si>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</si>
  <si>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</si>
  <si>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</si>
  <si>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</si>
  <si>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</si>
  <si>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</si>
  <si>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</si>
  <si>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</si>
  <si>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</si>
  <si>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</si>
  <si>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</si>
  <si>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</si>
  <si>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</si>
  <si>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</si>
  <si>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</si>
  <si>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</si>
  <si>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</si>
  <si>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</si>
  <si>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</si>
  <si>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</si>
  <si>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</si>
  <si>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</si>
  <si>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</si>
  <si>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</si>
  <si>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</si>
  <si>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</si>
  <si>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</si>
  <si>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</si>
  <si>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</si>
  <si>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</si>
  <si>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</si>
  <si>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</si>
  <si>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</si>
  <si>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</si>
  <si>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</si>
  <si>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</si>
  <si>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</si>
  <si>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</si>
  <si>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</si>
  <si>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</si>
  <si>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</si>
  <si>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</si>
  <si>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</si>
  <si>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</si>
  <si>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</si>
  <si>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</si>
  <si>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</si>
  <si>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</si>
  <si>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</si>
  <si>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</si>
  <si>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</si>
  <si>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重庆阳光壹佰房地产开发有限公司</t>
    <phoneticPr fontId="6" type="noConversion"/>
  </si>
  <si>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</si>
  <si>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</si>
  <si>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</si>
  <si>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</si>
  <si>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</si>
  <si>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住宅33.91年</t>
    <phoneticPr fontId="6" type="noConversion"/>
  </si>
  <si>
    <t>否</t>
  </si>
  <si>
    <t>居住项目</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</si>
  <si>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</si>
  <si>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</si>
  <si>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</si>
  <si>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</si>
  <si>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</si>
  <si>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</si>
  <si>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</si>
  <si>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</si>
  <si>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</si>
  <si>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</si>
  <si>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</si>
  <si>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</si>
  <si>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</si>
  <si>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</si>
  <si>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</si>
  <si>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</si>
  <si>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</si>
  <si>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</si>
  <si>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</si>
  <si>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</si>
  <si>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</si>
  <si>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</si>
  <si>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</si>
  <si>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</si>
  <si>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</si>
  <si>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</si>
  <si>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</si>
  <si>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</si>
  <si>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</si>
  <si>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</si>
  <si>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</si>
  <si>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</si>
  <si>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</si>
  <si>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</si>
  <si>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</si>
  <si>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</si>
  <si>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</si>
  <si>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</si>
  <si>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</si>
  <si>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</si>
  <si>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</si>
  <si>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</si>
  <si>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</si>
  <si>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</si>
  <si>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</si>
  <si>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</si>
  <si>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</si>
  <si>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</si>
  <si>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</si>
  <si>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</si>
  <si>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</si>
  <si>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</si>
  <si>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</si>
  <si>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</si>
  <si>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</si>
  <si>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</si>
  <si>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</si>
  <si>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</si>
  <si>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</si>
  <si>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</si>
  <si>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</si>
  <si>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</si>
  <si>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</si>
  <si>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</si>
  <si>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</si>
  <si>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</si>
  <si>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</si>
  <si>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</si>
  <si>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</si>
  <si>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</si>
  <si>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</si>
  <si>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</si>
  <si>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</si>
  <si>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</si>
  <si>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</si>
  <si>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</si>
  <si>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</si>
  <si>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</si>
  <si>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</si>
  <si>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</si>
  <si>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</si>
  <si>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</si>
  <si>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</si>
  <si>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</si>
  <si>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</si>
  <si>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</si>
  <si>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</si>
  <si>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</si>
  <si>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</si>
  <si>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</si>
  <si>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</si>
  <si>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</si>
  <si>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</si>
  <si>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</si>
  <si>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</si>
  <si>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</si>
  <si>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</si>
  <si>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</si>
  <si>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</si>
  <si>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</si>
  <si>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</si>
  <si>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</si>
  <si>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</si>
  <si>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</si>
  <si>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</si>
  <si>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</si>
  <si>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</si>
  <si>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</si>
  <si>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</si>
  <si>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</si>
  <si>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</si>
  <si>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</si>
  <si>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</si>
  <si>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</si>
  <si>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</si>
  <si>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</si>
  <si>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</si>
  <si>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</si>
  <si>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</si>
  <si>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</si>
  <si>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</si>
  <si>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</si>
  <si>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</si>
  <si>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</si>
  <si>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</si>
  <si>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</si>
  <si>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</si>
  <si>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</si>
  <si>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</si>
  <si>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</si>
  <si>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</si>
  <si>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</si>
  <si>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</si>
  <si>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</si>
  <si>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</si>
  <si>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</si>
  <si>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</si>
  <si>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住宅、商业</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</si>
  <si>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</si>
  <si>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</si>
  <si>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</si>
  <si>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</si>
  <si>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</si>
  <si>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</si>
  <si>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</si>
  <si>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</si>
  <si>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</si>
  <si>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</si>
  <si>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</si>
  <si>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</si>
  <si>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较规则</t>
  </si>
  <si>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</si>
  <si>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</si>
  <si>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</si>
  <si>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</si>
  <si>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</si>
  <si>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</si>
  <si>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</si>
  <si>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</si>
  <si>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</si>
  <si>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</si>
  <si>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</si>
  <si>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</si>
  <si>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</si>
  <si>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</si>
  <si>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</si>
  <si>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</si>
  <si>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该案例邻近长江，有中央公园，自然环境较好；周边无博物馆、体育场等人文设施，自然环境较差；综合评价环境状况一般。</t>
    <phoneticPr fontId="21" type="noConversion"/>
  </si>
  <si>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</si>
  <si>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</si>
  <si>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</si>
  <si>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</si>
  <si>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</si>
  <si>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</si>
  <si>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</si>
  <si>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</si>
  <si>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</si>
  <si>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</si>
  <si>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</si>
  <si>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</si>
  <si>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</si>
  <si>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</si>
  <si>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</si>
  <si>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</si>
  <si>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</si>
  <si>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</si>
  <si>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</si>
  <si>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</si>
  <si>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</si>
  <si>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</si>
  <si>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</si>
  <si>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</si>
  <si>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</si>
  <si>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</si>
  <si>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</si>
  <si>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</si>
  <si>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</si>
  <si>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</si>
  <si>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</si>
  <si>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</si>
  <si>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</si>
  <si>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</si>
  <si>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</si>
  <si>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</si>
  <si>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</si>
  <si>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</si>
  <si>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</si>
  <si>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</si>
  <si>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</si>
  <si>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</si>
  <si>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</si>
  <si>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</si>
  <si>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</si>
  <si>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</si>
  <si>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</si>
  <si>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</si>
  <si>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</si>
  <si>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</si>
  <si>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</si>
  <si>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</si>
  <si>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</si>
  <si>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</si>
  <si>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</si>
  <si>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</si>
  <si>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</si>
  <si>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</si>
  <si>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</si>
  <si>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</si>
  <si>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</si>
  <si>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</si>
  <si>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</si>
  <si>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</si>
  <si>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</si>
  <si>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</si>
  <si>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</si>
  <si>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</si>
  <si>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</si>
  <si>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</si>
  <si>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</si>
  <si>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</si>
  <si>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</si>
  <si>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</si>
  <si>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</si>
  <si>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</si>
  <si>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</si>
  <si>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</si>
  <si>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</si>
  <si>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</si>
  <si>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</si>
  <si>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</si>
  <si>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</si>
  <si>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</si>
  <si>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</si>
  <si>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</si>
  <si>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</si>
  <si>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</si>
  <si>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</si>
  <si>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</si>
  <si>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</si>
  <si>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</si>
  <si>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</si>
  <si>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</si>
  <si>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</si>
  <si>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</si>
  <si>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</si>
  <si>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</si>
  <si>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</si>
  <si>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</si>
  <si>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</si>
  <si>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</si>
  <si>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</si>
  <si>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住宅</t>
    <phoneticPr fontId="228" type="noConversion"/>
  </si>
  <si>
    <t>地上</t>
  </si>
  <si>
    <t>地上</t>
    <phoneticPr fontId="228" type="noConversion"/>
  </si>
  <si>
    <t>设备</t>
    <phoneticPr fontId="228" type="noConversion"/>
  </si>
  <si>
    <t>小计</t>
    <phoneticPr fontId="228" type="noConversion"/>
  </si>
  <si>
    <t>地下</t>
  </si>
  <si>
    <t>地下</t>
    <phoneticPr fontId="228" type="noConversion"/>
  </si>
  <si>
    <t>车库</t>
  </si>
  <si>
    <t>车库</t>
    <phoneticPr fontId="228" type="noConversion"/>
  </si>
  <si>
    <t>合计</t>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</si>
  <si>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</si>
  <si>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</si>
  <si>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</si>
  <si>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</si>
  <si>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</si>
  <si>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</si>
  <si>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</si>
  <si>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r>
      <rPr>
        <sz val="10"/>
        <color theme="1"/>
        <rFont val="华文细黑"/>
        <family val="3"/>
        <charset val="134"/>
      </rPr>
      <t>证号</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</si>
  <si>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</si>
  <si>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</si>
  <si>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</si>
  <si>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</si>
  <si>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</si>
  <si>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00466</t>
    </r>
    <r>
      <rPr>
        <sz val="10"/>
        <color theme="1"/>
        <rFont val="华文细黑"/>
        <family val="3"/>
        <charset val="134"/>
      </rPr>
      <t>号</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</si>
  <si>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</si>
  <si>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</si>
  <si>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</si>
  <si>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</si>
  <si>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</si>
  <si>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</si>
  <si>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</si>
  <si>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</si>
  <si>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</si>
  <si>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</si>
  <si>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</si>
  <si>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</si>
  <si>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</si>
  <si>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</si>
  <si>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</si>
  <si>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</si>
  <si>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</si>
  <si>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</si>
  <si>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</si>
  <si>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</si>
  <si>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公共配套</t>
    <phoneticPr fontId="228" type="noConversion"/>
  </si>
  <si>
    <t>小计</t>
    <phoneticPr fontId="228" type="noConversion"/>
  </si>
  <si>
    <t>商业</t>
  </si>
  <si>
    <t>商业</t>
    <phoneticPr fontId="228" type="noConversion"/>
  </si>
  <si>
    <t>物业用房</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</si>
  <si>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00463</t>
    </r>
    <r>
      <rPr>
        <sz val="10"/>
        <color theme="1"/>
        <rFont val="宋体"/>
        <family val="3"/>
        <charset val="134"/>
      </rPr>
      <t>号</t>
    </r>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</si>
  <si>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00464</t>
    </r>
    <r>
      <rPr>
        <sz val="10"/>
        <color theme="1"/>
        <rFont val="宋体"/>
        <family val="3"/>
        <charset val="134"/>
      </rPr>
      <t>号</t>
    </r>
    <phoneticPr fontId="228" type="noConversion"/>
  </si>
  <si>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</si>
  <si>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</si>
  <si>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</si>
  <si>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</si>
  <si>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</si>
  <si>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</si>
  <si>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</si>
  <si>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</si>
  <si>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</si>
  <si>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</si>
  <si>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</si>
  <si>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t>物业用房</t>
    <phoneticPr fontId="228" type="noConversion"/>
  </si>
  <si>
    <r>
      <rPr>
        <b/>
        <sz val="10"/>
        <color theme="1"/>
        <rFont val="华文细黑"/>
        <family val="3"/>
        <charset val="134"/>
      </rPr>
      <t>小计</t>
    </r>
    <phoneticPr fontId="228" type="noConversion"/>
  </si>
  <si>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</si>
  <si>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</si>
  <si>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</si>
  <si>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</si>
  <si>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</si>
  <si>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</si>
  <si>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</si>
  <si>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</si>
  <si>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</si>
  <si>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</si>
  <si>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</si>
  <si>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</si>
  <si>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</si>
  <si>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</si>
  <si>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</si>
  <si>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</si>
  <si>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</si>
  <si>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</si>
  <si>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</si>
  <si>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</si>
  <si>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</si>
  <si>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</si>
  <si>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</si>
  <si>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</si>
  <si>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</si>
  <si>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</si>
  <si>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</si>
  <si>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</si>
  <si>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</si>
  <si>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</si>
  <si>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</si>
  <si>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</si>
  <si>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001114507</t>
    </r>
    <r>
      <rPr>
        <sz val="10"/>
        <color theme="1"/>
        <rFont val="宋体"/>
        <family val="3"/>
        <charset val="134"/>
      </rPr>
      <t>号</t>
    </r>
    <phoneticPr fontId="228" type="noConversion"/>
  </si>
  <si>
    <t>E2</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</si>
  <si>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00462</t>
    </r>
    <r>
      <rPr>
        <sz val="10"/>
        <color theme="1"/>
        <rFont val="宋体"/>
        <family val="3"/>
        <charset val="134"/>
      </rPr>
      <t>号</t>
    </r>
    <phoneticPr fontId="228" type="noConversion"/>
  </si>
  <si>
    <t>估价对象于该地块上的土地面积</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</si>
  <si>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</si>
  <si>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</si>
  <si>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</si>
  <si>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</si>
  <si>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</si>
  <si>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</si>
  <si>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</si>
  <si>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</si>
  <si>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</si>
  <si>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</si>
  <si>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</si>
  <si>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</si>
  <si>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</si>
  <si>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</si>
  <si>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</si>
  <si>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</si>
  <si>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</si>
  <si>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</si>
  <si>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</si>
  <si>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</si>
  <si>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</si>
  <si>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</si>
  <si>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</si>
  <si>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</si>
  <si>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</si>
  <si>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</si>
  <si>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</si>
  <si>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</si>
  <si>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</si>
  <si>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</si>
  <si>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</si>
  <si>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</si>
  <si>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</si>
  <si>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</si>
  <si>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</si>
  <si>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</si>
  <si>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</si>
  <si>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</si>
  <si>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</si>
  <si>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r>
      <t>B</t>
    </r>
    <r>
      <rPr>
        <sz val="10"/>
        <color theme="1"/>
        <rFont val="宋体"/>
        <family val="3"/>
        <charset val="134"/>
      </rPr>
      <t>、</t>
    </r>
    <r>
      <rPr>
        <sz val="10"/>
        <color theme="1"/>
        <rFont val="Arial"/>
        <family val="2"/>
      </rPr>
      <t>G</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</si>
  <si>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000175436</t>
    </r>
    <r>
      <rPr>
        <sz val="10"/>
        <color theme="1"/>
        <rFont val="宋体"/>
        <family val="3"/>
        <charset val="134"/>
      </rPr>
      <t>号</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</si>
  <si>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000722446</t>
    </r>
    <r>
      <rPr>
        <sz val="10"/>
        <color theme="1"/>
        <rFont val="宋体"/>
        <family val="3"/>
        <charset val="134"/>
      </rPr>
      <t>号</t>
    </r>
    <phoneticPr fontId="228"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</si>
  <si>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</si>
  <si>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</si>
  <si>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</si>
  <si>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</si>
  <si>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</si>
  <si>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</si>
  <si>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</si>
  <si>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</si>
  <si>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</si>
  <si>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</si>
  <si>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多面临街</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</si>
  <si>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</si>
  <si>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</si>
  <si>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</si>
  <si>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</si>
  <si>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</si>
  <si>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</si>
  <si>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</si>
  <si>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</si>
  <si>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</si>
  <si>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</si>
  <si>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</si>
  <si>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</si>
  <si>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</si>
  <si>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</si>
  <si>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</si>
  <si>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</si>
  <si>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</si>
  <si>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</si>
  <si>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</si>
  <si>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</si>
  <si>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</si>
  <si>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</si>
  <si>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</si>
  <si>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</si>
  <si>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</si>
  <si>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</si>
  <si>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</si>
  <si>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</si>
  <si>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</si>
  <si>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</si>
  <si>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</si>
  <si>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</si>
  <si>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</si>
  <si>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</si>
  <si>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</si>
  <si>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</si>
  <si>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</si>
  <si>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泽科弹子石商铺</t>
    <phoneticPr fontId="3" type="noConversion"/>
  </si>
  <si>
    <t>蓝光COCO</t>
    <phoneticPr fontId="3" type="noConversion"/>
  </si>
  <si>
    <t>商业</t>
    <phoneticPr fontId="26" type="noConversion"/>
  </si>
  <si>
    <t>该案例周边商业氛围成熟度一般，人流量一般，商业繁华度一般。</t>
    <phoneticPr fontId="26" type="noConversion"/>
  </si>
  <si>
    <r>
      <rPr>
        <sz val="11"/>
        <rFont val="宋体"/>
        <family val="3"/>
        <charset val="134"/>
      </rPr>
      <t>估价对象周边有</t>
    </r>
    <r>
      <rPr>
        <sz val="11"/>
        <rFont val="Arial"/>
        <family val="2"/>
      </rPr>
      <t>163</t>
    </r>
    <r>
      <rPr>
        <sz val="11"/>
        <rFont val="宋体"/>
        <family val="3"/>
        <charset val="134"/>
      </rPr>
      <t>路、</t>
    </r>
    <r>
      <rPr>
        <sz val="11"/>
        <rFont val="Arial"/>
        <family val="2"/>
      </rPr>
      <t>320</t>
    </r>
    <r>
      <rPr>
        <sz val="11"/>
        <rFont val="宋体"/>
        <family val="3"/>
        <charset val="134"/>
      </rPr>
      <t>路、</t>
    </r>
    <r>
      <rPr>
        <sz val="11"/>
        <rFont val="Arial"/>
        <family val="2"/>
      </rPr>
      <t>338</t>
    </r>
    <r>
      <rPr>
        <sz val="11"/>
        <rFont val="宋体"/>
        <family val="3"/>
        <charset val="134"/>
      </rPr>
      <t>路等多条公交线路、路网密集度较好、停车便捷程度较好，综合评价交通便捷度较好。</t>
    </r>
    <phoneticPr fontId="26" type="noConversion"/>
  </si>
  <si>
    <t>该案例所在区域公共配套设施齐备情况较好。</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</si>
  <si>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</si>
  <si>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1层</t>
  </si>
  <si>
    <t>独立商业</t>
  </si>
  <si>
    <t>五通</t>
  </si>
  <si>
    <t>可餐饮</t>
  </si>
  <si>
    <t>20-30（含）</t>
  </si>
  <si>
    <t>标准层高</t>
  </si>
  <si>
    <t>较适宜</t>
  </si>
  <si>
    <t>简单装修</t>
  </si>
  <si>
    <t>一般</t>
    <phoneticPr fontId="26" type="noConversion"/>
  </si>
  <si>
    <r>
      <t>1</t>
    </r>
    <r>
      <rPr>
        <b/>
        <sz val="10"/>
        <color indexed="10"/>
        <rFont val="仿宋_GB2312"/>
        <family val="3"/>
        <charset val="134"/>
      </rPr>
      <t>层</t>
    </r>
    <phoneticPr fontId="21" type="noConversion"/>
  </si>
  <si>
    <r>
      <t>2</t>
    </r>
    <r>
      <rPr>
        <sz val="10"/>
        <color indexed="8"/>
        <rFont val="宋体"/>
        <family val="3"/>
        <charset val="134"/>
      </rPr>
      <t>层</t>
    </r>
    <phoneticPr fontId="21" type="noConversion"/>
  </si>
  <si>
    <t>2层</t>
  </si>
  <si>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000175651</t>
    </r>
    <r>
      <rPr>
        <sz val="10"/>
        <color theme="1"/>
        <rFont val="宋体"/>
        <family val="3"/>
        <charset val="134"/>
      </rPr>
      <t>号</t>
    </r>
    <phoneticPr fontId="228" type="noConversion"/>
  </si>
  <si>
    <t>阳光100喜马拉雅</t>
    <phoneticPr fontId="3" type="noConversion"/>
  </si>
  <si>
    <t>重庆来福士广场</t>
    <phoneticPr fontId="3" type="noConversion"/>
  </si>
  <si>
    <t>40-50（含）</t>
  </si>
  <si>
    <t>该案例周边有怡景园、汇丰江山汇等住宅社区，分布密度一般，规模一般，入住率一般，综合评价居住社区成熟度一般。</t>
    <phoneticPr fontId="3"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</si>
  <si>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3" type="noConversion"/>
  </si>
  <si>
    <t>该案例邻近长江，绿化一般，自然环境一般；周边有慈云寺、长江艺术广场，无博物馆、体育场等人文设施，自然环境一般；综合评价环境状况一般。</t>
    <phoneticPr fontId="3" type="noConversion"/>
  </si>
  <si>
    <t>低溢价</t>
    <phoneticPr fontId="3" type="noConversion"/>
  </si>
  <si>
    <t>是否临江</t>
    <phoneticPr fontId="26" type="noConversion"/>
  </si>
  <si>
    <t>是</t>
    <phoneticPr fontId="26" type="noConversion"/>
  </si>
  <si>
    <t>否</t>
    <phoneticPr fontId="26" type="noConversion"/>
  </si>
  <si>
    <t>否</t>
    <phoneticPr fontId="26" type="noConversion"/>
  </si>
  <si>
    <t>渝（2016）南岸区不动产权第000175651号</t>
  </si>
  <si>
    <t>E2</t>
  </si>
  <si>
    <t>物业用房</t>
  </si>
  <si>
    <t>设备</t>
  </si>
  <si>
    <t>超高层公寓</t>
    <phoneticPr fontId="228" type="noConversion"/>
  </si>
  <si>
    <t>超高层办公</t>
    <phoneticPr fontId="228" type="noConversion"/>
  </si>
  <si>
    <t>公寓</t>
  </si>
  <si>
    <t>公寓</t>
    <phoneticPr fontId="7" type="noConversion"/>
  </si>
  <si>
    <t>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</si>
  <si>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</si>
  <si>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</si>
  <si>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不动产收益法-公寓</t>
  </si>
  <si>
    <t>不动产收益法-办公</t>
  </si>
  <si>
    <t>按租金收入计税</t>
  </si>
  <si>
    <t>地面单价</t>
    <phoneticPr fontId="228" type="noConversion"/>
  </si>
  <si>
    <t>取得证书</t>
    <phoneticPr fontId="228" type="noConversion"/>
  </si>
  <si>
    <t>未取得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</si>
</sst>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0" fontId="152" fillId="0" borderId="2" xfId="0" applyFont="1" applyBorder="1" applyAlignment="1">
      <alignment horizontal="lef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79" fontId="146" fillId="0" borderId="2" xfId="0" applyNumberFormat="1" applyFont="1" applyBorder="1" applyAlignment="1"/>
    <xf numFmtId="0" fontId="0" fillId="0" borderId="2" xfId="0" applyBorder="1" applyAlignment="1"/>
    <xf numFmtId="179"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79"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7" fontId="278" fillId="0" borderId="2" xfId="2" applyNumberFormat="1" applyFont="1" applyBorder="1" applyAlignment="1">
      <alignment horizontal="center" vertical="center" wrapText="1"/>
    </xf>
    <xf numFmtId="179" fontId="280" fillId="0" borderId="0" xfId="2" applyNumberFormat="1" applyFont="1">
      <alignment vertical="center"/>
    </xf>
    <xf numFmtId="0" fontId="283" fillId="0" borderId="2" xfId="2" applyFont="1" applyBorder="1" applyAlignment="1">
      <alignment horizontal="center" vertical="center" wrapText="1"/>
    </xf>
    <xf numFmtId="179"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79"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200" fillId="0" borderId="2" xfId="0" applyFont="1" applyBorder="1" applyAlignment="1">
      <alignment horizontal="left" vertical="center" wrapText="1"/>
    </xf>
    <xf numFmtId="0" fontId="274" fillId="0" borderId="2" xfId="0" applyFont="1" applyBorder="1" applyAlignment="1">
      <alignment horizontal="left"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79"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79"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7"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79"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6" fontId="278" fillId="0" borderId="2" xfId="2" applyNumberFormat="1" applyFont="1" applyFill="1" applyBorder="1" applyAlignment="1">
      <alignment horizontal="center" vertical="center" wrapText="1"/>
    </xf>
    <xf numFmtId="184" fontId="278" fillId="0" borderId="2" xfId="2" applyNumberFormat="1" applyFont="1" applyBorder="1" applyAlignment="1">
      <alignment horizontal="center" vertical="center" wrapText="1"/>
    </xf>
    <xf numFmtId="176"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7"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7"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230" fillId="0" borderId="4" xfId="0" applyFont="1" applyBorder="1" applyAlignment="1">
      <alignment vertical="center" wrapText="1"/>
    </xf>
    <xf numFmtId="0" fontId="230" fillId="0" borderId="32" xfId="0" applyFont="1" applyBorder="1" applyAlignment="1">
      <alignment vertical="center" wrapText="1"/>
    </xf>
    <xf numFmtId="0" fontId="157" fillId="0" borderId="10" xfId="0" applyFont="1" applyBorder="1" applyAlignment="1">
      <alignment vertical="center" wrapText="1"/>
    </xf>
    <xf numFmtId="0" fontId="230" fillId="0" borderId="2" xfId="0" applyFont="1" applyBorder="1" applyAlignment="1">
      <alignmen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78" xfId="0" applyNumberFormat="1" applyFont="1" applyFill="1" applyBorder="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3" fontId="78" fillId="17" borderId="2" xfId="0" applyNumberFormat="1" applyFont="1" applyFill="1" applyBorder="1" applyAlignment="1" applyProtection="1">
      <alignment horizontal="center" vertical="center" shrinkToFit="1"/>
      <protection locked="0"/>
    </xf>
    <xf numFmtId="0" fontId="71" fillId="17" borderId="30"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200" fillId="0" borderId="2" xfId="0" applyFont="1" applyBorder="1" applyAlignment="1">
      <alignment horizontal="left" vertical="center" wrapText="1"/>
    </xf>
    <xf numFmtId="0" fontId="230" fillId="0" borderId="2" xfId="0" applyFont="1" applyBorder="1" applyAlignment="1">
      <alignment horizontal="left" vertical="center" wrapText="1"/>
    </xf>
    <xf numFmtId="0" fontId="152" fillId="0" borderId="2" xfId="0" applyFont="1" applyBorder="1" applyAlignment="1">
      <alignment horizontal="left" vertical="center" wrapText="1"/>
    </xf>
    <xf numFmtId="0" fontId="230" fillId="0" borderId="5" xfId="0" applyFont="1" applyBorder="1" applyAlignment="1">
      <alignment horizontal="left" vertical="center" wrapText="1"/>
    </xf>
    <xf numFmtId="0" fontId="230" fillId="0" borderId="9" xfId="0" applyFont="1" applyBorder="1" applyAlignment="1">
      <alignment horizontal="left" vertical="center" wrapText="1"/>
    </xf>
    <xf numFmtId="0" fontId="200" fillId="0" borderId="10" xfId="0" applyFont="1" applyBorder="1" applyAlignment="1">
      <alignment horizontal="left" vertical="center" wrapText="1"/>
    </xf>
    <xf numFmtId="0" fontId="200" fillId="0" borderId="3" xfId="0" applyFont="1" applyBorder="1" applyAlignment="1">
      <alignment horizontal="left" vertical="center" wrapText="1"/>
    </xf>
    <xf numFmtId="0" fontId="200" fillId="0" borderId="21"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79" fontId="0" fillId="0" borderId="10" xfId="0" applyNumberFormat="1" applyBorder="1" applyAlignment="1">
      <alignment horizontal="center" vertical="center" wrapText="1"/>
    </xf>
    <xf numFmtId="179"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6&#21495;-&#24352;&#24535;&#32753;20190527-1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34685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剩余法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37715</v>
          </cell>
          <cell r="D8">
            <v>4469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2652</v>
      </c>
      <c r="B1" s="2841" t="s">
        <v>2749</v>
      </c>
    </row>
    <row r="2" spans="1:55" s="2845" customFormat="1" ht="15" thickTop="1">
      <c r="A2" s="2843" t="s">
        <v>2656</v>
      </c>
      <c r="B2" s="2844" t="str">
        <f>'预评函-封皮'!B37</f>
        <v>重庆市南岸区涂山镇石溪路出让国有建设用地使用权抵押价格预评估</v>
      </c>
      <c r="AX2" s="2846"/>
      <c r="AZ2" s="2846"/>
      <c r="BA2" s="2847"/>
      <c r="BC2" s="2847"/>
    </row>
    <row r="3" spans="1:55" s="2848" customFormat="1">
      <c r="A3" s="2827" t="s">
        <v>2657</v>
      </c>
      <c r="B3" s="2830" t="str">
        <f>'预评函-封皮'!B40</f>
        <v>中信信托有限责任公司</v>
      </c>
    </row>
    <row r="4" spans="1:55" s="2829" customFormat="1">
      <c r="A4" s="2827" t="s">
        <v>2658</v>
      </c>
      <c r="B4" s="2828" t="str">
        <f>'预评函-封皮'!B46</f>
        <v>王鹏、郑燚</v>
      </c>
      <c r="N4" s="2829" t="str">
        <f>'预评函-1'!A28</f>
        <v/>
      </c>
    </row>
    <row r="5" spans="1:55" s="2842" customFormat="1" ht="15" thickBot="1">
      <c r="A5" s="2849" t="s">
        <v>2659</v>
      </c>
      <c r="B5" s="2850" t="str">
        <f>'预评函-封皮'!B49</f>
        <v>康正预评字号</v>
      </c>
    </row>
    <row r="6" spans="1:55" s="2851" customFormat="1" ht="15" thickTop="1">
      <c r="A6" s="2843" t="s">
        <v>2701</v>
      </c>
      <c r="B6" s="2844" t="str">
        <f>'预评函-1'!A4</f>
        <v>受贵公司委托，我公司对重庆市南岸区涂山镇石溪路出让国有建设用地使用权抵押价格进行了预评估。</v>
      </c>
      <c r="AM6" s="2852"/>
    </row>
    <row r="7" spans="1:55" s="2826" customFormat="1">
      <c r="A7" s="2827" t="s">
        <v>2653</v>
      </c>
      <c r="B7" s="2828"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2655</v>
      </c>
      <c r="B10" s="2828" t="str">
        <f>'预评函-1'!A11</f>
        <v>2019年5月17日（评估专业人员勘察现场之日）</v>
      </c>
    </row>
    <row r="11" spans="1:55" s="2826" customFormat="1">
      <c r="A11" s="2827" t="s">
        <v>2661</v>
      </c>
      <c r="B11" s="2828" t="str">
        <f>'预评函-1'!A14</f>
        <v>根据《重庆市房地产权证》[106D房地证2015字第00466号]，本次评估估价对象证载（地类）用途为城镇住宅用地。</v>
      </c>
    </row>
    <row r="12" spans="1:55" s="2826" customFormat="1">
      <c r="A12" s="2827" t="s">
        <v>2662</v>
      </c>
      <c r="B12" s="2828" t="str">
        <f>'预评函-1'!A15</f>
        <v>本次评估设定用途即为证载用途住宅。</v>
      </c>
    </row>
    <row r="13" spans="1:55" s="2826" customFormat="1">
      <c r="A13" s="2827" t="s">
        <v>2663</v>
      </c>
      <c r="B13" s="2828" t="str">
        <f>'预评函-1'!A17</f>
        <v>根据委托估价方介绍及评估专业人员现场勘查，本次评估估价对象实际土地开发程度为红线外市政基础设施达“七通”（即通路、通电、通上水、、、、）、宗地红线内场地平整。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根据《重庆市房地产权证》[106D房地证2015字第00466号]，估价对象（分摊）出让国有建设用地使用权面积为22838平方米。根据《建设工程规划许可证》[]、《出让合同》[]，估价对象规划建筑面积为394084平方米。</v>
      </c>
    </row>
    <row r="16" spans="1:55" s="2826" customFormat="1">
      <c r="A16" s="2827" t="s">
        <v>2665</v>
      </c>
      <c r="B16" s="2828" t="str">
        <f>'预评函-1'!A22</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17" spans="1:48" s="2826" customFormat="1">
      <c r="A17" s="2827" t="s">
        <v>2666</v>
      </c>
      <c r="B17" s="2828" t="str">
        <f>'预评函-1'!A23</f>
        <v>本次评估设定估价对象剩余土地使用年限为住宅33.91年。</v>
      </c>
    </row>
    <row r="18" spans="1:48" s="2826" customFormat="1">
      <c r="A18" s="2827" t="s">
        <v>2667</v>
      </c>
      <c r="B18" s="2828"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2670</v>
      </c>
      <c r="B21" s="2850" t="str">
        <f>'预评函-1'!A28</f>
        <v/>
      </c>
    </row>
    <row r="22" spans="1:48" ht="15" thickTop="1">
      <c r="A22" s="2838" t="s">
        <v>2671</v>
      </c>
      <c r="B22" s="283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估价期日：2019年5月17日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城镇住宅用地</v>
      </c>
      <c r="AV32" s="2832"/>
    </row>
    <row r="33" spans="1:2">
      <c r="A33" s="2827" t="s">
        <v>2709</v>
      </c>
      <c r="B33" s="2828">
        <f>'预评函-2'!F5</f>
        <v>258</v>
      </c>
    </row>
    <row r="34" spans="1:2">
      <c r="A34" s="2827" t="s">
        <v>2710</v>
      </c>
      <c r="B34" s="2828" t="str">
        <f>'预评函-2'!G5</f>
        <v>住宅</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红线外七通、宗地红线内场地平整</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t="str">
        <f>'预评函-2'!M5</f>
        <v>住宅33.91年</v>
      </c>
    </row>
    <row r="42" spans="1:2">
      <c r="A42" s="2827" t="s">
        <v>2735</v>
      </c>
      <c r="B42" s="2828" t="str">
        <f>'预评函-2'!N3</f>
        <v>（分摊）出让国有建设用地使用权面积/㎡</v>
      </c>
    </row>
    <row r="43" spans="1:2">
      <c r="A43" s="2827" t="s">
        <v>2717</v>
      </c>
      <c r="B43" s="2828">
        <f>'预评函-2'!N5</f>
        <v>22838</v>
      </c>
    </row>
    <row r="44" spans="1:2">
      <c r="A44" s="2827" t="s">
        <v>2736</v>
      </c>
      <c r="B44" s="2828" t="str">
        <f>'预评函-2'!O3</f>
        <v>规划建筑面积/㎡</v>
      </c>
    </row>
    <row r="45" spans="1:2">
      <c r="A45" s="2827" t="s">
        <v>2718</v>
      </c>
      <c r="B45" s="2828">
        <f>'预评函-2'!O5</f>
        <v>394084</v>
      </c>
    </row>
    <row r="46" spans="1:2">
      <c r="A46" s="2827" t="s">
        <v>2719</v>
      </c>
      <c r="B46" s="2828">
        <f ca="1">'预评函-2'!P5</f>
        <v>145159</v>
      </c>
    </row>
    <row r="47" spans="1:2">
      <c r="A47" s="2827" t="s">
        <v>2720</v>
      </c>
      <c r="B47" s="2828">
        <f ca="1">'预评函-2'!Q5</f>
        <v>8412</v>
      </c>
    </row>
    <row r="48" spans="1:2">
      <c r="A48" s="2827" t="s">
        <v>2721</v>
      </c>
      <c r="B48" s="2828">
        <f ca="1">'预评函-2'!R5</f>
        <v>331515</v>
      </c>
    </row>
    <row r="49" spans="1:2">
      <c r="A49" s="2827" t="s">
        <v>2737</v>
      </c>
      <c r="B49" s="2828" t="str">
        <f>'预评函-2'!A6</f>
        <v>抵押价格</v>
      </c>
    </row>
    <row r="50" spans="1:2">
      <c r="A50" s="2827" t="s">
        <v>2722</v>
      </c>
      <c r="B50" s="2828">
        <f ca="1">'预评函-2'!R6</f>
        <v>331515</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5" thickBot="1">
      <c r="A54" s="2849" t="s">
        <v>2724</v>
      </c>
      <c r="B54" s="2850" t="str">
        <f>'预评函-2'!R8</f>
        <v>——</v>
      </c>
    </row>
    <row r="55" spans="1:2" ht="15" thickTop="1">
      <c r="A55" s="2838" t="s">
        <v>2674</v>
      </c>
      <c r="B55" s="2839" t="str">
        <f>'预评函-3'!A2</f>
        <v>1.权利限制：根据估价对象《不动产权证书》复印件、，截至估价期日，估价对象已设定抵押。未设定租赁等其他他项权利。</v>
      </c>
    </row>
    <row r="56" spans="1:2">
      <c r="A56" s="2827" t="s">
        <v>2675</v>
      </c>
      <c r="B56" s="2828" t="str">
        <f>'预评函-3'!A3</f>
        <v>2.基础设施条件：估价对象实际开发程度为红线外七通、宗地红线内场地平整；本次评估设定开发程度为红线外七通、宗地红线内场地平整。</v>
      </c>
    </row>
    <row r="57" spans="1:2">
      <c r="A57" s="2827" t="s">
        <v>2676</v>
      </c>
      <c r="B57" s="2828" t="str">
        <f>'预评函-3'!A4</f>
        <v>3.估价规划限制条件：详见《建设工程规划许可证》[]、《出让合同》[]。</v>
      </c>
    </row>
    <row r="58" spans="1:2" s="2842" customFormat="1" ht="15" thickBot="1">
      <c r="A58" s="2849" t="s">
        <v>2725</v>
      </c>
      <c r="B58" s="2850" t="str">
        <f>'预评函-3'!A5</f>
        <v>4.影响价格的其他限定条件：无。</v>
      </c>
    </row>
    <row r="59" spans="1:2" ht="15"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综上，本次评估不存在估价师知悉的法定优先受偿款</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2688</v>
      </c>
      <c r="B68" s="2853">
        <f>'预评函-3'!D30</f>
        <v>42558</v>
      </c>
    </row>
    <row r="69" spans="1:2" ht="15" thickTop="1">
      <c r="A69" s="2838" t="s">
        <v>2686</v>
      </c>
      <c r="B69" s="2839" t="str">
        <f>'预评函-3'!A20</f>
        <v>王鹏</v>
      </c>
    </row>
    <row r="70" spans="1:2">
      <c r="A70" s="2827" t="s">
        <v>2686</v>
      </c>
      <c r="B70" s="2834">
        <f ca="1">'预评函-3'!B20</f>
        <v>2002110030</v>
      </c>
    </row>
    <row r="71" spans="1:2">
      <c r="A71" s="2827" t="s">
        <v>2687</v>
      </c>
      <c r="B71" s="2828" t="str">
        <f>'预评函-3'!A21</f>
        <v>郑燚</v>
      </c>
    </row>
    <row r="72" spans="1:2" s="2842" customFormat="1" ht="15" thickBot="1">
      <c r="A72" s="2849" t="s">
        <v>2687</v>
      </c>
      <c r="B72" s="2855">
        <f ca="1">'预评函-3'!B21</f>
        <v>2014110011</v>
      </c>
    </row>
    <row r="73" spans="1:2" ht="15"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2" customWidth="1"/>
    <col min="2" max="2" width="11.375" style="1672" customWidth="1"/>
    <col min="3" max="3" width="12.625" style="1672" customWidth="1"/>
    <col min="4" max="4" width="17.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3"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1936</v>
      </c>
      <c r="B1" s="3324" t="str">
        <f>IF(B10="北京市","北京市",C10)&amp;F10&amp;B16&amp;"国有建设用地使用权"&amp;B9&amp;"预评估"</f>
        <v>重庆市南岸区涂山镇石溪路出让国有建设用地使用权抵押价格预评估</v>
      </c>
      <c r="C1" s="3325"/>
      <c r="D1" s="3325"/>
      <c r="E1" s="3325"/>
      <c r="F1" s="3325"/>
      <c r="G1" s="3325"/>
      <c r="H1" s="3325"/>
      <c r="I1" s="3326"/>
      <c r="J1" s="1675"/>
      <c r="K1" s="2413" t="str">
        <f>IF(B10="北京市","北京市",C10)&amp;F10&amp;B16&amp;"国有建设用地使用权"&amp;B9</f>
        <v>重庆市南岸区涂山镇石溪路出让国有建设用地使用权抵押价格</v>
      </c>
      <c r="L1" s="1704"/>
      <c r="M1" s="1704"/>
      <c r="N1" s="1675"/>
      <c r="O1" s="1676"/>
      <c r="P1" s="1675"/>
      <c r="Q1" s="1675"/>
      <c r="R1" s="1675"/>
      <c r="S1" s="1675"/>
      <c r="T1" s="1675"/>
      <c r="U1" s="1675"/>
    </row>
    <row r="2" spans="1:21">
      <c r="A2" s="1642" t="s">
        <v>1937</v>
      </c>
      <c r="B2" s="1822"/>
      <c r="D2" s="1675"/>
      <c r="E2" s="1675"/>
      <c r="F2" s="1675"/>
      <c r="G2" s="1675"/>
      <c r="H2" s="1642"/>
      <c r="I2" s="1676"/>
      <c r="J2" s="1675"/>
      <c r="K2" s="2413" t="str">
        <f>IF(B10="北京市","北京市",C10)&amp;F10&amp;B16&amp;"国有建设用地使用权"</f>
        <v>重庆市南岸区涂山镇石溪路出让国有建设用地使用权</v>
      </c>
      <c r="L2" s="1704"/>
      <c r="M2" s="1704"/>
      <c r="N2" s="1675"/>
      <c r="O2" s="1676"/>
      <c r="P2" s="1675"/>
      <c r="Q2" s="1675"/>
      <c r="R2" s="1675"/>
      <c r="S2" s="1675"/>
      <c r="T2" s="1675"/>
      <c r="U2" s="1675"/>
    </row>
    <row r="3" spans="1:21">
      <c r="A3" s="1643" t="s">
        <v>1938</v>
      </c>
      <c r="B3" s="1644">
        <v>43602</v>
      </c>
      <c r="C3" s="1645" t="s">
        <v>1992</v>
      </c>
      <c r="D3" s="1644">
        <f>B3</f>
        <v>43602</v>
      </c>
      <c r="E3" s="1675"/>
      <c r="F3" s="1675"/>
      <c r="G3" s="1675"/>
      <c r="H3" s="1642"/>
      <c r="I3" s="1676"/>
      <c r="J3" s="1675"/>
      <c r="K3" s="1754"/>
      <c r="L3" s="1704"/>
      <c r="M3" s="1704"/>
      <c r="N3" s="1675"/>
      <c r="O3" s="1676"/>
      <c r="P3" s="1675"/>
      <c r="Q3" s="1675"/>
      <c r="R3" s="1675"/>
      <c r="S3" s="1675"/>
      <c r="T3" s="1675"/>
      <c r="U3" s="1675"/>
    </row>
    <row r="4" spans="1:21" ht="15" thickBot="1">
      <c r="A4" s="1646" t="s">
        <v>1939</v>
      </c>
      <c r="B4" s="1823" t="s">
        <v>2985</v>
      </c>
      <c r="C4" s="1826">
        <f ca="1">SUMIF(土地估价师,B4,估价师及机构信息!E3:E24)</f>
        <v>2002110030</v>
      </c>
      <c r="D4" s="1823" t="s">
        <v>2986</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5"/>
      <c r="K4" s="2413" t="str">
        <f>IF(AND(F4="——",H4="——"),B4&amp;"、"&amp;D4,IF(AND(F4&lt;&gt;"——",H4="——"),B4&amp;"、"&amp;D4&amp;"、"&amp;F4,B4&amp;"、"&amp;D4&amp;"、"&amp;F4&amp;"、"&amp;H4))</f>
        <v>王鹏、郑燚</v>
      </c>
      <c r="L4" s="1704"/>
      <c r="M4" s="1704"/>
      <c r="N4" s="1675"/>
      <c r="O4" s="1676"/>
      <c r="P4" s="1675"/>
      <c r="Q4" s="1675"/>
      <c r="R4" s="1675"/>
      <c r="S4" s="1675"/>
      <c r="T4" s="1675"/>
      <c r="U4" s="1675"/>
    </row>
    <row r="5" spans="1:21" ht="15" thickTop="1">
      <c r="A5" s="1647" t="s">
        <v>1940</v>
      </c>
      <c r="B5" s="1769" t="s">
        <v>2988</v>
      </c>
      <c r="C5" s="1648"/>
      <c r="D5" s="1649"/>
      <c r="E5" s="1675"/>
      <c r="F5" s="1675"/>
      <c r="G5" s="1675"/>
      <c r="H5" s="1642"/>
      <c r="I5" s="1676"/>
      <c r="J5" s="1675"/>
      <c r="K5" s="1754"/>
      <c r="L5" s="1704"/>
      <c r="M5" s="1704"/>
      <c r="N5" s="1675"/>
      <c r="O5" s="1676"/>
      <c r="P5" s="1675"/>
      <c r="Q5" s="1675"/>
      <c r="R5" s="1675"/>
      <c r="S5" s="1675"/>
      <c r="T5" s="1675"/>
      <c r="U5" s="1675"/>
    </row>
    <row r="6" spans="1:21" ht="26.25">
      <c r="A6" s="1645" t="s">
        <v>2702</v>
      </c>
      <c r="B6" s="1769" t="s">
        <v>2987</v>
      </c>
      <c r="C6" s="1742"/>
      <c r="D6" s="1650"/>
      <c r="E6" s="1675"/>
      <c r="F6" s="1675"/>
      <c r="G6" s="1675"/>
      <c r="H6" s="1642"/>
      <c r="I6" s="1676"/>
      <c r="J6" s="1675"/>
      <c r="K6" s="3000" t="str">
        <f>IF(COUNTIF(B6,"*上海银行*"),"上海银行","")</f>
        <v/>
      </c>
      <c r="L6" s="1704"/>
      <c r="M6" s="1704"/>
      <c r="N6" s="1675"/>
      <c r="O6" s="1676"/>
      <c r="P6" s="1675"/>
      <c r="Q6" s="1675"/>
      <c r="R6" s="1675"/>
      <c r="S6" s="1675"/>
      <c r="T6" s="1675"/>
      <c r="U6" s="1675"/>
    </row>
    <row r="7" spans="1:21">
      <c r="A7" s="1651" t="s">
        <v>2703</v>
      </c>
      <c r="B7" s="3176" t="s">
        <v>2996</v>
      </c>
      <c r="C7" s="3177"/>
      <c r="D7" s="3178"/>
      <c r="E7" s="1675"/>
      <c r="F7" s="1675"/>
      <c r="G7" s="1675"/>
      <c r="H7" s="1642"/>
      <c r="I7" s="1676"/>
      <c r="J7" s="1675"/>
      <c r="K7" s="1754"/>
      <c r="L7" s="1704"/>
      <c r="M7" s="1704"/>
      <c r="N7" s="1675"/>
      <c r="O7" s="1676"/>
      <c r="P7" s="1675"/>
      <c r="Q7" s="1675"/>
      <c r="R7" s="1675"/>
      <c r="S7" s="1675"/>
      <c r="T7" s="1675"/>
      <c r="U7" s="1675"/>
    </row>
    <row r="8" spans="1:21">
      <c r="A8" s="1651" t="s">
        <v>1941</v>
      </c>
      <c r="B8" s="1652" t="s">
        <v>2990</v>
      </c>
      <c r="C8" s="1653"/>
      <c r="D8" s="3330" t="s">
        <v>1943</v>
      </c>
      <c r="E8" s="1824" t="s">
        <v>2991</v>
      </c>
      <c r="F8" s="1654"/>
      <c r="G8" s="1642"/>
      <c r="H8" s="1642"/>
      <c r="I8" s="1688"/>
      <c r="J8" s="1675"/>
      <c r="K8" s="1754"/>
      <c r="L8" s="1704"/>
      <c r="M8" s="1704"/>
      <c r="N8" s="1675"/>
      <c r="O8" s="1676"/>
      <c r="P8" s="1675"/>
      <c r="Q8" s="1675"/>
      <c r="R8" s="1675"/>
      <c r="S8" s="1675"/>
      <c r="T8" s="1675"/>
      <c r="U8" s="1675"/>
    </row>
    <row r="9" spans="1:21" ht="15" thickBot="1">
      <c r="A9" s="1655" t="s">
        <v>1942</v>
      </c>
      <c r="B9" s="1656" t="s">
        <v>2991</v>
      </c>
      <c r="C9" s="1657"/>
      <c r="D9" s="3331"/>
      <c r="E9" s="1656" t="s">
        <v>951</v>
      </c>
      <c r="F9" s="1728"/>
      <c r="G9" s="1723"/>
      <c r="H9" s="1723"/>
      <c r="I9" s="1724"/>
      <c r="J9" s="1675"/>
      <c r="K9" s="1754"/>
      <c r="L9" s="1704"/>
      <c r="M9" s="1704"/>
      <c r="N9" s="1675"/>
      <c r="O9" s="1676"/>
      <c r="P9" s="1675"/>
      <c r="Q9" s="1675"/>
      <c r="R9" s="1675"/>
      <c r="S9" s="1675"/>
      <c r="T9" s="1675"/>
      <c r="U9" s="1675"/>
    </row>
    <row r="10" spans="1:21" ht="15" thickTop="1">
      <c r="A10" s="1725" t="s">
        <v>1996</v>
      </c>
      <c r="B10" s="1700" t="s">
        <v>2992</v>
      </c>
      <c r="C10" s="1658" t="s">
        <v>2993</v>
      </c>
      <c r="D10" s="1649"/>
      <c r="E10" s="1659" t="s">
        <v>1945</v>
      </c>
      <c r="F10" s="1660" t="s">
        <v>2994</v>
      </c>
      <c r="G10" s="1726"/>
      <c r="H10" s="1727"/>
      <c r="I10" s="1649"/>
      <c r="J10" s="1675"/>
      <c r="K10" s="1754"/>
      <c r="L10" s="1704"/>
      <c r="M10" s="1704"/>
      <c r="N10" s="1675"/>
      <c r="O10" s="1676"/>
      <c r="P10" s="1675"/>
      <c r="Q10" s="1675"/>
      <c r="R10" s="1675"/>
      <c r="S10" s="1675"/>
      <c r="T10" s="1675"/>
      <c r="U10" s="1675"/>
    </row>
    <row r="11" spans="1:21">
      <c r="A11" s="1678" t="s">
        <v>1997</v>
      </c>
      <c r="B11" s="1679" t="s">
        <v>2995</v>
      </c>
      <c r="C11" s="3179" t="s">
        <v>2989</v>
      </c>
      <c r="D11" s="3180"/>
      <c r="E11" s="1642"/>
      <c r="F11" s="1642"/>
      <c r="G11" s="1642"/>
      <c r="H11" s="1642"/>
      <c r="I11" s="1642"/>
      <c r="J11" s="1675"/>
      <c r="K11" s="1754"/>
      <c r="L11" s="1704"/>
      <c r="M11" s="1704"/>
      <c r="N11" s="1675"/>
      <c r="O11" s="1676"/>
      <c r="P11" s="1675"/>
      <c r="Q11" s="1675"/>
      <c r="R11" s="1675"/>
      <c r="S11" s="1675"/>
      <c r="T11" s="1675"/>
      <c r="U11" s="1675"/>
    </row>
    <row r="12" spans="1:21">
      <c r="A12" s="1765" t="s">
        <v>2055</v>
      </c>
      <c r="B12" s="3327" t="s">
        <v>2997</v>
      </c>
      <c r="C12" s="3328"/>
      <c r="D12" s="3329"/>
      <c r="E12" s="1680" t="s">
        <v>2058</v>
      </c>
      <c r="F12" s="3348" t="s">
        <v>3000</v>
      </c>
      <c r="G12" s="3349"/>
      <c r="H12" s="3349"/>
      <c r="I12" s="3350"/>
      <c r="J12" s="1675"/>
      <c r="K12" s="1754"/>
      <c r="L12" s="1704"/>
      <c r="M12" s="1704"/>
      <c r="N12" s="1675"/>
      <c r="O12" s="1676"/>
      <c r="P12" s="1675"/>
      <c r="Q12" s="1675"/>
      <c r="R12" s="1675"/>
      <c r="S12" s="1675"/>
      <c r="T12" s="1675"/>
      <c r="U12" s="1675"/>
    </row>
    <row r="13" spans="1:21">
      <c r="A13" s="1668" t="s">
        <v>2056</v>
      </c>
      <c r="B13" s="3327" t="s">
        <v>2998</v>
      </c>
      <c r="C13" s="3328"/>
      <c r="D13" s="3329"/>
      <c r="E13" s="1680" t="s">
        <v>2058</v>
      </c>
      <c r="F13" s="3351" t="s">
        <v>2885</v>
      </c>
      <c r="G13" s="3352"/>
      <c r="H13" s="3352"/>
      <c r="I13" s="3353"/>
      <c r="J13" s="1675"/>
      <c r="K13" s="1754"/>
      <c r="L13" s="1704"/>
      <c r="M13" s="1704"/>
      <c r="N13" s="1675"/>
      <c r="O13" s="1676"/>
      <c r="P13" s="1675"/>
      <c r="Q13" s="1675"/>
      <c r="R13" s="1675"/>
      <c r="S13" s="1675"/>
      <c r="T13" s="1675"/>
      <c r="U13" s="1675"/>
    </row>
    <row r="14" spans="1:21">
      <c r="A14" s="1643" t="s">
        <v>2059</v>
      </c>
      <c r="B14" s="1680"/>
      <c r="C14" s="1825" t="s">
        <v>2999</v>
      </c>
      <c r="D14" s="1714" t="str">
        <f>IF(C14="不一致","是否符合证载地类范围","")</f>
        <v/>
      </c>
      <c r="E14" s="1680"/>
      <c r="F14" s="1770"/>
      <c r="G14" s="1709"/>
      <c r="H14" s="1709"/>
      <c r="I14" s="1817"/>
      <c r="J14" s="1675"/>
      <c r="K14" s="1754"/>
      <c r="L14" s="1704"/>
      <c r="M14" s="1704"/>
      <c r="N14" s="1675"/>
      <c r="O14" s="1676"/>
      <c r="P14" s="1675"/>
      <c r="Q14" s="1675"/>
      <c r="R14" s="1675"/>
      <c r="S14" s="1675"/>
      <c r="T14" s="1675"/>
      <c r="U14" s="1675"/>
    </row>
    <row r="15" spans="1:21" hidden="1">
      <c r="A15" s="2603"/>
      <c r="B15" s="1645"/>
      <c r="C15" s="1645"/>
      <c r="D15" s="1746" t="s">
        <v>1948</v>
      </c>
      <c r="E15" s="1746" t="s">
        <v>1949</v>
      </c>
      <c r="F15" s="1746" t="s">
        <v>1950</v>
      </c>
      <c r="G15" s="1667" t="s">
        <v>1951</v>
      </c>
      <c r="H15" s="1667" t="s">
        <v>1952</v>
      </c>
      <c r="I15" s="1667" t="s">
        <v>1953</v>
      </c>
      <c r="J15" s="1675"/>
      <c r="K15" s="1754"/>
      <c r="L15" s="1704"/>
      <c r="M15" s="1704"/>
      <c r="N15" s="1675"/>
      <c r="O15" s="1676"/>
      <c r="P15" s="1675"/>
      <c r="Q15" s="1675"/>
      <c r="R15" s="1675"/>
      <c r="S15" s="1675"/>
      <c r="T15" s="1675"/>
      <c r="U15" s="1675"/>
    </row>
    <row r="16" spans="1:21" ht="42.75">
      <c r="A16" s="1661" t="s">
        <v>1946</v>
      </c>
      <c r="B16" s="1662" t="s">
        <v>2981</v>
      </c>
      <c r="C16" s="1680" t="s">
        <v>1947</v>
      </c>
      <c r="D16" s="2604" t="s">
        <v>1948</v>
      </c>
      <c r="E16" s="1703" t="s">
        <v>3322</v>
      </c>
      <c r="F16" s="1703"/>
      <c r="G16" s="1703" t="s">
        <v>35</v>
      </c>
      <c r="H16" s="1703"/>
      <c r="I16" s="1667" t="s">
        <v>1953</v>
      </c>
      <c r="J16" s="1675"/>
      <c r="K16" s="2414" t="str">
        <f>IF(D17="","",D16&amp;TEXT(D17,"yyyy年m月d日;;"))</f>
        <v>住宅2053年4月7日</v>
      </c>
      <c r="L16" s="1680" t="str">
        <f>IF(OR(K16="",M16=""),"","、")</f>
        <v>、</v>
      </c>
      <c r="M16" s="2414" t="str">
        <f>IF(E17="","",E16&amp;TEXT(E17,"yyyy年m月d日;;"))</f>
        <v>商业2043年4月7日</v>
      </c>
      <c r="N16" s="1680" t="str">
        <f>IF(OR(M16="",O16=""),"","、")</f>
        <v/>
      </c>
      <c r="O16" s="2414" t="str">
        <f>IF(F17="","",F16&amp;TEXT(F17,"yyyy年m月d日;;"))</f>
        <v/>
      </c>
      <c r="P16" s="1680" t="str">
        <f>IF(OR(O16="",Q16=""),"","、")</f>
        <v/>
      </c>
      <c r="Q16" s="2414" t="str">
        <f>IF(G17="","",G16&amp;TEXT(G17,"yyyy年m月d日;;"))</f>
        <v>地下车库2043年4月7日</v>
      </c>
      <c r="R16" s="1680" t="str">
        <f>IF(OR(Q16="",S16=""),"","、")</f>
        <v/>
      </c>
      <c r="S16" s="2414" t="str">
        <f>IF(H17="","",H16&amp;TEXT(H17,"yyyy年m月d日;;"))</f>
        <v/>
      </c>
      <c r="T16" s="1680" t="str">
        <f>IF(OR(S16="",U16=""),"","、")</f>
        <v/>
      </c>
      <c r="U16" s="2414" t="str">
        <f>IF(I17="","",I16&amp;TEXT(I17,"yyyy年m月d日;;"))</f>
        <v/>
      </c>
    </row>
    <row r="17" spans="1:21">
      <c r="A17" s="1743"/>
      <c r="B17" s="1663"/>
      <c r="C17" s="1664" t="s">
        <v>1954</v>
      </c>
      <c r="D17" s="1681">
        <v>55981</v>
      </c>
      <c r="E17" s="1681">
        <v>52328</v>
      </c>
      <c r="F17" s="1681"/>
      <c r="G17" s="3277">
        <v>52328</v>
      </c>
      <c r="H17" s="1681"/>
      <c r="I17" s="1681"/>
      <c r="J17" s="1675"/>
      <c r="K17" s="2413" t="str">
        <f>CONCATENATE(K16,L16,M16,N16,O16,P16,Q16,R16,S16,T16,,U16)</f>
        <v>住宅2053年4月7日、商业2043年4月7日地下车库2043年4月7日</v>
      </c>
      <c r="L17" s="1704"/>
      <c r="M17" s="1704"/>
      <c r="N17" s="1675"/>
      <c r="O17" s="1676"/>
      <c r="P17" s="1675"/>
      <c r="Q17" s="1675"/>
      <c r="R17" s="1675"/>
      <c r="S17" s="1675"/>
      <c r="T17" s="1675"/>
      <c r="U17" s="1675"/>
    </row>
    <row r="18" spans="1:21">
      <c r="A18" s="1743"/>
      <c r="B18" s="1663"/>
      <c r="C18" s="1664" t="s">
        <v>1955</v>
      </c>
      <c r="D18" s="1665">
        <v>50</v>
      </c>
      <c r="E18" s="1665">
        <v>40</v>
      </c>
      <c r="F18" s="1665"/>
      <c r="G18" s="1665">
        <v>40</v>
      </c>
      <c r="H18" s="1665"/>
      <c r="I18" s="1665"/>
      <c r="J18" s="1675"/>
      <c r="K18" s="1754"/>
      <c r="L18" s="1704"/>
      <c r="M18" s="1704"/>
      <c r="N18" s="1675"/>
      <c r="O18" s="1676"/>
      <c r="P18" s="1675"/>
      <c r="Q18" s="1675"/>
      <c r="R18" s="1675"/>
      <c r="S18" s="1675"/>
      <c r="T18" s="1675"/>
      <c r="U18" s="1675"/>
    </row>
    <row r="19" spans="1:21">
      <c r="A19" s="1743"/>
      <c r="B19" s="1663"/>
      <c r="C19" s="1642" t="s">
        <v>1956</v>
      </c>
      <c r="D19" s="1739">
        <f>IF(B16="出让",IF(D17="","",ROUNDDOWN(MIN((D17-$D$3)/365,D18),2)),D18)</f>
        <v>33.909999999999997</v>
      </c>
      <c r="E19" s="1666">
        <f>IF(B16="出让",IF(E17="","",ROUNDDOWN(MIN((E17-$D$3)/365,E18),2)),E18)</f>
        <v>23.9</v>
      </c>
      <c r="F19" s="1666" t="str">
        <f>IF(B16="出让",IF(F17="","",ROUNDDOWN(MIN((F17-$D$3)/365,F18),2)),F18)</f>
        <v/>
      </c>
      <c r="G19" s="1666">
        <f>IF(B16="出让",IF(G17="","",ROUNDDOWN(MIN((G17-$D$3)/365,G18),2)),G18)</f>
        <v>23.9</v>
      </c>
      <c r="H19" s="1666" t="str">
        <f>IF(B16="出让",IF(H17="","",ROUNDDOWN(MIN((H17-$D$3)/365,H18),2)),H18)</f>
        <v/>
      </c>
      <c r="I19" s="1666" t="str">
        <f>IF(B16="出让",IF(I17="","",ROUNDDOWN(MIN((I17-$D$3)/365,I18),2)),I18)</f>
        <v/>
      </c>
      <c r="J19" s="1675"/>
      <c r="K19" s="1754"/>
      <c r="L19" s="1704"/>
      <c r="M19" s="1704"/>
      <c r="N19" s="1675"/>
      <c r="O19" s="1676"/>
      <c r="P19" s="1675"/>
      <c r="Q19" s="1675"/>
      <c r="R19" s="1675"/>
      <c r="S19" s="1675"/>
      <c r="T19" s="1675"/>
      <c r="U19" s="1675"/>
    </row>
    <row r="20" spans="1:21">
      <c r="A20" s="1766"/>
      <c r="B20" s="1767"/>
      <c r="C20" s="1768" t="s">
        <v>2057</v>
      </c>
      <c r="D20" s="3345" t="s">
        <v>3002</v>
      </c>
      <c r="E20" s="3346"/>
      <c r="F20" s="3346"/>
      <c r="G20" s="3346"/>
      <c r="H20" s="3346"/>
      <c r="I20" s="3347"/>
      <c r="J20" s="1675"/>
      <c r="K20" s="1754"/>
      <c r="L20" s="1704"/>
      <c r="M20" s="1704"/>
      <c r="N20" s="1675"/>
      <c r="O20" s="1676"/>
      <c r="P20" s="1675"/>
      <c r="Q20" s="1675"/>
      <c r="R20" s="1675"/>
      <c r="S20" s="1675"/>
      <c r="T20" s="1675"/>
      <c r="U20" s="1675"/>
    </row>
    <row r="21" spans="1:21">
      <c r="A21" s="1743" t="s">
        <v>1957</v>
      </c>
      <c r="B21" s="1744" t="s">
        <v>1958</v>
      </c>
      <c r="C21" s="1740">
        <f>'数据-汇总表'!E3</f>
        <v>394084</v>
      </c>
      <c r="D21" s="1741" t="s">
        <v>1959</v>
      </c>
      <c r="E21" s="3332" t="s">
        <v>1995</v>
      </c>
      <c r="F21" s="3333"/>
      <c r="G21" s="3333"/>
      <c r="H21" s="3333"/>
      <c r="I21" s="3334"/>
      <c r="J21" s="1675"/>
      <c r="K21" s="1754"/>
      <c r="L21" s="1704"/>
      <c r="M21" s="1704"/>
      <c r="N21" s="1675"/>
      <c r="O21" s="1676"/>
      <c r="P21" s="1675"/>
      <c r="Q21" s="1675"/>
      <c r="R21" s="1675"/>
      <c r="S21" s="1675"/>
      <c r="T21" s="1675"/>
      <c r="U21" s="1675"/>
    </row>
    <row r="22" spans="1:21">
      <c r="A22" s="3087" t="s">
        <v>951</v>
      </c>
      <c r="B22" s="1643" t="s">
        <v>1960</v>
      </c>
      <c r="C22" s="1667">
        <f>'数据-汇总表'!D3</f>
        <v>22838</v>
      </c>
      <c r="D22" s="1668" t="s">
        <v>1959</v>
      </c>
      <c r="E22" s="3335" t="s">
        <v>3001</v>
      </c>
      <c r="F22" s="3336"/>
      <c r="G22" s="3336"/>
      <c r="H22" s="3336"/>
      <c r="I22" s="3337"/>
      <c r="J22" s="1675"/>
      <c r="K22" s="1754"/>
      <c r="L22" s="1704"/>
      <c r="M22" s="1704"/>
      <c r="N22" s="1675"/>
      <c r="O22" s="1676"/>
      <c r="P22" s="1675"/>
      <c r="Q22" s="1675"/>
      <c r="R22" s="1675"/>
      <c r="S22" s="1675"/>
      <c r="T22" s="1675"/>
      <c r="U22" s="1675"/>
    </row>
    <row r="23" spans="1:21" ht="43.5" thickBot="1">
      <c r="A23" s="1745" t="s">
        <v>1961</v>
      </c>
      <c r="B23" s="1682" t="s">
        <v>1962</v>
      </c>
      <c r="C23" s="1683" t="s">
        <v>1677</v>
      </c>
      <c r="D23" s="1684" t="s">
        <v>1963</v>
      </c>
      <c r="E23" s="1685" t="s">
        <v>3003</v>
      </c>
      <c r="F23" s="1686" t="str">
        <f>IF(AND(C23="是",E23="否"),"是否提供他项权证或相关说明","")</f>
        <v>是否提供他项权证或相关说明</v>
      </c>
      <c r="G23" s="1687"/>
      <c r="H23" s="1675"/>
      <c r="I23" s="1688"/>
      <c r="J23" s="1675"/>
      <c r="K23" s="1754"/>
      <c r="L23" s="1704"/>
      <c r="M23" s="1704"/>
      <c r="N23" s="1675"/>
      <c r="O23" s="1676"/>
      <c r="P23" s="1675"/>
      <c r="Q23" s="1675"/>
      <c r="R23" s="1675"/>
      <c r="S23" s="1675"/>
      <c r="T23" s="1675"/>
      <c r="U23" s="1675"/>
    </row>
    <row r="24" spans="1:21">
      <c r="A24" s="1731" t="s">
        <v>1964</v>
      </c>
      <c r="B24" s="3338" t="s">
        <v>1965</v>
      </c>
      <c r="C24" s="3339"/>
      <c r="D24" s="3340" t="s">
        <v>1966</v>
      </c>
      <c r="E24" s="3341"/>
      <c r="F24" s="1689" t="s">
        <v>1967</v>
      </c>
      <c r="G24" s="1675"/>
      <c r="H24" s="1675"/>
      <c r="I24" s="1688"/>
      <c r="J24" s="1675"/>
      <c r="K24" s="3323" t="s">
        <v>1968</v>
      </c>
      <c r="L24" s="2415"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4"/>
      <c r="N24" s="1675"/>
      <c r="O24" s="1676"/>
      <c r="P24" s="1675"/>
      <c r="Q24" s="1675"/>
      <c r="R24" s="1675"/>
      <c r="S24" s="1675"/>
      <c r="T24" s="1675"/>
      <c r="U24" s="1675"/>
    </row>
    <row r="25" spans="1:21" ht="28.5">
      <c r="A25" s="1732"/>
      <c r="B25" s="1729" t="s">
        <v>2322</v>
      </c>
      <c r="C25" s="1690" t="s">
        <v>2323</v>
      </c>
      <c r="D25" s="1691"/>
      <c r="E25" s="1692" t="s">
        <v>951</v>
      </c>
      <c r="F25" s="1693"/>
      <c r="G25" s="1675"/>
      <c r="H25" s="1675"/>
      <c r="I25" s="1688"/>
      <c r="J25" s="1675"/>
      <c r="K25" s="3323"/>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323"/>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09" t="s">
        <v>1970</v>
      </c>
      <c r="E27" s="1695"/>
      <c r="F27" s="1669"/>
      <c r="G27" s="1675"/>
      <c r="H27" s="1675"/>
      <c r="I27" s="1688"/>
      <c r="J27" s="1675"/>
      <c r="K27" s="1754"/>
      <c r="L27" s="1704"/>
      <c r="M27" s="1704"/>
      <c r="N27" s="1675"/>
      <c r="O27" s="1676"/>
      <c r="P27" s="1675"/>
      <c r="Q27" s="1675"/>
      <c r="R27" s="1675"/>
      <c r="S27" s="1675"/>
      <c r="T27" s="1675"/>
      <c r="U27" s="1675"/>
    </row>
    <row r="28" spans="1:21">
      <c r="A28" s="1737"/>
      <c r="B28" s="1734" t="s">
        <v>1971</v>
      </c>
      <c r="C28" s="1696"/>
      <c r="D28" s="2610" t="s">
        <v>1971</v>
      </c>
      <c r="E28" s="1697"/>
      <c r="F28" s="1669"/>
      <c r="G28" s="1675"/>
      <c r="H28" s="1675"/>
      <c r="I28" s="1688"/>
      <c r="J28" s="1675"/>
      <c r="K28" s="1754"/>
      <c r="L28" s="1704"/>
      <c r="M28" s="1704"/>
      <c r="N28" s="1675"/>
      <c r="O28" s="1676"/>
      <c r="P28" s="1675"/>
      <c r="Q28" s="1675"/>
      <c r="R28" s="1675"/>
      <c r="S28" s="1675"/>
      <c r="T28" s="1675"/>
      <c r="U28" s="1675"/>
    </row>
    <row r="29" spans="1:21">
      <c r="A29" s="1737"/>
      <c r="B29" s="1734" t="s">
        <v>1972</v>
      </c>
      <c r="C29" s="1696"/>
      <c r="D29" s="2610" t="s">
        <v>1972</v>
      </c>
      <c r="E29" s="1697"/>
      <c r="F29" s="1669"/>
      <c r="G29" s="1675"/>
      <c r="H29" s="1675"/>
      <c r="I29" s="1688"/>
      <c r="J29" s="1675"/>
      <c r="K29" s="1754"/>
      <c r="L29" s="1704"/>
      <c r="M29" s="1704"/>
      <c r="N29" s="1675"/>
      <c r="O29" s="1676"/>
      <c r="P29" s="1675"/>
      <c r="Q29" s="1675"/>
      <c r="R29" s="1675"/>
      <c r="S29" s="1675"/>
      <c r="T29" s="1675"/>
      <c r="U29" s="1675"/>
    </row>
    <row r="30" spans="1:21" ht="15" thickBot="1">
      <c r="A30" s="1738"/>
      <c r="B30" s="1735" t="s">
        <v>1973</v>
      </c>
      <c r="C30" s="1698"/>
      <c r="D30" s="2611" t="s">
        <v>1973</v>
      </c>
      <c r="E30" s="1699"/>
      <c r="F30" s="1670"/>
      <c r="G30" s="1723"/>
      <c r="H30" s="1723"/>
      <c r="I30" s="1724"/>
      <c r="J30" s="1675"/>
      <c r="K30" s="1754"/>
      <c r="L30" s="1704"/>
      <c r="M30" s="1704"/>
      <c r="N30" s="1675"/>
      <c r="O30" s="1676"/>
      <c r="P30" s="1675"/>
      <c r="Q30" s="1675"/>
      <c r="R30" s="1675"/>
      <c r="S30" s="1675"/>
      <c r="T30" s="1675"/>
      <c r="U30" s="1675"/>
    </row>
    <row r="31" spans="1:21" ht="15" thickTop="1">
      <c r="A31" s="3356" t="s">
        <v>1998</v>
      </c>
      <c r="B31" s="1744" t="s">
        <v>1999</v>
      </c>
      <c r="C31" s="3354" t="s">
        <v>3004</v>
      </c>
      <c r="D31" s="3355"/>
      <c r="E31" s="1675"/>
      <c r="F31" s="1675"/>
      <c r="G31" s="1675"/>
      <c r="H31" s="1675"/>
      <c r="I31" s="1688"/>
      <c r="J31" s="1675"/>
      <c r="K31" s="2416"/>
      <c r="L31" s="1675"/>
      <c r="M31" s="1675"/>
      <c r="N31" s="1675"/>
      <c r="O31" s="1675"/>
      <c r="P31" s="1675"/>
      <c r="Q31" s="1675"/>
      <c r="R31" s="1675"/>
      <c r="S31" s="1675"/>
      <c r="T31" s="1675"/>
      <c r="U31" s="1675"/>
    </row>
    <row r="32" spans="1:21">
      <c r="A32" s="3356"/>
      <c r="B32" s="1643" t="s">
        <v>2000</v>
      </c>
      <c r="C32" s="1700" t="s">
        <v>3005</v>
      </c>
      <c r="D32" s="1701"/>
      <c r="E32" s="1675"/>
      <c r="F32" s="1675"/>
      <c r="G32" s="1675"/>
      <c r="H32" s="1675"/>
      <c r="I32" s="1688"/>
      <c r="J32" s="1675"/>
      <c r="K32" s="2416"/>
      <c r="L32" s="1675"/>
      <c r="M32" s="1675"/>
      <c r="N32" s="1675"/>
      <c r="O32" s="1675"/>
      <c r="P32" s="1675"/>
      <c r="Q32" s="1675"/>
      <c r="R32" s="1675"/>
      <c r="S32" s="1675"/>
      <c r="T32" s="1675"/>
      <c r="U32" s="1675"/>
    </row>
    <row r="33" spans="1:21">
      <c r="A33" s="3356"/>
      <c r="B33" s="1643" t="s">
        <v>2001</v>
      </c>
      <c r="C33" s="1702" t="s">
        <v>3003</v>
      </c>
      <c r="D33" s="1818"/>
      <c r="E33" s="1675"/>
      <c r="F33" s="1675"/>
      <c r="G33" s="1675"/>
      <c r="H33" s="1675"/>
      <c r="I33" s="1688"/>
      <c r="J33" s="1675"/>
      <c r="K33" s="2416"/>
      <c r="L33" s="1675"/>
      <c r="M33" s="1675"/>
      <c r="N33" s="1675"/>
      <c r="O33" s="1675"/>
      <c r="P33" s="1675"/>
      <c r="Q33" s="1675"/>
      <c r="R33" s="1675"/>
      <c r="S33" s="1675"/>
      <c r="T33" s="1675"/>
      <c r="U33" s="1675"/>
    </row>
    <row r="34" spans="1:21">
      <c r="A34" s="3357"/>
      <c r="B34" s="1643" t="s">
        <v>2002</v>
      </c>
      <c r="C34" s="3358"/>
      <c r="D34" s="3359"/>
      <c r="E34" s="1675"/>
      <c r="F34" s="1675"/>
      <c r="G34" s="1675"/>
      <c r="H34" s="1675"/>
      <c r="I34" s="1688"/>
      <c r="J34" s="1675"/>
      <c r="K34" s="2416"/>
      <c r="L34" s="1675"/>
      <c r="M34" s="1675"/>
      <c r="N34" s="1675"/>
      <c r="O34" s="1675"/>
      <c r="P34" s="1675"/>
      <c r="Q34" s="1675"/>
      <c r="R34" s="1675"/>
      <c r="S34" s="1675"/>
      <c r="T34" s="1675"/>
      <c r="U34" s="1675"/>
    </row>
    <row r="35" spans="1:21">
      <c r="A35" s="3360" t="s">
        <v>846</v>
      </c>
      <c r="B35" s="1703" t="s">
        <v>3006</v>
      </c>
      <c r="C35" s="1756" t="str">
        <f>IF(B35="场地平整","——","具体情况：")</f>
        <v>——</v>
      </c>
      <c r="D35" s="3362"/>
      <c r="E35" s="3363"/>
      <c r="F35" s="3363"/>
      <c r="G35" s="3363"/>
      <c r="H35" s="3363"/>
      <c r="I35" s="3364"/>
      <c r="J35" s="1675"/>
      <c r="K35" s="1755"/>
      <c r="L35" s="1704"/>
      <c r="M35" s="1704"/>
      <c r="N35" s="1675"/>
      <c r="O35" s="1676"/>
      <c r="P35" s="1675"/>
      <c r="Q35" s="1675"/>
      <c r="R35" s="1675"/>
      <c r="S35" s="1675"/>
      <c r="T35" s="1675"/>
      <c r="U35" s="1675"/>
    </row>
    <row r="36" spans="1:21">
      <c r="A36" s="3356"/>
      <c r="B36" s="3365" t="s">
        <v>2051</v>
      </c>
      <c r="C36" s="3366"/>
      <c r="D36" s="1772" t="s">
        <v>3007</v>
      </c>
      <c r="E36" s="3367"/>
      <c r="F36" s="3367"/>
      <c r="G36" s="1668" t="str">
        <f>IF(B35="场地未平整","估价结果处理","")</f>
        <v/>
      </c>
      <c r="H36" s="3368"/>
      <c r="I36" s="3368"/>
      <c r="J36" s="1675"/>
      <c r="K36" s="1755"/>
      <c r="L36" s="1704"/>
      <c r="M36" s="1704"/>
      <c r="N36" s="1675"/>
      <c r="O36" s="1676"/>
      <c r="P36" s="1675"/>
      <c r="Q36" s="1675"/>
      <c r="R36" s="1675"/>
      <c r="S36" s="1675"/>
      <c r="T36" s="1675"/>
      <c r="U36" s="1675"/>
    </row>
    <row r="37" spans="1:21" ht="28.5">
      <c r="A37" s="3356"/>
      <c r="B37" s="3342" t="s">
        <v>847</v>
      </c>
      <c r="C37" s="1705" t="s">
        <v>848</v>
      </c>
      <c r="D37" s="1706"/>
      <c r="E37" s="1707"/>
      <c r="F37" s="1675"/>
      <c r="G37" s="1675"/>
      <c r="H37" s="1675"/>
      <c r="I37" s="1688"/>
      <c r="J37" s="1675"/>
      <c r="K37" s="1755"/>
      <c r="L37" s="1675"/>
      <c r="M37" s="1675"/>
      <c r="N37" s="1675"/>
      <c r="O37" s="1675"/>
      <c r="P37" s="1675"/>
      <c r="Q37" s="1675"/>
      <c r="R37" s="1675"/>
      <c r="S37" s="1675"/>
      <c r="T37" s="1675"/>
      <c r="U37" s="1675"/>
    </row>
    <row r="38" spans="1:21">
      <c r="A38" s="3356"/>
      <c r="B38" s="3343"/>
      <c r="C38" s="1651" t="s">
        <v>849</v>
      </c>
      <c r="D38" s="1771">
        <f>ROUNDDOWN(MIN(('数据-取费表'!$B$2-D37)/365,D34),1)</f>
        <v>119.4</v>
      </c>
      <c r="E38" s="1708" t="s">
        <v>850</v>
      </c>
      <c r="F38" s="1675"/>
      <c r="G38" s="1675"/>
      <c r="H38" s="1675"/>
      <c r="I38" s="1688"/>
      <c r="J38" s="1675"/>
      <c r="K38" s="1755"/>
      <c r="L38" s="1675"/>
      <c r="M38" s="1675"/>
      <c r="N38" s="1675"/>
      <c r="O38" s="1675"/>
      <c r="P38" s="1675"/>
      <c r="Q38" s="1675"/>
      <c r="R38" s="1675"/>
      <c r="S38" s="1675"/>
      <c r="T38" s="1675"/>
      <c r="U38" s="1675"/>
    </row>
    <row r="39" spans="1:21">
      <c r="A39" s="3357"/>
      <c r="B39" s="334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4"/>
      <c r="L39" s="1704"/>
      <c r="M39" s="1704"/>
      <c r="N39" s="1675"/>
      <c r="O39" s="1676"/>
      <c r="P39" s="1675"/>
      <c r="Q39" s="1675"/>
      <c r="R39" s="1675"/>
      <c r="S39" s="1675"/>
      <c r="T39" s="1675"/>
      <c r="U39" s="1675"/>
    </row>
    <row r="40" spans="1:21">
      <c r="A40" s="1668" t="s">
        <v>1974</v>
      </c>
      <c r="B40" s="1671" t="s">
        <v>3008</v>
      </c>
      <c r="C40" s="1671" t="s">
        <v>3009</v>
      </c>
      <c r="D40" s="1671" t="s">
        <v>3010</v>
      </c>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322" t="s">
        <v>1982</v>
      </c>
      <c r="T40" s="1712" t="str">
        <f>NUMBERSTRING(7-K40,1)&amp;"通"</f>
        <v>七通</v>
      </c>
      <c r="U40" s="1675"/>
    </row>
    <row r="41" spans="1:21">
      <c r="A41" s="1645"/>
      <c r="B41" s="3361" t="s">
        <v>1720</v>
      </c>
      <c r="C41" s="3361"/>
      <c r="D41" s="3361"/>
      <c r="E41" s="3361"/>
      <c r="F41" s="1713" t="str">
        <f>C10</f>
        <v>重庆市</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322"/>
      <c r="T41" s="1714" t="str">
        <f>IF(T40="一通",L41,IF(T40="二通",M41,IF(T40="三通",N41,IF(T40="四通",O41,IF(T40="五通",P41,IF(T40="六通",Q41,R41))))))</f>
        <v>通路、通电、通上水、、、、</v>
      </c>
      <c r="U41" s="1675"/>
    </row>
    <row r="42" spans="1:21">
      <c r="A42" s="1716"/>
      <c r="B42" s="1746" t="s">
        <v>1896</v>
      </c>
      <c r="C42" s="1746" t="s">
        <v>1897</v>
      </c>
      <c r="D42" s="1746" t="s">
        <v>1898</v>
      </c>
      <c r="E42" s="1680" t="s">
        <v>1899</v>
      </c>
      <c r="F42" s="1717"/>
      <c r="G42" s="1675"/>
      <c r="H42" s="1675"/>
      <c r="I42" s="1688"/>
      <c r="J42" s="1675"/>
      <c r="K42" s="1754"/>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4"/>
      <c r="L43" s="1704"/>
      <c r="M43" s="1704"/>
      <c r="N43" s="1675"/>
      <c r="O43" s="1676"/>
      <c r="P43" s="1675"/>
      <c r="Q43" s="1675"/>
      <c r="R43" s="1675"/>
      <c r="S43" s="1675"/>
      <c r="T43" s="1675"/>
      <c r="U43" s="1675"/>
    </row>
    <row r="44" spans="1:21">
      <c r="A44" s="1718" t="s">
        <v>1706</v>
      </c>
      <c r="B44" s="1719"/>
      <c r="C44" s="1719"/>
      <c r="D44" s="1719"/>
      <c r="E44" s="1772"/>
      <c r="F44" s="1720"/>
      <c r="G44" s="1675"/>
      <c r="H44" s="1675"/>
      <c r="I44" s="1688"/>
      <c r="J44" s="1675"/>
      <c r="K44" s="1754"/>
      <c r="L44" s="1704"/>
      <c r="M44" s="1704"/>
      <c r="N44" s="1675"/>
      <c r="O44" s="1676"/>
      <c r="P44" s="1675"/>
      <c r="Q44" s="1675"/>
      <c r="R44" s="1675"/>
      <c r="S44" s="1675"/>
      <c r="T44" s="1675"/>
      <c r="U44" s="1675"/>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5"/>
      <c r="B46" s="1675"/>
      <c r="C46" s="1675"/>
      <c r="D46" s="1675"/>
      <c r="E46" s="1675"/>
      <c r="F46" s="1675"/>
      <c r="G46" s="1675"/>
      <c r="H46" s="1675"/>
      <c r="I46" s="1688"/>
      <c r="J46" s="1675"/>
      <c r="K46" s="1754"/>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4"/>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2" t="s">
        <v>2013</v>
      </c>
      <c r="K48" s="1746" t="s">
        <v>2014</v>
      </c>
      <c r="L48" s="1746" t="s">
        <v>2015</v>
      </c>
      <c r="M48" s="1746"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8" t="s">
        <v>2330</v>
      </c>
      <c r="BA2" s="2319"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E2增容面积表!C1</f>
        <v>22838</v>
      </c>
      <c r="B3" s="22">
        <f>IF(C3="否",G5-AT5,G5)</f>
        <v>394084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0"/>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394084</v>
      </c>
      <c r="H5" s="27">
        <f t="shared" ref="H5:AT5" si="0">SUM(H13:H641)</f>
        <v>368754</v>
      </c>
      <c r="I5" s="27">
        <f t="shared" si="0"/>
        <v>66390</v>
      </c>
      <c r="J5" s="27">
        <f t="shared" si="0"/>
        <v>0</v>
      </c>
      <c r="K5" s="27">
        <f t="shared" si="0"/>
        <v>52000</v>
      </c>
      <c r="L5" s="27">
        <f t="shared" si="0"/>
        <v>0</v>
      </c>
      <c r="M5" s="27">
        <f t="shared" si="0"/>
        <v>124382</v>
      </c>
      <c r="N5" s="27">
        <f t="shared" si="0"/>
        <v>0</v>
      </c>
      <c r="O5" s="27">
        <f t="shared" si="0"/>
        <v>125982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25330</v>
      </c>
      <c r="AD5" s="27">
        <f t="shared" si="0"/>
        <v>3450</v>
      </c>
      <c r="AE5" s="27">
        <f t="shared" si="0"/>
        <v>0</v>
      </c>
      <c r="AF5" s="27">
        <f t="shared" si="0"/>
        <v>0</v>
      </c>
      <c r="AG5" s="27">
        <f t="shared" si="0"/>
        <v>0</v>
      </c>
      <c r="AH5" s="27">
        <f t="shared" si="0"/>
        <v>350</v>
      </c>
      <c r="AI5" s="27">
        <f t="shared" si="0"/>
        <v>0</v>
      </c>
      <c r="AJ5" s="27">
        <f t="shared" si="0"/>
        <v>0</v>
      </c>
      <c r="AK5" s="27">
        <f t="shared" si="0"/>
        <v>0</v>
      </c>
      <c r="AL5" s="27">
        <f t="shared" si="0"/>
        <v>630</v>
      </c>
      <c r="AM5" s="27">
        <f t="shared" si="0"/>
        <v>0</v>
      </c>
      <c r="AN5" s="27">
        <f t="shared" si="0"/>
        <v>20900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394084</v>
      </c>
      <c r="BA5" s="29">
        <f t="shared" si="1"/>
        <v>368754</v>
      </c>
      <c r="BB5" s="29">
        <f t="shared" si="1"/>
        <v>66390</v>
      </c>
      <c r="BC5" s="29">
        <f t="shared" si="1"/>
        <v>52000</v>
      </c>
      <c r="BD5" s="29">
        <f t="shared" si="1"/>
        <v>124382</v>
      </c>
      <c r="BE5" s="29">
        <f t="shared" si="1"/>
        <v>125982</v>
      </c>
      <c r="BF5" s="29">
        <f t="shared" si="1"/>
        <v>0</v>
      </c>
      <c r="BG5" s="29">
        <f t="shared" si="1"/>
        <v>0</v>
      </c>
      <c r="BH5" s="29">
        <f t="shared" si="1"/>
        <v>0</v>
      </c>
      <c r="BI5" s="29">
        <f t="shared" si="1"/>
        <v>0</v>
      </c>
      <c r="BJ5" s="29">
        <f t="shared" si="1"/>
        <v>0</v>
      </c>
      <c r="BK5" s="29">
        <f t="shared" si="1"/>
        <v>0</v>
      </c>
      <c r="BL5" s="29">
        <f t="shared" si="1"/>
        <v>25330</v>
      </c>
      <c r="BM5" s="29">
        <f t="shared" si="1"/>
        <v>3450</v>
      </c>
      <c r="BN5" s="29">
        <f t="shared" si="1"/>
        <v>0</v>
      </c>
      <c r="BO5" s="29">
        <f t="shared" si="1"/>
        <v>350</v>
      </c>
      <c r="BP5" s="29">
        <f t="shared" si="1"/>
        <v>0</v>
      </c>
      <c r="BQ5" s="29">
        <f t="shared" si="1"/>
        <v>630</v>
      </c>
      <c r="BR5" s="29">
        <f t="shared" si="1"/>
        <v>20900</v>
      </c>
      <c r="BS5" s="29">
        <f t="shared" si="1"/>
        <v>0</v>
      </c>
      <c r="BT5" s="30">
        <f t="shared" si="1"/>
        <v>0</v>
      </c>
    </row>
    <row r="6" spans="1:72" s="37" customFormat="1" ht="12.75">
      <c r="A6" s="26" t="s">
        <v>169</v>
      </c>
      <c r="B6" s="31"/>
      <c r="C6" s="31"/>
      <c r="D6" s="32"/>
      <c r="E6" s="27">
        <f>H6+AC6+AT6</f>
        <v>22837.989999999998</v>
      </c>
      <c r="F6" s="27" t="s">
        <v>1</v>
      </c>
      <c r="G6" s="27" t="s">
        <v>2</v>
      </c>
      <c r="H6" s="33">
        <f>SUMIF(I$12:AB$12,"总值",I6:AB6)</f>
        <v>21370.07</v>
      </c>
      <c r="I6" s="27">
        <f t="shared" ref="I6:AB6" si="2">ROUND($A$3*I5/$B$3,2)</f>
        <v>3847.44</v>
      </c>
      <c r="J6" s="27">
        <f t="shared" si="2"/>
        <v>0</v>
      </c>
      <c r="K6" s="27">
        <f t="shared" si="2"/>
        <v>3013.51</v>
      </c>
      <c r="L6" s="27">
        <f t="shared" si="2"/>
        <v>0</v>
      </c>
      <c r="M6" s="27">
        <f t="shared" si="2"/>
        <v>7208.2</v>
      </c>
      <c r="N6" s="27">
        <f t="shared" si="2"/>
        <v>0</v>
      </c>
      <c r="O6" s="27">
        <f t="shared" si="2"/>
        <v>7300.92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1467.92</v>
      </c>
      <c r="AD6" s="27">
        <f t="shared" ref="AD6:AS6" si="3">ROUND($A$3*AD5/$B$3,2)</f>
        <v>199.93</v>
      </c>
      <c r="AE6" s="27">
        <f t="shared" si="3"/>
        <v>0</v>
      </c>
      <c r="AF6" s="27">
        <f t="shared" si="3"/>
        <v>0</v>
      </c>
      <c r="AG6" s="27">
        <f t="shared" si="3"/>
        <v>0</v>
      </c>
      <c r="AH6" s="27">
        <f t="shared" si="3"/>
        <v>20.28</v>
      </c>
      <c r="AI6" s="27">
        <f t="shared" si="3"/>
        <v>0</v>
      </c>
      <c r="AJ6" s="27">
        <f t="shared" si="3"/>
        <v>0</v>
      </c>
      <c r="AK6" s="27">
        <f t="shared" si="3"/>
        <v>0</v>
      </c>
      <c r="AL6" s="27">
        <f t="shared" si="3"/>
        <v>36.51</v>
      </c>
      <c r="AM6" s="27">
        <f t="shared" si="3"/>
        <v>0</v>
      </c>
      <c r="AN6" s="27">
        <f t="shared" si="3"/>
        <v>1211.2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22838</v>
      </c>
      <c r="AZ6" s="27" t="s">
        <v>3</v>
      </c>
      <c r="BA6" s="27">
        <f>ROUND($AY$6*BA5/$AZ$5,2)</f>
        <v>21370.07</v>
      </c>
      <c r="BB6" s="27">
        <f>ROUND($AY$6*BB5/$AZ$5,2)</f>
        <v>3847.44</v>
      </c>
      <c r="BC6" s="27">
        <f t="shared" ref="BC6:BH6" si="4">ROUND($AY$6*BC5/$AZ$5,2)</f>
        <v>3013.51</v>
      </c>
      <c r="BD6" s="27">
        <f t="shared" si="4"/>
        <v>7208.2</v>
      </c>
      <c r="BE6" s="27">
        <f t="shared" si="4"/>
        <v>7300.92</v>
      </c>
      <c r="BF6" s="27">
        <f t="shared" si="4"/>
        <v>0</v>
      </c>
      <c r="BG6" s="27">
        <f t="shared" si="4"/>
        <v>0</v>
      </c>
      <c r="BH6" s="27">
        <f t="shared" si="4"/>
        <v>0</v>
      </c>
      <c r="BI6" s="27">
        <f t="shared" ref="BI6:BT6" si="5">ROUND($AY$6*BI5/$AZ$5,2)</f>
        <v>0</v>
      </c>
      <c r="BJ6" s="27">
        <f t="shared" si="5"/>
        <v>0</v>
      </c>
      <c r="BK6" s="27">
        <f t="shared" si="5"/>
        <v>0</v>
      </c>
      <c r="BL6" s="27">
        <f t="shared" si="5"/>
        <v>1467.93</v>
      </c>
      <c r="BM6" s="27">
        <f t="shared" si="5"/>
        <v>199.93</v>
      </c>
      <c r="BN6" s="27">
        <f t="shared" si="5"/>
        <v>0</v>
      </c>
      <c r="BO6" s="27">
        <f t="shared" si="5"/>
        <v>20.28</v>
      </c>
      <c r="BP6" s="27">
        <f t="shared" si="5"/>
        <v>0</v>
      </c>
      <c r="BQ6" s="27">
        <f t="shared" si="5"/>
        <v>36.51</v>
      </c>
      <c r="BR6" s="27">
        <f t="shared" si="5"/>
        <v>1211.2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6"/>
      <c r="AT8" s="230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4" t="s">
        <v>3277</v>
      </c>
      <c r="J9" s="51"/>
      <c r="K9" s="2964" t="s">
        <v>3281</v>
      </c>
      <c r="L9" s="51"/>
      <c r="M9" s="2964" t="s">
        <v>3277</v>
      </c>
      <c r="N9" s="51"/>
      <c r="O9" s="59" t="s">
        <v>3277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4" t="s">
        <v>922</v>
      </c>
      <c r="J10" s="51"/>
      <c r="K10" s="2966" t="s">
        <v>3283</v>
      </c>
      <c r="L10" s="51"/>
      <c r="M10" s="2966" t="s">
        <v>922</v>
      </c>
      <c r="N10" s="51"/>
      <c r="O10" s="66" t="s">
        <v>3322</v>
      </c>
      <c r="P10" s="51"/>
      <c r="Q10" s="66"/>
      <c r="R10" s="51"/>
      <c r="S10" s="66"/>
      <c r="T10" s="51"/>
      <c r="U10" s="66"/>
      <c r="V10" s="51"/>
      <c r="W10" s="66"/>
      <c r="X10" s="51"/>
      <c r="Y10" s="66"/>
      <c r="Z10" s="51"/>
      <c r="AA10" s="66"/>
      <c r="AB10" s="51"/>
      <c r="AC10" s="55"/>
      <c r="AD10" s="2293" t="s">
        <v>2314</v>
      </c>
      <c r="AE10" s="2315"/>
      <c r="AF10" s="2293" t="s">
        <v>2314</v>
      </c>
      <c r="AG10" s="2315"/>
      <c r="AH10" s="2293" t="s">
        <v>2315</v>
      </c>
      <c r="AI10" s="2315"/>
      <c r="AJ10" s="26" t="s">
        <v>2328</v>
      </c>
      <c r="AK10" s="2312"/>
      <c r="AL10" s="2293" t="s">
        <v>2316</v>
      </c>
      <c r="AM10" s="2294"/>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2327</v>
      </c>
      <c r="AE11" s="1001"/>
      <c r="AF11" s="2313" t="s">
        <v>2327</v>
      </c>
      <c r="AG11" s="1001"/>
      <c r="AH11" s="2313" t="s">
        <v>2326</v>
      </c>
      <c r="AI11" s="2314"/>
      <c r="AJ11" s="2313" t="s">
        <v>2326</v>
      </c>
      <c r="AK11" s="2312"/>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t="str">
        <f>M10</f>
        <v>住宅</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9"/>
      <c r="B13" s="2959"/>
      <c r="C13" s="2959"/>
      <c r="D13" s="2960" t="s">
        <v>1677</v>
      </c>
      <c r="E13" s="27">
        <f t="shared" ref="E13:E20" si="6">IF($C$3="是",ROUND($A$3*G13/$B$3,2),ROUND($A$3*(G13-AT13)/$B$3,2))</f>
        <v>22838</v>
      </c>
      <c r="F13" s="81"/>
      <c r="G13" s="82">
        <f t="shared" ref="G13:G20" si="7">H13+AC13+AT13</f>
        <v>394084</v>
      </c>
      <c r="H13" s="33">
        <f t="shared" ref="H13:H20" si="8">SUMIF(I$12:AB$12,"总值",I13:AB13)</f>
        <v>368754</v>
      </c>
      <c r="I13" s="2963">
        <f>E2增容面积表!H1</f>
        <v>66390</v>
      </c>
      <c r="J13" s="2963"/>
      <c r="K13" s="2963">
        <f>E2增容面积表!H8</f>
        <v>52000</v>
      </c>
      <c r="L13" s="2963"/>
      <c r="M13" s="2963">
        <f>E2增容面积表!H2</f>
        <v>124382</v>
      </c>
      <c r="N13" s="83"/>
      <c r="O13" s="83">
        <f>E2增容面积表!H3</f>
        <v>125982</v>
      </c>
      <c r="P13" s="83"/>
      <c r="Q13" s="83"/>
      <c r="R13" s="83"/>
      <c r="S13" s="83"/>
      <c r="T13" s="83"/>
      <c r="U13" s="83"/>
      <c r="V13" s="83"/>
      <c r="W13" s="83"/>
      <c r="X13" s="83"/>
      <c r="Y13" s="83"/>
      <c r="Z13" s="83"/>
      <c r="AA13" s="83"/>
      <c r="AB13" s="83"/>
      <c r="AC13" s="27">
        <f t="shared" ref="AC13:AC20" si="9">SUMIF(AD$12:AS$12,"总值",AD13:AS13)</f>
        <v>25330</v>
      </c>
      <c r="AD13" s="2967">
        <f>E2增容面积表!H4</f>
        <v>3450</v>
      </c>
      <c r="AE13" s="2967"/>
      <c r="AF13" s="2967"/>
      <c r="AG13" s="2967"/>
      <c r="AH13" s="2967">
        <f>E2增容面积表!H5</f>
        <v>350</v>
      </c>
      <c r="AI13" s="2967"/>
      <c r="AJ13" s="2967"/>
      <c r="AK13" s="2967"/>
      <c r="AL13" s="2967">
        <f>E2增容面积表!H6</f>
        <v>630</v>
      </c>
      <c r="AM13" s="2967"/>
      <c r="AN13" s="2967">
        <f>E2增容面积表!H9</f>
        <v>20900</v>
      </c>
      <c r="AO13" s="2967"/>
      <c r="AP13" s="2967"/>
      <c r="AQ13" s="2967"/>
      <c r="AR13" s="2967"/>
      <c r="AS13" s="2967"/>
      <c r="AT13" s="2968"/>
      <c r="AU13" s="2969"/>
      <c r="AV13" s="17">
        <f t="shared" ref="AV13:AX20" si="10">A13</f>
        <v>0</v>
      </c>
      <c r="AW13" s="17">
        <f t="shared" si="10"/>
        <v>0</v>
      </c>
      <c r="AX13" s="17">
        <f t="shared" si="10"/>
        <v>0</v>
      </c>
      <c r="AY13" s="995">
        <f t="shared" ref="AY13:AY20" si="11">ROUND($AY$6*AZ13/$AZ$5,2)</f>
        <v>22838</v>
      </c>
      <c r="AZ13" s="27">
        <f t="shared" ref="AZ13:AZ20" si="12">BA13+BL13</f>
        <v>394084</v>
      </c>
      <c r="BA13" s="27">
        <f t="shared" ref="BA13:BA20" si="13">SUM(BB13:BK13)</f>
        <v>368754</v>
      </c>
      <c r="BB13" s="27">
        <f t="shared" ref="BB13:BB20" si="14">IF($D13="是",I13-J13,0)</f>
        <v>66390</v>
      </c>
      <c r="BC13" s="27">
        <f t="shared" ref="BC13:BC20" si="15">IF($D13="是",K13-L13,0)</f>
        <v>52000</v>
      </c>
      <c r="BD13" s="27">
        <f t="shared" ref="BD13:BD20" si="16">IF($D13="是",M13-N13,0)</f>
        <v>124382</v>
      </c>
      <c r="BE13" s="27">
        <f t="shared" ref="BE13:BE20" si="17">IF($D13="是",O13-P13,0)</f>
        <v>125982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25330</v>
      </c>
      <c r="BM13" s="27">
        <f t="shared" ref="BM13:BM20" si="25">IF($D13="是",AD13-AE13,0)</f>
        <v>3450</v>
      </c>
      <c r="BN13" s="27">
        <f t="shared" ref="BN13:BN20" si="26">IF($D13="是",AF13-AG13,0)</f>
        <v>0</v>
      </c>
      <c r="BO13" s="27">
        <f t="shared" ref="BO13:BO20" si="27">IF($D13="是",AH13-AI13,0)</f>
        <v>350</v>
      </c>
      <c r="BP13" s="27">
        <f t="shared" ref="BP13:BP20" si="28">IF($D13="是",AJ13-AK13,0)</f>
        <v>0</v>
      </c>
      <c r="BQ13" s="27">
        <f t="shared" ref="BQ13:BQ20" si="29">IF($D13="是",AL13-AM13,0)</f>
        <v>630</v>
      </c>
      <c r="BR13" s="27">
        <f t="shared" ref="BR13:BR20" si="30">IF($D13="是",AN13-AO13,0)</f>
        <v>20900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9" t="s">
        <v>0</v>
      </c>
      <c r="B1" s="3369" t="s">
        <v>4</v>
      </c>
      <c r="C1" s="3369" t="s">
        <v>5</v>
      </c>
      <c r="D1" s="3370" t="s">
        <v>40</v>
      </c>
      <c r="E1" s="3370" t="s">
        <v>41</v>
      </c>
      <c r="F1" s="3370"/>
      <c r="G1" s="3370"/>
      <c r="H1" s="3370"/>
      <c r="I1" s="3370"/>
      <c r="J1" s="3370"/>
      <c r="K1" s="3370"/>
      <c r="L1" s="3370"/>
      <c r="M1" s="3370"/>
    </row>
    <row r="2" spans="1:13" ht="27" customHeight="1">
      <c r="A2" s="3369"/>
      <c r="B2" s="3369"/>
      <c r="C2" s="3369"/>
      <c r="D2" s="3370"/>
      <c r="E2" s="3370" t="s">
        <v>24</v>
      </c>
      <c r="F2" s="3370" t="s">
        <v>25</v>
      </c>
      <c r="G2" s="3370"/>
      <c r="H2" s="3370"/>
      <c r="I2" s="3370"/>
      <c r="J2" s="3370" t="s">
        <v>26</v>
      </c>
      <c r="K2" s="3370"/>
      <c r="L2" s="3370"/>
      <c r="M2" s="3370"/>
    </row>
    <row r="3" spans="1:13" ht="28.5">
      <c r="A3" s="3369"/>
      <c r="B3" s="3369"/>
      <c r="C3" s="3369"/>
      <c r="D3" s="3370"/>
      <c r="E3" s="33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0" t="s">
        <v>42</v>
      </c>
      <c r="B9" s="3370"/>
      <c r="C9" s="33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18" sqref="C18"/>
    </sheetView>
  </sheetViews>
  <sheetFormatPr defaultRowHeight="13.5"/>
  <cols>
    <col min="1" max="1" width="25" customWidth="1"/>
    <col min="7" max="7" width="11.25" customWidth="1"/>
    <col min="10" max="10" width="11.125" customWidth="1"/>
  </cols>
  <sheetData>
    <row r="1" spans="1:11" ht="29.25" customHeight="1">
      <c r="A1" s="2" t="s">
        <v>3497</v>
      </c>
      <c r="B1" t="s">
        <v>3498</v>
      </c>
      <c r="C1">
        <v>22838</v>
      </c>
      <c r="D1">
        <v>7667</v>
      </c>
      <c r="E1">
        <v>3.07</v>
      </c>
      <c r="F1" t="s">
        <v>3277</v>
      </c>
      <c r="G1" t="s">
        <v>922</v>
      </c>
      <c r="H1">
        <v>66390</v>
      </c>
      <c r="I1" t="s">
        <v>3277</v>
      </c>
      <c r="J1" t="s">
        <v>922</v>
      </c>
      <c r="K1">
        <v>22287.95</v>
      </c>
    </row>
    <row r="2" spans="1:11" ht="29.25" customHeight="1">
      <c r="A2" s="2"/>
      <c r="G2" s="3292" t="s">
        <v>3501</v>
      </c>
      <c r="H2">
        <v>124382</v>
      </c>
      <c r="J2" s="3292" t="s">
        <v>3501</v>
      </c>
      <c r="K2">
        <f>ROUND($D$1/$C$1*H2,2)</f>
        <v>41756.58</v>
      </c>
    </row>
    <row r="3" spans="1:11" ht="29.25" customHeight="1">
      <c r="A3" s="2"/>
      <c r="G3" s="3292" t="s">
        <v>3502</v>
      </c>
      <c r="H3">
        <v>125982</v>
      </c>
      <c r="J3" s="3292" t="s">
        <v>3502</v>
      </c>
      <c r="K3">
        <f>ROUND($D$1/$C$1*H3,2)</f>
        <v>42293.72</v>
      </c>
    </row>
    <row r="4" spans="1:11">
      <c r="G4" t="s">
        <v>2312</v>
      </c>
      <c r="H4">
        <v>3450</v>
      </c>
      <c r="J4" t="s">
        <v>2312</v>
      </c>
      <c r="K4">
        <v>1158.21</v>
      </c>
    </row>
    <row r="5" spans="1:11">
      <c r="G5" t="s">
        <v>3499</v>
      </c>
      <c r="H5">
        <v>350</v>
      </c>
      <c r="J5" t="s">
        <v>3499</v>
      </c>
      <c r="K5">
        <v>117.5</v>
      </c>
    </row>
    <row r="6" spans="1:11">
      <c r="G6" t="s">
        <v>3500</v>
      </c>
      <c r="H6">
        <v>630</v>
      </c>
      <c r="J6" t="s">
        <v>3500</v>
      </c>
      <c r="K6">
        <v>211.5</v>
      </c>
    </row>
    <row r="7" spans="1:11">
      <c r="F7" t="s">
        <v>27</v>
      </c>
      <c r="H7">
        <f>H1+H2+H3+H4+H5+H6</f>
        <v>321184</v>
      </c>
      <c r="I7" t="s">
        <v>27</v>
      </c>
      <c r="K7">
        <f>K1+K2+K3+K4+K5+K6</f>
        <v>107825.46</v>
      </c>
    </row>
    <row r="8" spans="1:11">
      <c r="F8" t="s">
        <v>3281</v>
      </c>
      <c r="G8" t="s">
        <v>3283</v>
      </c>
      <c r="H8">
        <v>52000</v>
      </c>
      <c r="I8" t="s">
        <v>3281</v>
      </c>
      <c r="J8" t="s">
        <v>3283</v>
      </c>
      <c r="K8">
        <v>17457.05</v>
      </c>
    </row>
    <row r="9" spans="1:11">
      <c r="G9" t="s">
        <v>3500</v>
      </c>
      <c r="H9">
        <v>20900</v>
      </c>
      <c r="J9" t="s">
        <v>3500</v>
      </c>
      <c r="K9">
        <v>7016.39</v>
      </c>
    </row>
    <row r="10" spans="1:11">
      <c r="F10" t="s">
        <v>27</v>
      </c>
      <c r="H10">
        <v>72900</v>
      </c>
      <c r="I10" t="s">
        <v>27</v>
      </c>
      <c r="K10">
        <v>24473.439999999999</v>
      </c>
    </row>
    <row r="11" spans="1:11">
      <c r="F11" t="s">
        <v>24</v>
      </c>
      <c r="H11">
        <f>H7+H10</f>
        <v>394084</v>
      </c>
      <c r="I11" t="s">
        <v>24</v>
      </c>
      <c r="K11">
        <f>K7+K10</f>
        <v>132298.9</v>
      </c>
    </row>
    <row r="13" spans="1:11">
      <c r="B13" s="3292" t="s">
        <v>3511</v>
      </c>
      <c r="C13">
        <f ca="1">系统读取表!F14</f>
        <v>145159</v>
      </c>
    </row>
    <row r="14" spans="1:11">
      <c r="B14" s="3292" t="s">
        <v>3512</v>
      </c>
      <c r="C14">
        <f ca="1">ROUND(C13*D1/10000,0)</f>
        <v>111293</v>
      </c>
    </row>
    <row r="15" spans="1:11">
      <c r="B15" s="3292" t="s">
        <v>3513</v>
      </c>
      <c r="C15">
        <f ca="1">系统读取表!D14-E2增容面积表!C14</f>
        <v>220222</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topLeftCell="A16" zoomScaleNormal="100" workbookViewId="0">
      <selection activeCell="A40" sqref="A40:K48"/>
    </sheetView>
  </sheetViews>
  <sheetFormatPr defaultRowHeight="12.75"/>
  <cols>
    <col min="1" max="1" width="18.625" style="3175" customWidth="1"/>
    <col min="2" max="2" width="9.125" style="3175" customWidth="1"/>
    <col min="3" max="3" width="8.125" style="3175" customWidth="1"/>
    <col min="4" max="4" width="14.375" style="3175" customWidth="1"/>
    <col min="5" max="5" width="9.125" style="3175" customWidth="1"/>
    <col min="6" max="6" width="7.125" style="3175" customWidth="1"/>
    <col min="7" max="7" width="8.125" style="3175" customWidth="1"/>
    <col min="8" max="8" width="7.5" style="3175" customWidth="1"/>
    <col min="9" max="9" width="8.5" style="3175" customWidth="1"/>
    <col min="10" max="10" width="7.875" style="3175" customWidth="1"/>
    <col min="11" max="11" width="8.75" style="3175" customWidth="1"/>
    <col min="12" max="16384" width="9" style="3175"/>
  </cols>
  <sheetData>
    <row r="1" spans="1:11" ht="25.5" customHeight="1">
      <c r="A1" s="3191" t="s">
        <v>3293</v>
      </c>
      <c r="B1" s="3191" t="s">
        <v>3294</v>
      </c>
      <c r="C1" s="3191" t="s">
        <v>3295</v>
      </c>
      <c r="D1" s="3227" t="s">
        <v>3375</v>
      </c>
      <c r="E1" s="3191" t="s">
        <v>3296</v>
      </c>
      <c r="F1" s="3373" t="s">
        <v>3297</v>
      </c>
      <c r="G1" s="3374"/>
      <c r="H1" s="3375"/>
      <c r="I1" s="3373" t="s">
        <v>3298</v>
      </c>
      <c r="J1" s="3374"/>
      <c r="K1" s="3375"/>
    </row>
    <row r="2" spans="1:11" ht="27" customHeight="1">
      <c r="A2" s="3376" t="s">
        <v>3299</v>
      </c>
      <c r="B2" s="3376" t="s">
        <v>3213</v>
      </c>
      <c r="C2" s="3376">
        <f>地块分布情况!C10</f>
        <v>38270.76</v>
      </c>
      <c r="D2" s="3376">
        <v>6813</v>
      </c>
      <c r="E2" s="3376">
        <v>1.65</v>
      </c>
      <c r="F2" s="3376" t="s">
        <v>3286</v>
      </c>
      <c r="G2" s="3191" t="s">
        <v>3287</v>
      </c>
      <c r="H2" s="3191">
        <f>A3总规划!F12</f>
        <v>59500</v>
      </c>
      <c r="I2" s="3376" t="s">
        <v>3286</v>
      </c>
      <c r="J2" s="3191" t="s">
        <v>3287</v>
      </c>
      <c r="K2" s="3191">
        <f>ROUND($D$2/$C$2*H2,2)</f>
        <v>10592.25</v>
      </c>
    </row>
    <row r="3" spans="1:11" ht="13.5" customHeight="1">
      <c r="A3" s="3377"/>
      <c r="B3" s="3377"/>
      <c r="C3" s="3377"/>
      <c r="D3" s="3377"/>
      <c r="E3" s="3377"/>
      <c r="F3" s="3377"/>
      <c r="G3" s="3191" t="s">
        <v>3288</v>
      </c>
      <c r="H3" s="3191">
        <f>A3总规划!F14</f>
        <v>3450</v>
      </c>
      <c r="I3" s="3377"/>
      <c r="J3" s="3191" t="s">
        <v>3288</v>
      </c>
      <c r="K3" s="3191">
        <f>ROUND($D$2/$C$2*H3,2)</f>
        <v>614.16999999999996</v>
      </c>
    </row>
    <row r="4" spans="1:11" ht="13.5" customHeight="1">
      <c r="A4" s="3377"/>
      <c r="B4" s="3377"/>
      <c r="C4" s="3377"/>
      <c r="D4" s="3377"/>
      <c r="E4" s="3377"/>
      <c r="F4" s="3377"/>
      <c r="G4" s="3191" t="s">
        <v>3289</v>
      </c>
      <c r="H4" s="3191">
        <f>A3总规划!F17</f>
        <v>300</v>
      </c>
      <c r="I4" s="3377"/>
      <c r="J4" s="3191" t="s">
        <v>3289</v>
      </c>
      <c r="K4" s="3191">
        <f>ROUND($D$2/$C$2*H4,2)</f>
        <v>53.41</v>
      </c>
    </row>
    <row r="5" spans="1:11" ht="14.25">
      <c r="A5" s="3377"/>
      <c r="B5" s="3377"/>
      <c r="C5" s="3377"/>
      <c r="D5" s="3377"/>
      <c r="E5" s="3377"/>
      <c r="F5" s="3378"/>
      <c r="G5" s="3191" t="s">
        <v>3290</v>
      </c>
      <c r="H5" s="3191">
        <f>A3总规划!F18+A3总规划!F27</f>
        <v>1300</v>
      </c>
      <c r="I5" s="3378"/>
      <c r="J5" s="3191" t="s">
        <v>3290</v>
      </c>
      <c r="K5" s="3191">
        <f>ROUND($D$2/$C$2*H5,2)</f>
        <v>231.43</v>
      </c>
    </row>
    <row r="6" spans="1:11">
      <c r="A6" s="3377"/>
      <c r="B6" s="3377"/>
      <c r="C6" s="3377"/>
      <c r="D6" s="3377"/>
      <c r="E6" s="3377"/>
      <c r="F6" s="3371" t="s">
        <v>3339</v>
      </c>
      <c r="G6" s="3372"/>
      <c r="H6" s="3228">
        <f>H2+H3+H4+H5</f>
        <v>64550</v>
      </c>
      <c r="I6" s="3371" t="s">
        <v>3339</v>
      </c>
      <c r="J6" s="3372"/>
      <c r="K6" s="3228">
        <f>K2+K3+K4+K5</f>
        <v>11491.26</v>
      </c>
    </row>
    <row r="7" spans="1:11" ht="14.25">
      <c r="A7" s="3377"/>
      <c r="B7" s="3377"/>
      <c r="C7" s="3377"/>
      <c r="D7" s="3377"/>
      <c r="E7" s="3377"/>
      <c r="F7" s="3376" t="s">
        <v>3291</v>
      </c>
      <c r="G7" s="3191" t="s">
        <v>3292</v>
      </c>
      <c r="H7" s="3191">
        <f>A3总规划!F25</f>
        <v>59700</v>
      </c>
      <c r="I7" s="3376" t="s">
        <v>3291</v>
      </c>
      <c r="J7" s="3191" t="s">
        <v>3292</v>
      </c>
      <c r="K7" s="3191">
        <f>ROUND($D$2/$C$2*H7,2)</f>
        <v>10627.86</v>
      </c>
    </row>
    <row r="8" spans="1:11" ht="14.25">
      <c r="A8" s="3377"/>
      <c r="B8" s="3377"/>
      <c r="C8" s="3377"/>
      <c r="D8" s="3377"/>
      <c r="E8" s="3377"/>
      <c r="F8" s="3378"/>
      <c r="G8" s="3191" t="s">
        <v>3290</v>
      </c>
      <c r="H8" s="3191">
        <f>A3总规划!F26+A3总规划!F28</f>
        <v>40300</v>
      </c>
      <c r="I8" s="3378"/>
      <c r="J8" s="3191" t="s">
        <v>3290</v>
      </c>
      <c r="K8" s="3191">
        <f>ROUND($D$2/$C$2*H8,2)</f>
        <v>7174.25</v>
      </c>
    </row>
    <row r="9" spans="1:11">
      <c r="A9" s="3377"/>
      <c r="B9" s="3377"/>
      <c r="C9" s="3377"/>
      <c r="D9" s="3377"/>
      <c r="E9" s="3377"/>
      <c r="F9" s="3371" t="s">
        <v>3340</v>
      </c>
      <c r="G9" s="3372"/>
      <c r="H9" s="3228">
        <f>H7+H8</f>
        <v>100000</v>
      </c>
      <c r="I9" s="3371" t="s">
        <v>3339</v>
      </c>
      <c r="J9" s="3372"/>
      <c r="K9" s="3228">
        <f>K7+K8</f>
        <v>17802.11</v>
      </c>
    </row>
    <row r="10" spans="1:11">
      <c r="A10" s="3378"/>
      <c r="B10" s="3378"/>
      <c r="C10" s="3378"/>
      <c r="D10" s="3378"/>
      <c r="E10" s="3378"/>
      <c r="F10" s="3371" t="s">
        <v>3341</v>
      </c>
      <c r="G10" s="3372"/>
      <c r="H10" s="3228">
        <f>H6+H9</f>
        <v>164550</v>
      </c>
      <c r="I10" s="3371" t="s">
        <v>3341</v>
      </c>
      <c r="J10" s="3372"/>
      <c r="K10" s="3228">
        <f>K6+K9</f>
        <v>29293.370000000003</v>
      </c>
    </row>
    <row r="11" spans="1:11" ht="29.25" customHeight="1">
      <c r="A11" s="3381" t="s">
        <v>3325</v>
      </c>
      <c r="B11" s="3381" t="s">
        <v>3300</v>
      </c>
      <c r="C11" s="3381">
        <f>地块分布情况!C12</f>
        <v>23925</v>
      </c>
      <c r="D11" s="3381">
        <v>6862</v>
      </c>
      <c r="E11" s="3381">
        <v>2.68</v>
      </c>
      <c r="F11" s="3379" t="s">
        <v>3278</v>
      </c>
      <c r="G11" s="3226" t="s">
        <v>3276</v>
      </c>
      <c r="H11" s="3191">
        <f>F总规划!F12</f>
        <v>51750</v>
      </c>
      <c r="I11" s="3379" t="s">
        <v>3278</v>
      </c>
      <c r="J11" s="3226" t="s">
        <v>3276</v>
      </c>
      <c r="K11" s="3191">
        <f>ROUND($D$11/$C$11*H11,2)</f>
        <v>14842.57</v>
      </c>
    </row>
    <row r="12" spans="1:11">
      <c r="A12" s="3381"/>
      <c r="B12" s="3381"/>
      <c r="C12" s="3381"/>
      <c r="D12" s="3381"/>
      <c r="E12" s="3381"/>
      <c r="F12" s="3379"/>
      <c r="G12" s="3226" t="s">
        <v>3323</v>
      </c>
      <c r="H12" s="3191">
        <f>F总规划!F24</f>
        <v>580</v>
      </c>
      <c r="I12" s="3379"/>
      <c r="J12" s="3226" t="s">
        <v>3323</v>
      </c>
      <c r="K12" s="3191">
        <f t="shared" ref="K12:K15" si="0">ROUND($D$11/$C$11*H12,2)</f>
        <v>166.35</v>
      </c>
    </row>
    <row r="13" spans="1:11">
      <c r="A13" s="3381"/>
      <c r="B13" s="3381"/>
      <c r="C13" s="3381"/>
      <c r="D13" s="3381"/>
      <c r="E13" s="3381"/>
      <c r="F13" s="3379"/>
      <c r="G13" s="3226" t="s">
        <v>3320</v>
      </c>
      <c r="H13" s="3191">
        <f>F总规划!F16</f>
        <v>500</v>
      </c>
      <c r="I13" s="3379"/>
      <c r="J13" s="3226" t="s">
        <v>3320</v>
      </c>
      <c r="K13" s="3191">
        <f t="shared" si="0"/>
        <v>143.41</v>
      </c>
    </row>
    <row r="14" spans="1:11" ht="14.25">
      <c r="A14" s="3381"/>
      <c r="B14" s="3381"/>
      <c r="C14" s="3381"/>
      <c r="D14" s="3381"/>
      <c r="E14" s="3381"/>
      <c r="F14" s="3379"/>
      <c r="G14" s="3191" t="s">
        <v>3290</v>
      </c>
      <c r="H14" s="3191">
        <f>F总规划!F18+F总规划!F19+F总规划!F27</f>
        <v>2390</v>
      </c>
      <c r="I14" s="3379"/>
      <c r="J14" s="3191" t="s">
        <v>3290</v>
      </c>
      <c r="K14" s="3191">
        <f t="shared" si="0"/>
        <v>685.48</v>
      </c>
    </row>
    <row r="15" spans="1:11">
      <c r="A15" s="3381"/>
      <c r="B15" s="3381"/>
      <c r="C15" s="3381"/>
      <c r="D15" s="3381"/>
      <c r="E15" s="3381"/>
      <c r="F15" s="3379"/>
      <c r="G15" s="3226" t="s">
        <v>3324</v>
      </c>
      <c r="H15" s="3191">
        <f>F总规划!F17</f>
        <v>270</v>
      </c>
      <c r="I15" s="3379"/>
      <c r="J15" s="3226" t="s">
        <v>3324</v>
      </c>
      <c r="K15" s="3191">
        <f t="shared" si="0"/>
        <v>77.44</v>
      </c>
    </row>
    <row r="16" spans="1:11">
      <c r="A16" s="3381"/>
      <c r="B16" s="3381"/>
      <c r="C16" s="3381"/>
      <c r="D16" s="3381"/>
      <c r="E16" s="3381"/>
      <c r="F16" s="3264" t="s">
        <v>3321</v>
      </c>
      <c r="G16" s="3265"/>
      <c r="H16" s="3266">
        <f>H11+H12+H13+H14+H15</f>
        <v>55490</v>
      </c>
      <c r="I16" s="3380" t="s">
        <v>3321</v>
      </c>
      <c r="J16" s="3380"/>
      <c r="K16" s="3228">
        <f>K11+K12+K13+K14+K15</f>
        <v>15915.25</v>
      </c>
    </row>
    <row r="17" spans="1:11">
      <c r="A17" s="3381"/>
      <c r="B17" s="3381"/>
      <c r="C17" s="3381"/>
      <c r="D17" s="3381"/>
      <c r="E17" s="3381"/>
      <c r="F17" s="3379" t="s">
        <v>3282</v>
      </c>
      <c r="G17" s="3226" t="s">
        <v>3284</v>
      </c>
      <c r="H17" s="3191">
        <f>F总规划!F25</f>
        <v>19600</v>
      </c>
      <c r="I17" s="3379" t="s">
        <v>3282</v>
      </c>
      <c r="J17" s="3226" t="s">
        <v>3284</v>
      </c>
      <c r="K17" s="3191">
        <f>ROUND($D$11/$C$11*H17,2)</f>
        <v>5621.53</v>
      </c>
    </row>
    <row r="18" spans="1:11">
      <c r="A18" s="3381"/>
      <c r="B18" s="3381"/>
      <c r="C18" s="3381"/>
      <c r="D18" s="3381"/>
      <c r="E18" s="3381"/>
      <c r="F18" s="3379"/>
      <c r="G18" s="3226" t="s">
        <v>3279</v>
      </c>
      <c r="H18" s="3191">
        <f>F总规划!F26</f>
        <v>400</v>
      </c>
      <c r="I18" s="3379"/>
      <c r="J18" s="3226" t="s">
        <v>3279</v>
      </c>
      <c r="K18" s="3191">
        <f>ROUND($D$11/$C$11*H18,2)</f>
        <v>114.73</v>
      </c>
    </row>
    <row r="19" spans="1:11">
      <c r="A19" s="3381"/>
      <c r="B19" s="3381"/>
      <c r="C19" s="3381"/>
      <c r="D19" s="3381"/>
      <c r="E19" s="3381"/>
      <c r="F19" s="3264" t="s">
        <v>3280</v>
      </c>
      <c r="G19" s="3265"/>
      <c r="H19" s="3266">
        <f>H17+H18</f>
        <v>20000</v>
      </c>
      <c r="I19" s="3380" t="s">
        <v>3280</v>
      </c>
      <c r="J19" s="3380"/>
      <c r="K19" s="3228">
        <f>K17+K18</f>
        <v>5736.2599999999993</v>
      </c>
    </row>
    <row r="20" spans="1:11">
      <c r="A20" s="3381"/>
      <c r="B20" s="3381"/>
      <c r="C20" s="3381"/>
      <c r="D20" s="3381"/>
      <c r="E20" s="3381"/>
      <c r="F20" s="3380" t="s">
        <v>3285</v>
      </c>
      <c r="G20" s="3380"/>
      <c r="H20" s="3228">
        <f>H16+H19</f>
        <v>75490</v>
      </c>
      <c r="I20" s="3380" t="s">
        <v>3285</v>
      </c>
      <c r="J20" s="3380"/>
      <c r="K20" s="3228">
        <f>K16+K19</f>
        <v>21651.51</v>
      </c>
    </row>
    <row r="21" spans="1:11" ht="25.5" customHeight="1">
      <c r="A21" s="3381" t="s">
        <v>3326</v>
      </c>
      <c r="B21" s="3381"/>
      <c r="C21" s="3381"/>
      <c r="D21" s="3381">
        <v>9503</v>
      </c>
      <c r="E21" s="3381"/>
      <c r="F21" s="3191"/>
      <c r="G21" s="3191"/>
      <c r="H21" s="3191"/>
      <c r="I21" s="3379" t="s">
        <v>3278</v>
      </c>
      <c r="J21" s="3226" t="s">
        <v>3276</v>
      </c>
      <c r="K21" s="3191">
        <f>ROUND($D$21/$C$11*H11,2)</f>
        <v>20555.080000000002</v>
      </c>
    </row>
    <row r="22" spans="1:11">
      <c r="A22" s="3381"/>
      <c r="B22" s="3381"/>
      <c r="C22" s="3381"/>
      <c r="D22" s="3381"/>
      <c r="E22" s="3381"/>
      <c r="F22" s="3191"/>
      <c r="G22" s="3191"/>
      <c r="H22" s="3191"/>
      <c r="I22" s="3379"/>
      <c r="J22" s="3226" t="s">
        <v>3323</v>
      </c>
      <c r="K22" s="3191">
        <f t="shared" ref="K22:K25" si="1">ROUND($D$21/$C$11*H12,2)</f>
        <v>230.38</v>
      </c>
    </row>
    <row r="23" spans="1:11">
      <c r="A23" s="3381"/>
      <c r="B23" s="3381"/>
      <c r="C23" s="3381"/>
      <c r="D23" s="3381"/>
      <c r="E23" s="3381"/>
      <c r="F23" s="3191"/>
      <c r="G23" s="3191"/>
      <c r="H23" s="3191"/>
      <c r="I23" s="3379"/>
      <c r="J23" s="3226" t="s">
        <v>3320</v>
      </c>
      <c r="K23" s="3191">
        <f t="shared" si="1"/>
        <v>198.6</v>
      </c>
    </row>
    <row r="24" spans="1:11" ht="14.25">
      <c r="A24" s="3381"/>
      <c r="B24" s="3381"/>
      <c r="C24" s="3381"/>
      <c r="D24" s="3381"/>
      <c r="E24" s="3381"/>
      <c r="F24" s="3267"/>
      <c r="G24" s="3267"/>
      <c r="H24" s="3236"/>
      <c r="I24" s="3379"/>
      <c r="J24" s="3191" t="s">
        <v>3290</v>
      </c>
      <c r="K24" s="3191">
        <f t="shared" si="1"/>
        <v>949.31</v>
      </c>
    </row>
    <row r="25" spans="1:11">
      <c r="A25" s="3381"/>
      <c r="B25" s="3381"/>
      <c r="C25" s="3381"/>
      <c r="D25" s="3381"/>
      <c r="E25" s="3381"/>
      <c r="F25" s="3267"/>
      <c r="G25" s="3267"/>
      <c r="H25" s="3236"/>
      <c r="I25" s="3379"/>
      <c r="J25" s="3226" t="s">
        <v>3324</v>
      </c>
      <c r="K25" s="3191">
        <f t="shared" si="1"/>
        <v>107.24</v>
      </c>
    </row>
    <row r="26" spans="1:11">
      <c r="A26" s="3381"/>
      <c r="B26" s="3381"/>
      <c r="C26" s="3381"/>
      <c r="D26" s="3381"/>
      <c r="E26" s="3381"/>
      <c r="F26" s="3267"/>
      <c r="G26" s="3267"/>
      <c r="H26" s="3236"/>
      <c r="I26" s="3380" t="s">
        <v>3321</v>
      </c>
      <c r="J26" s="3380"/>
      <c r="K26" s="3228">
        <f>K21+K22+K23+K24+K25</f>
        <v>22040.610000000004</v>
      </c>
    </row>
    <row r="27" spans="1:11">
      <c r="A27" s="3381"/>
      <c r="B27" s="3381"/>
      <c r="C27" s="3381"/>
      <c r="D27" s="3381"/>
      <c r="E27" s="3381"/>
      <c r="F27" s="3267"/>
      <c r="G27" s="3267"/>
      <c r="H27" s="3236"/>
      <c r="I27" s="3379" t="s">
        <v>3282</v>
      </c>
      <c r="J27" s="3226" t="s">
        <v>3284</v>
      </c>
      <c r="K27" s="3191">
        <f>ROUND($D$21/$C$11*H17,2)</f>
        <v>7785.11</v>
      </c>
    </row>
    <row r="28" spans="1:11" ht="12.75" customHeight="1">
      <c r="A28" s="3381"/>
      <c r="B28" s="3381"/>
      <c r="C28" s="3381"/>
      <c r="D28" s="3381"/>
      <c r="E28" s="3381"/>
      <c r="F28" s="3267"/>
      <c r="G28" s="3267"/>
      <c r="H28" s="3236"/>
      <c r="I28" s="3379"/>
      <c r="J28" s="3226" t="s">
        <v>3279</v>
      </c>
      <c r="K28" s="3191">
        <f>ROUND($D$21/$C$11*H18,2)</f>
        <v>158.88</v>
      </c>
    </row>
    <row r="29" spans="1:11">
      <c r="A29" s="3381"/>
      <c r="B29" s="3381"/>
      <c r="C29" s="3381"/>
      <c r="D29" s="3381"/>
      <c r="E29" s="3381"/>
      <c r="F29" s="3267"/>
      <c r="G29" s="3267"/>
      <c r="H29" s="3236"/>
      <c r="I29" s="3380" t="s">
        <v>3280</v>
      </c>
      <c r="J29" s="3380"/>
      <c r="K29" s="3228">
        <f>K27+K28</f>
        <v>7943.99</v>
      </c>
    </row>
    <row r="30" spans="1:11">
      <c r="A30" s="3381"/>
      <c r="B30" s="3381"/>
      <c r="C30" s="3381"/>
      <c r="D30" s="3381"/>
      <c r="E30" s="3381"/>
      <c r="F30" s="3191"/>
      <c r="G30" s="3191"/>
      <c r="H30" s="3191"/>
      <c r="I30" s="3380" t="s">
        <v>3285</v>
      </c>
      <c r="J30" s="3380"/>
      <c r="K30" s="3228">
        <f>K26+K29</f>
        <v>29984.600000000006</v>
      </c>
    </row>
    <row r="31" spans="1:11" ht="25.5" customHeight="1">
      <c r="A31" s="3376" t="s">
        <v>3372</v>
      </c>
      <c r="B31" s="3376" t="s">
        <v>3327</v>
      </c>
      <c r="C31" s="3376">
        <f>地块分布情况!C16</f>
        <v>9367</v>
      </c>
      <c r="D31" s="3376">
        <v>6822</v>
      </c>
      <c r="E31" s="3376">
        <v>1.04</v>
      </c>
      <c r="F31" s="3384" t="s">
        <v>3278</v>
      </c>
      <c r="G31" s="3226" t="s">
        <v>3276</v>
      </c>
      <c r="H31" s="3191">
        <f>C总规划!F12</f>
        <v>6512</v>
      </c>
      <c r="I31" s="3226" t="s">
        <v>3278</v>
      </c>
      <c r="J31" s="3226" t="s">
        <v>3276</v>
      </c>
      <c r="K31" s="3191">
        <f>ROUND($D$31/$C$31*H31,2)</f>
        <v>4742.7</v>
      </c>
    </row>
    <row r="32" spans="1:11">
      <c r="A32" s="3377"/>
      <c r="B32" s="3377"/>
      <c r="C32" s="3377"/>
      <c r="D32" s="3377"/>
      <c r="E32" s="3377"/>
      <c r="F32" s="3385"/>
      <c r="G32" s="3226" t="s">
        <v>3323</v>
      </c>
      <c r="H32" s="3191">
        <f>C总规划!F24</f>
        <v>3160</v>
      </c>
      <c r="I32" s="3191"/>
      <c r="J32" s="3226" t="s">
        <v>3323</v>
      </c>
      <c r="K32" s="3191">
        <f t="shared" ref="K32:K34" si="2">ROUND($D$31/$C$31*H32,2)</f>
        <v>2301.4299999999998</v>
      </c>
    </row>
    <row r="33" spans="1:11">
      <c r="A33" s="3377"/>
      <c r="B33" s="3377"/>
      <c r="C33" s="3377"/>
      <c r="D33" s="3377"/>
      <c r="E33" s="3377"/>
      <c r="F33" s="3385"/>
      <c r="G33" s="3226" t="s">
        <v>3338</v>
      </c>
      <c r="H33" s="3191">
        <f>C总规划!F17</f>
        <v>50</v>
      </c>
      <c r="I33" s="3191"/>
      <c r="J33" s="3226" t="s">
        <v>3338</v>
      </c>
      <c r="K33" s="3191">
        <f t="shared" si="2"/>
        <v>36.42</v>
      </c>
    </row>
    <row r="34" spans="1:11">
      <c r="A34" s="3377"/>
      <c r="B34" s="3377"/>
      <c r="C34" s="3377"/>
      <c r="D34" s="3377"/>
      <c r="E34" s="3377"/>
      <c r="F34" s="3386"/>
      <c r="G34" s="3226" t="s">
        <v>3279</v>
      </c>
      <c r="H34" s="3191">
        <f>C总规划!F18</f>
        <v>20</v>
      </c>
      <c r="I34" s="3191"/>
      <c r="J34" s="3226" t="s">
        <v>3279</v>
      </c>
      <c r="K34" s="3191">
        <f t="shared" si="2"/>
        <v>14.57</v>
      </c>
    </row>
    <row r="35" spans="1:11">
      <c r="A35" s="3377"/>
      <c r="B35" s="3377"/>
      <c r="C35" s="3377"/>
      <c r="D35" s="3377"/>
      <c r="E35" s="3377"/>
      <c r="F35" s="3382" t="s">
        <v>3280</v>
      </c>
      <c r="G35" s="3383"/>
      <c r="H35" s="3228">
        <f>H31+H32+H33+H34</f>
        <v>9742</v>
      </c>
      <c r="I35" s="3226" t="s">
        <v>3280</v>
      </c>
      <c r="J35" s="3191"/>
      <c r="K35" s="3228">
        <f>K31+K32+K33+K34</f>
        <v>7095.119999999999</v>
      </c>
    </row>
    <row r="36" spans="1:11">
      <c r="A36" s="3377"/>
      <c r="B36" s="3377"/>
      <c r="C36" s="3377"/>
      <c r="D36" s="3377"/>
      <c r="E36" s="3377"/>
      <c r="F36" s="3384" t="s">
        <v>3282</v>
      </c>
      <c r="G36" s="3226" t="s">
        <v>3284</v>
      </c>
      <c r="H36" s="3191">
        <f>C总规划!F25</f>
        <v>6000</v>
      </c>
      <c r="I36" s="3226" t="s">
        <v>3282</v>
      </c>
      <c r="J36" s="3226" t="s">
        <v>3284</v>
      </c>
      <c r="K36" s="3191">
        <f>ROUND($D$31/$C$31*H36,2)</f>
        <v>4369.8100000000004</v>
      </c>
    </row>
    <row r="37" spans="1:11">
      <c r="A37" s="3377"/>
      <c r="B37" s="3377"/>
      <c r="C37" s="3377"/>
      <c r="D37" s="3377"/>
      <c r="E37" s="3377"/>
      <c r="F37" s="3386"/>
      <c r="G37" s="3226" t="s">
        <v>3279</v>
      </c>
      <c r="H37" s="3191">
        <f>C总规划!F26</f>
        <v>300</v>
      </c>
      <c r="I37" s="3191"/>
      <c r="J37" s="3226" t="s">
        <v>3279</v>
      </c>
      <c r="K37" s="3191">
        <f>ROUND($D$31/$C$31*H37,2)</f>
        <v>218.49</v>
      </c>
    </row>
    <row r="38" spans="1:11">
      <c r="A38" s="3377"/>
      <c r="B38" s="3377"/>
      <c r="C38" s="3377"/>
      <c r="D38" s="3377"/>
      <c r="E38" s="3377"/>
      <c r="F38" s="3382" t="s">
        <v>3280</v>
      </c>
      <c r="G38" s="3383"/>
      <c r="H38" s="3228">
        <f>H36+H37</f>
        <v>6300</v>
      </c>
      <c r="I38" s="3382" t="s">
        <v>3280</v>
      </c>
      <c r="J38" s="3383"/>
      <c r="K38" s="3228">
        <f>K36+K37</f>
        <v>4588.3</v>
      </c>
    </row>
    <row r="39" spans="1:11">
      <c r="A39" s="3378"/>
      <c r="B39" s="3378"/>
      <c r="C39" s="3378"/>
      <c r="D39" s="3378"/>
      <c r="E39" s="3378"/>
      <c r="F39" s="3382" t="s">
        <v>3285</v>
      </c>
      <c r="G39" s="3383"/>
      <c r="H39" s="3228">
        <f>H35+H38</f>
        <v>16042</v>
      </c>
      <c r="I39" s="3382" t="s">
        <v>3285</v>
      </c>
      <c r="J39" s="3383"/>
      <c r="K39" s="3228">
        <f>K35+K38</f>
        <v>11683.419999999998</v>
      </c>
    </row>
    <row r="40" spans="1:11" ht="25.5" customHeight="1">
      <c r="A40" s="3376" t="s">
        <v>3485</v>
      </c>
      <c r="B40" s="3376" t="s">
        <v>3373</v>
      </c>
      <c r="C40" s="3376">
        <f>地块分布情况!C6</f>
        <v>22838</v>
      </c>
      <c r="D40" s="3376">
        <v>7667</v>
      </c>
      <c r="E40" s="3376">
        <v>3.07</v>
      </c>
      <c r="F40" s="3384" t="s">
        <v>3278</v>
      </c>
      <c r="G40" s="3226" t="s">
        <v>3276</v>
      </c>
      <c r="H40" s="3191">
        <f>E2总规划!F12</f>
        <v>66390</v>
      </c>
      <c r="I40" s="3384" t="s">
        <v>3278</v>
      </c>
      <c r="J40" s="3226" t="s">
        <v>3276</v>
      </c>
      <c r="K40" s="3191">
        <f>ROUND($D$40/$C$40*H40,2)</f>
        <v>22287.95</v>
      </c>
    </row>
    <row r="41" spans="1:11">
      <c r="A41" s="3377"/>
      <c r="B41" s="3377"/>
      <c r="C41" s="3377"/>
      <c r="D41" s="3377"/>
      <c r="E41" s="3377"/>
      <c r="F41" s="3385"/>
      <c r="G41" s="3226" t="s">
        <v>3320</v>
      </c>
      <c r="H41" s="3191">
        <f>E2总规划!F14</f>
        <v>3450</v>
      </c>
      <c r="I41" s="3385"/>
      <c r="J41" s="3226" t="s">
        <v>3320</v>
      </c>
      <c r="K41" s="3191">
        <f t="shared" ref="K41:K43" si="3">ROUND($D$40/$C$40*H41,2)</f>
        <v>1158.21</v>
      </c>
    </row>
    <row r="42" spans="1:11">
      <c r="A42" s="3377"/>
      <c r="B42" s="3377"/>
      <c r="C42" s="3377"/>
      <c r="D42" s="3377"/>
      <c r="E42" s="3377"/>
      <c r="F42" s="3385"/>
      <c r="G42" s="3226" t="s">
        <v>3324</v>
      </c>
      <c r="H42" s="3191">
        <f>E2总规划!F17</f>
        <v>350</v>
      </c>
      <c r="I42" s="3385"/>
      <c r="J42" s="3226" t="s">
        <v>3324</v>
      </c>
      <c r="K42" s="3191">
        <f t="shared" si="3"/>
        <v>117.5</v>
      </c>
    </row>
    <row r="43" spans="1:11">
      <c r="A43" s="3377"/>
      <c r="B43" s="3377"/>
      <c r="C43" s="3377"/>
      <c r="D43" s="3377"/>
      <c r="E43" s="3377"/>
      <c r="F43" s="3386"/>
      <c r="G43" s="3226" t="s">
        <v>3279</v>
      </c>
      <c r="H43" s="3191">
        <f>E2总规划!F18+E2总规划!F27</f>
        <v>630</v>
      </c>
      <c r="I43" s="3386"/>
      <c r="J43" s="3226" t="s">
        <v>3279</v>
      </c>
      <c r="K43" s="3191">
        <f t="shared" si="3"/>
        <v>211.5</v>
      </c>
    </row>
    <row r="44" spans="1:11">
      <c r="A44" s="3377"/>
      <c r="B44" s="3377"/>
      <c r="C44" s="3377"/>
      <c r="D44" s="3377"/>
      <c r="E44" s="3377"/>
      <c r="F44" s="3382" t="s">
        <v>3280</v>
      </c>
      <c r="G44" s="3383"/>
      <c r="H44" s="3228">
        <f>H40+H41+H42+H43</f>
        <v>70820</v>
      </c>
      <c r="I44" s="3382" t="s">
        <v>3280</v>
      </c>
      <c r="J44" s="3383"/>
      <c r="K44" s="3228">
        <f>K40+K41+K42+K43</f>
        <v>23775.16</v>
      </c>
    </row>
    <row r="45" spans="1:11">
      <c r="A45" s="3377"/>
      <c r="B45" s="3377"/>
      <c r="C45" s="3377"/>
      <c r="D45" s="3377"/>
      <c r="E45" s="3377"/>
      <c r="F45" s="3384" t="s">
        <v>3282</v>
      </c>
      <c r="G45" s="3226" t="s">
        <v>3284</v>
      </c>
      <c r="H45" s="3191">
        <f>E2总规划!F25</f>
        <v>52000</v>
      </c>
      <c r="I45" s="3384" t="s">
        <v>3282</v>
      </c>
      <c r="J45" s="3226" t="s">
        <v>3284</v>
      </c>
      <c r="K45" s="3191">
        <f>ROUND($D$40/$C$40*H45,2)</f>
        <v>17457.05</v>
      </c>
    </row>
    <row r="46" spans="1:11">
      <c r="A46" s="3377"/>
      <c r="B46" s="3377"/>
      <c r="C46" s="3377"/>
      <c r="D46" s="3377"/>
      <c r="E46" s="3377"/>
      <c r="F46" s="3386"/>
      <c r="G46" s="3226" t="s">
        <v>3279</v>
      </c>
      <c r="H46" s="3191">
        <f>E2总规划!F26+E2总规划!F28</f>
        <v>20900</v>
      </c>
      <c r="I46" s="3386"/>
      <c r="J46" s="3226" t="s">
        <v>3279</v>
      </c>
      <c r="K46" s="3191">
        <f>ROUND($D$40/$C$40*H46,2)</f>
        <v>7016.39</v>
      </c>
    </row>
    <row r="47" spans="1:11">
      <c r="A47" s="3377"/>
      <c r="B47" s="3377"/>
      <c r="C47" s="3377"/>
      <c r="D47" s="3377"/>
      <c r="E47" s="3377"/>
      <c r="F47" s="3382" t="s">
        <v>3280</v>
      </c>
      <c r="G47" s="3383"/>
      <c r="H47" s="3228">
        <f>H45+H46</f>
        <v>72900</v>
      </c>
      <c r="I47" s="3382" t="s">
        <v>3280</v>
      </c>
      <c r="J47" s="3383"/>
      <c r="K47" s="3228">
        <f>K45+K46</f>
        <v>24473.439999999999</v>
      </c>
    </row>
    <row r="48" spans="1:11">
      <c r="A48" s="3378"/>
      <c r="B48" s="3378"/>
      <c r="C48" s="3378"/>
      <c r="D48" s="3378"/>
      <c r="E48" s="3378"/>
      <c r="F48" s="3382" t="s">
        <v>3285</v>
      </c>
      <c r="G48" s="3383"/>
      <c r="H48" s="3228">
        <f>H44+H47</f>
        <v>143720</v>
      </c>
      <c r="I48" s="3382" t="s">
        <v>3285</v>
      </c>
      <c r="J48" s="3383"/>
      <c r="K48" s="3228">
        <f>K44+K47</f>
        <v>48248.6</v>
      </c>
    </row>
    <row r="49" spans="1:11" ht="25.5" customHeight="1">
      <c r="A49" s="3376" t="s">
        <v>3374</v>
      </c>
      <c r="B49" s="3376" t="s">
        <v>3415</v>
      </c>
      <c r="C49" s="3376">
        <f>地块分布情况!C8+地块分布情况!C14</f>
        <v>63964.899999999994</v>
      </c>
      <c r="D49" s="3376">
        <v>43740</v>
      </c>
      <c r="E49" s="3376">
        <f>ROUND(H57/C49,2)</f>
        <v>7</v>
      </c>
      <c r="F49" s="3384" t="s">
        <v>3278</v>
      </c>
      <c r="G49" s="3226" t="s">
        <v>3276</v>
      </c>
      <c r="H49" s="3191">
        <f>B总规划!F12+G总规划!F12</f>
        <v>203635</v>
      </c>
      <c r="I49" s="3384" t="s">
        <v>3278</v>
      </c>
      <c r="J49" s="3226" t="s">
        <v>3276</v>
      </c>
      <c r="K49" s="3191">
        <f>ROUND($D$49/$C$49*H49,2)</f>
        <v>139248.16</v>
      </c>
    </row>
    <row r="50" spans="1:11">
      <c r="A50" s="3377"/>
      <c r="B50" s="3377"/>
      <c r="C50" s="3377"/>
      <c r="D50" s="3377"/>
      <c r="E50" s="3377"/>
      <c r="F50" s="3385"/>
      <c r="G50" s="3226" t="s">
        <v>3323</v>
      </c>
      <c r="H50" s="3191">
        <f>B总规划!F24+G总规划!F24</f>
        <v>74812</v>
      </c>
      <c r="I50" s="3385"/>
      <c r="J50" s="3226" t="s">
        <v>3323</v>
      </c>
      <c r="K50" s="3191">
        <f t="shared" ref="K50:K52" si="4">ROUND($D$49/$C$49*H50,2)</f>
        <v>51157.38</v>
      </c>
    </row>
    <row r="51" spans="1:11">
      <c r="A51" s="3377"/>
      <c r="B51" s="3377"/>
      <c r="C51" s="3377"/>
      <c r="D51" s="3377"/>
      <c r="E51" s="3377"/>
      <c r="F51" s="3385"/>
      <c r="G51" s="3226" t="s">
        <v>3324</v>
      </c>
      <c r="H51" s="3191">
        <f>B总规划!F17+G总规划!F17</f>
        <v>1235</v>
      </c>
      <c r="I51" s="3385"/>
      <c r="J51" s="3226" t="s">
        <v>3324</v>
      </c>
      <c r="K51" s="3191">
        <f t="shared" si="4"/>
        <v>844.51</v>
      </c>
    </row>
    <row r="52" spans="1:11">
      <c r="A52" s="3377"/>
      <c r="B52" s="3377"/>
      <c r="C52" s="3377"/>
      <c r="D52" s="3377"/>
      <c r="E52" s="3377"/>
      <c r="F52" s="3386"/>
      <c r="G52" s="3226" t="s">
        <v>3279</v>
      </c>
      <c r="H52" s="3191">
        <f>B总规划!F18+B总规划!F27+G总规划!F18+G总规划!F21+G总规划!F22+G总规划!F23+G总规划!F27</f>
        <v>5955</v>
      </c>
      <c r="I52" s="3386"/>
      <c r="J52" s="3226" t="s">
        <v>3279</v>
      </c>
      <c r="K52" s="3191">
        <f t="shared" si="4"/>
        <v>4072.1</v>
      </c>
    </row>
    <row r="53" spans="1:11">
      <c r="A53" s="3377"/>
      <c r="B53" s="3377"/>
      <c r="C53" s="3377"/>
      <c r="D53" s="3377"/>
      <c r="E53" s="3377"/>
      <c r="F53" s="3382" t="s">
        <v>3280</v>
      </c>
      <c r="G53" s="3383"/>
      <c r="H53" s="3228">
        <f>H49+H50+H51+H52</f>
        <v>285637</v>
      </c>
      <c r="I53" s="3382" t="s">
        <v>3280</v>
      </c>
      <c r="J53" s="3383"/>
      <c r="K53" s="3228">
        <f>K49+K50+K51+K52</f>
        <v>195322.15000000002</v>
      </c>
    </row>
    <row r="54" spans="1:11">
      <c r="A54" s="3377"/>
      <c r="B54" s="3377"/>
      <c r="C54" s="3377"/>
      <c r="D54" s="3377"/>
      <c r="E54" s="3377"/>
      <c r="F54" s="3384" t="s">
        <v>3282</v>
      </c>
      <c r="G54" s="3226" t="s">
        <v>3284</v>
      </c>
      <c r="H54" s="3191">
        <f>B总规划!F25+G总规划!F25</f>
        <v>159800</v>
      </c>
      <c r="I54" s="3384" t="s">
        <v>3282</v>
      </c>
      <c r="J54" s="3226" t="s">
        <v>3284</v>
      </c>
      <c r="K54" s="3191">
        <f>ROUND($D$49/$C$49*H54,2)</f>
        <v>109273.24</v>
      </c>
    </row>
    <row r="55" spans="1:11">
      <c r="A55" s="3377"/>
      <c r="B55" s="3377"/>
      <c r="C55" s="3377"/>
      <c r="D55" s="3377"/>
      <c r="E55" s="3377"/>
      <c r="F55" s="3386"/>
      <c r="G55" s="3226" t="s">
        <v>3279</v>
      </c>
      <c r="H55" s="3191">
        <f>B总规划!F26+G总规划!F26</f>
        <v>2350</v>
      </c>
      <c r="I55" s="3386"/>
      <c r="J55" s="3226" t="s">
        <v>3279</v>
      </c>
      <c r="K55" s="3191">
        <f>ROUND($D$49/$C$49*H55,2)</f>
        <v>1606.96</v>
      </c>
    </row>
    <row r="56" spans="1:11">
      <c r="A56" s="3377"/>
      <c r="B56" s="3377"/>
      <c r="C56" s="3377"/>
      <c r="D56" s="3377"/>
      <c r="E56" s="3377"/>
      <c r="F56" s="3382" t="s">
        <v>3280</v>
      </c>
      <c r="G56" s="3383"/>
      <c r="H56" s="3228">
        <f>H54+H55</f>
        <v>162150</v>
      </c>
      <c r="I56" s="3382" t="s">
        <v>3280</v>
      </c>
      <c r="J56" s="3383"/>
      <c r="K56" s="3228">
        <f>K54+K55</f>
        <v>110880.20000000001</v>
      </c>
    </row>
    <row r="57" spans="1:11">
      <c r="A57" s="3378"/>
      <c r="B57" s="3377"/>
      <c r="C57" s="3377"/>
      <c r="D57" s="3378"/>
      <c r="E57" s="3377"/>
      <c r="F57" s="3382" t="s">
        <v>3285</v>
      </c>
      <c r="G57" s="3383"/>
      <c r="H57" s="3228">
        <f>H53+H56</f>
        <v>447787</v>
      </c>
      <c r="I57" s="3382" t="s">
        <v>3285</v>
      </c>
      <c r="J57" s="3383"/>
      <c r="K57" s="3228">
        <f>K53+K56</f>
        <v>306202.35000000003</v>
      </c>
    </row>
    <row r="58" spans="1:11" ht="25.5" customHeight="1">
      <c r="A58" s="3376" t="s">
        <v>3416</v>
      </c>
      <c r="B58" s="3377"/>
      <c r="C58" s="3377"/>
      <c r="D58" s="3376">
        <v>16428</v>
      </c>
      <c r="E58" s="3377"/>
      <c r="F58" s="3191"/>
      <c r="G58" s="3191"/>
      <c r="H58" s="3191"/>
      <c r="I58" s="3384" t="s">
        <v>3278</v>
      </c>
      <c r="J58" s="3226" t="s">
        <v>3276</v>
      </c>
      <c r="K58" s="3191">
        <f>ROUND($D$58/$C$49*H49,2)</f>
        <v>52299.24</v>
      </c>
    </row>
    <row r="59" spans="1:11">
      <c r="A59" s="3377"/>
      <c r="B59" s="3377"/>
      <c r="C59" s="3377"/>
      <c r="D59" s="3377"/>
      <c r="E59" s="3377"/>
      <c r="F59" s="3191"/>
      <c r="G59" s="3191"/>
      <c r="H59" s="3191"/>
      <c r="I59" s="3385"/>
      <c r="J59" s="3226" t="s">
        <v>3323</v>
      </c>
      <c r="K59" s="3191">
        <f t="shared" ref="K59:K61" si="5">ROUND($D$58/$C$49*H50,2)</f>
        <v>19213.84</v>
      </c>
    </row>
    <row r="60" spans="1:11">
      <c r="A60" s="3377"/>
      <c r="B60" s="3377"/>
      <c r="C60" s="3377"/>
      <c r="D60" s="3377"/>
      <c r="E60" s="3377"/>
      <c r="F60" s="3191"/>
      <c r="G60" s="3191"/>
      <c r="H60" s="3191"/>
      <c r="I60" s="3385"/>
      <c r="J60" s="3226" t="s">
        <v>3324</v>
      </c>
      <c r="K60" s="3191">
        <f t="shared" si="5"/>
        <v>317.18</v>
      </c>
    </row>
    <row r="61" spans="1:11">
      <c r="A61" s="3377"/>
      <c r="B61" s="3377"/>
      <c r="C61" s="3377"/>
      <c r="D61" s="3377"/>
      <c r="E61" s="3377"/>
      <c r="F61" s="3191"/>
      <c r="G61" s="3191"/>
      <c r="H61" s="3191"/>
      <c r="I61" s="3386"/>
      <c r="J61" s="3226" t="s">
        <v>3279</v>
      </c>
      <c r="K61" s="3191">
        <f t="shared" si="5"/>
        <v>1529.41</v>
      </c>
    </row>
    <row r="62" spans="1:11">
      <c r="A62" s="3377"/>
      <c r="B62" s="3377"/>
      <c r="C62" s="3377"/>
      <c r="D62" s="3377"/>
      <c r="E62" s="3377"/>
      <c r="F62" s="3191"/>
      <c r="G62" s="3191"/>
      <c r="H62" s="3191"/>
      <c r="I62" s="3382" t="s">
        <v>3280</v>
      </c>
      <c r="J62" s="3383"/>
      <c r="K62" s="3228">
        <f>K58+K59+K60+K61</f>
        <v>73359.67</v>
      </c>
    </row>
    <row r="63" spans="1:11">
      <c r="A63" s="3377"/>
      <c r="B63" s="3377"/>
      <c r="C63" s="3377"/>
      <c r="D63" s="3377"/>
      <c r="E63" s="3377"/>
      <c r="F63" s="3191"/>
      <c r="G63" s="3191"/>
      <c r="H63" s="3191"/>
      <c r="I63" s="3384" t="s">
        <v>3282</v>
      </c>
      <c r="J63" s="3226" t="s">
        <v>3284</v>
      </c>
      <c r="K63" s="3191">
        <f>ROUND($D$58/$C$49*H54,2)</f>
        <v>41041.17</v>
      </c>
    </row>
    <row r="64" spans="1:11">
      <c r="A64" s="3377"/>
      <c r="B64" s="3377"/>
      <c r="C64" s="3377"/>
      <c r="D64" s="3377"/>
      <c r="E64" s="3377"/>
      <c r="F64" s="3191"/>
      <c r="G64" s="3191"/>
      <c r="H64" s="3191"/>
      <c r="I64" s="3386"/>
      <c r="J64" s="3226" t="s">
        <v>3279</v>
      </c>
      <c r="K64" s="3191">
        <f>ROUND($D$58/$C$49*H55,2)</f>
        <v>603.54999999999995</v>
      </c>
    </row>
    <row r="65" spans="1:11">
      <c r="A65" s="3377"/>
      <c r="B65" s="3377"/>
      <c r="C65" s="3377"/>
      <c r="D65" s="3377"/>
      <c r="E65" s="3377"/>
      <c r="F65" s="3191"/>
      <c r="G65" s="3191"/>
      <c r="H65" s="3191"/>
      <c r="I65" s="3382" t="s">
        <v>3280</v>
      </c>
      <c r="J65" s="3383"/>
      <c r="K65" s="3228">
        <f>K63+K64</f>
        <v>41644.720000000001</v>
      </c>
    </row>
    <row r="66" spans="1:11">
      <c r="A66" s="3378"/>
      <c r="B66" s="3377"/>
      <c r="C66" s="3377"/>
      <c r="D66" s="3378"/>
      <c r="E66" s="3377"/>
      <c r="F66" s="3191"/>
      <c r="G66" s="3191"/>
      <c r="H66" s="3191"/>
      <c r="I66" s="3382" t="s">
        <v>3285</v>
      </c>
      <c r="J66" s="3383"/>
      <c r="K66" s="3228">
        <f>K62+K65</f>
        <v>115004.39</v>
      </c>
    </row>
    <row r="67" spans="1:11" ht="25.5" customHeight="1">
      <c r="A67" s="3376" t="s">
        <v>3417</v>
      </c>
      <c r="B67" s="3377"/>
      <c r="C67" s="3377"/>
      <c r="D67" s="3376">
        <v>11630</v>
      </c>
      <c r="E67" s="3377"/>
      <c r="F67" s="3191"/>
      <c r="G67" s="3191"/>
      <c r="H67" s="3191"/>
      <c r="I67" s="3384" t="s">
        <v>3278</v>
      </c>
      <c r="J67" s="3226" t="s">
        <v>3276</v>
      </c>
      <c r="K67" s="3191">
        <f>ROUND($D$67/$C$49*H49,2)</f>
        <v>37024.6</v>
      </c>
    </row>
    <row r="68" spans="1:11">
      <c r="A68" s="3377"/>
      <c r="B68" s="3377"/>
      <c r="C68" s="3377"/>
      <c r="D68" s="3377"/>
      <c r="E68" s="3377"/>
      <c r="F68" s="3191"/>
      <c r="G68" s="3191"/>
      <c r="H68" s="3191"/>
      <c r="I68" s="3385"/>
      <c r="J68" s="3226" t="s">
        <v>3323</v>
      </c>
      <c r="K68" s="3191">
        <f t="shared" ref="K68:K70" si="6">ROUND($D$67/$C$49*H50,2)</f>
        <v>13602.2</v>
      </c>
    </row>
    <row r="69" spans="1:11">
      <c r="A69" s="3377"/>
      <c r="B69" s="3377"/>
      <c r="C69" s="3377"/>
      <c r="D69" s="3377"/>
      <c r="E69" s="3377"/>
      <c r="F69" s="3191"/>
      <c r="G69" s="3191"/>
      <c r="H69" s="3191"/>
      <c r="I69" s="3385"/>
      <c r="J69" s="3226" t="s">
        <v>3324</v>
      </c>
      <c r="K69" s="3191">
        <f t="shared" si="6"/>
        <v>224.55</v>
      </c>
    </row>
    <row r="70" spans="1:11">
      <c r="A70" s="3377"/>
      <c r="B70" s="3377"/>
      <c r="C70" s="3377"/>
      <c r="D70" s="3377"/>
      <c r="E70" s="3377"/>
      <c r="F70" s="3191"/>
      <c r="G70" s="3191"/>
      <c r="H70" s="3191"/>
      <c r="I70" s="3386"/>
      <c r="J70" s="3226" t="s">
        <v>3279</v>
      </c>
      <c r="K70" s="3191">
        <f t="shared" si="6"/>
        <v>1082.73</v>
      </c>
    </row>
    <row r="71" spans="1:11">
      <c r="A71" s="3377"/>
      <c r="B71" s="3377"/>
      <c r="C71" s="3377"/>
      <c r="D71" s="3377"/>
      <c r="E71" s="3377"/>
      <c r="F71" s="3191"/>
      <c r="G71" s="3191"/>
      <c r="H71" s="3191"/>
      <c r="I71" s="3382" t="s">
        <v>3280</v>
      </c>
      <c r="J71" s="3383"/>
      <c r="K71" s="3228">
        <f>K67+K68+K69+K70</f>
        <v>51934.080000000009</v>
      </c>
    </row>
    <row r="72" spans="1:11">
      <c r="A72" s="3377"/>
      <c r="B72" s="3377"/>
      <c r="C72" s="3377"/>
      <c r="D72" s="3377"/>
      <c r="E72" s="3377"/>
      <c r="F72" s="3191"/>
      <c r="G72" s="3191"/>
      <c r="H72" s="3191"/>
      <c r="I72" s="3384" t="s">
        <v>3282</v>
      </c>
      <c r="J72" s="3226" t="s">
        <v>3284</v>
      </c>
      <c r="K72" s="3191">
        <f>ROUND($D$67/$C$49*H54,2)</f>
        <v>29054.59</v>
      </c>
    </row>
    <row r="73" spans="1:11">
      <c r="A73" s="3377"/>
      <c r="B73" s="3377"/>
      <c r="C73" s="3377"/>
      <c r="D73" s="3377"/>
      <c r="E73" s="3377"/>
      <c r="F73" s="3191"/>
      <c r="G73" s="3191"/>
      <c r="H73" s="3191"/>
      <c r="I73" s="3386"/>
      <c r="J73" s="3226" t="s">
        <v>3279</v>
      </c>
      <c r="K73" s="3191">
        <f>ROUND($D$67/$C$49*H55,2)</f>
        <v>427.27</v>
      </c>
    </row>
    <row r="74" spans="1:11">
      <c r="A74" s="3377"/>
      <c r="B74" s="3377"/>
      <c r="C74" s="3377"/>
      <c r="D74" s="3377"/>
      <c r="E74" s="3377"/>
      <c r="F74" s="3191"/>
      <c r="G74" s="3191"/>
      <c r="H74" s="3191"/>
      <c r="I74" s="3382" t="s">
        <v>3280</v>
      </c>
      <c r="J74" s="3383"/>
      <c r="K74" s="3228">
        <f>K72+K73</f>
        <v>29481.86</v>
      </c>
    </row>
    <row r="75" spans="1:11">
      <c r="A75" s="3378"/>
      <c r="B75" s="3378"/>
      <c r="C75" s="3378"/>
      <c r="D75" s="3378"/>
      <c r="E75" s="3378"/>
      <c r="F75" s="3191"/>
      <c r="G75" s="3191"/>
      <c r="H75" s="3191"/>
      <c r="I75" s="3382" t="s">
        <v>3285</v>
      </c>
      <c r="J75" s="3383"/>
      <c r="K75" s="3228">
        <f>K71+K74</f>
        <v>81415.94</v>
      </c>
    </row>
  </sheetData>
  <mergeCells count="93">
    <mergeCell ref="I67:I70"/>
    <mergeCell ref="I71:J71"/>
    <mergeCell ref="I72:I73"/>
    <mergeCell ref="I74:J74"/>
    <mergeCell ref="I75:J75"/>
    <mergeCell ref="I58:I61"/>
    <mergeCell ref="I62:J62"/>
    <mergeCell ref="I63:I64"/>
    <mergeCell ref="I65:J65"/>
    <mergeCell ref="I66:J66"/>
    <mergeCell ref="I49:I52"/>
    <mergeCell ref="I53:J53"/>
    <mergeCell ref="I54:I55"/>
    <mergeCell ref="I56:J56"/>
    <mergeCell ref="I57:J57"/>
    <mergeCell ref="D49:D57"/>
    <mergeCell ref="D58:D66"/>
    <mergeCell ref="D67:D75"/>
    <mergeCell ref="E49:E75"/>
    <mergeCell ref="F49:F52"/>
    <mergeCell ref="F54:F55"/>
    <mergeCell ref="F53:G53"/>
    <mergeCell ref="F56:G56"/>
    <mergeCell ref="F57:G57"/>
    <mergeCell ref="A49:A57"/>
    <mergeCell ref="A58:A66"/>
    <mergeCell ref="A67:A75"/>
    <mergeCell ref="B49:B75"/>
    <mergeCell ref="C49:C75"/>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s>
  <phoneticPr fontId="22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96" t="s">
        <v>203</v>
      </c>
      <c r="B2" s="3396"/>
      <c r="C2" s="3396"/>
      <c r="D2" s="1956" t="s">
        <v>204</v>
      </c>
      <c r="E2" s="106" t="s">
        <v>205</v>
      </c>
      <c r="F2" s="1965"/>
      <c r="G2" s="1193"/>
      <c r="H2" s="1194"/>
      <c r="I2" s="1195" t="s">
        <v>856</v>
      </c>
      <c r="J2" s="1965"/>
      <c r="K2" s="1965"/>
      <c r="L2" s="1965"/>
    </row>
    <row r="3" spans="1:16" ht="15.75" thickBot="1">
      <c r="A3" s="3397" t="s">
        <v>206</v>
      </c>
      <c r="B3" s="3397"/>
      <c r="C3" s="3397"/>
      <c r="D3" s="107">
        <f>'数据-基础表'!AY6</f>
        <v>22838</v>
      </c>
      <c r="E3" s="107">
        <f>'数据-基础表'!AZ5</f>
        <v>394084</v>
      </c>
      <c r="F3" s="1965"/>
      <c r="G3" s="280" t="s">
        <v>857</v>
      </c>
      <c r="H3" s="275" t="s">
        <v>858</v>
      </c>
      <c r="I3" s="1957">
        <f>ROUND('数据-基础表'!B3/'数据-基础表'!A3,2)</f>
        <v>17.260000000000002</v>
      </c>
      <c r="J3" s="1965"/>
      <c r="K3" s="1965"/>
      <c r="L3" s="1965"/>
    </row>
    <row r="4" spans="1:16" ht="15">
      <c r="A4" s="3398"/>
      <c r="B4" s="3399"/>
      <c r="C4" s="3400"/>
      <c r="D4" s="108" t="s">
        <v>204</v>
      </c>
      <c r="E4" s="109" t="s">
        <v>205</v>
      </c>
      <c r="F4" s="1965"/>
      <c r="G4" s="1196"/>
      <c r="H4" s="275" t="s">
        <v>859</v>
      </c>
      <c r="I4" s="1957">
        <f>ROUND(SUMIF('数据-基础表'!I9:AS9,"地上",'数据-基础表'!I5:AS5)/'数据-基础表'!A3,2)</f>
        <v>14.06</v>
      </c>
      <c r="J4" s="1965"/>
      <c r="K4" s="1965"/>
      <c r="L4" s="1965"/>
    </row>
    <row r="5" spans="1:16">
      <c r="A5" s="110" t="s">
        <v>207</v>
      </c>
      <c r="B5" s="3401" t="s">
        <v>230</v>
      </c>
      <c r="C5" s="3401"/>
      <c r="D5" s="111">
        <f>ROUND($D$3*E5/$E$3,2)</f>
        <v>11055.64</v>
      </c>
      <c r="E5" s="112">
        <f>SUMIF('数据-基础表'!$11:$11,"住宅",'数据-基础表'!$5:$5)</f>
        <v>190772</v>
      </c>
      <c r="F5" s="1965"/>
      <c r="G5" s="280" t="s">
        <v>860</v>
      </c>
      <c r="H5" s="275" t="s">
        <v>858</v>
      </c>
      <c r="I5" s="1957">
        <f>ROUND(E31/D31,2)</f>
        <v>17.260000000000002</v>
      </c>
      <c r="J5" s="1965"/>
      <c r="K5" s="1965"/>
      <c r="L5" s="1965"/>
    </row>
    <row r="6" spans="1:16" ht="15" thickBot="1">
      <c r="A6" s="113"/>
      <c r="B6" s="3401" t="s">
        <v>208</v>
      </c>
      <c r="C6" s="3401"/>
      <c r="D6" s="111">
        <f>ROUND($D$3*E6/$E$3,2)</f>
        <v>11782.36</v>
      </c>
      <c r="E6" s="112">
        <f>E3-E5</f>
        <v>203312</v>
      </c>
      <c r="F6" s="1965"/>
      <c r="G6" s="1196"/>
      <c r="H6" s="275" t="s">
        <v>859</v>
      </c>
      <c r="I6" s="1957">
        <f>ROUND(F31/D31,2)</f>
        <v>14.06</v>
      </c>
      <c r="J6" s="1965"/>
      <c r="K6" s="1965"/>
      <c r="L6" s="1965"/>
    </row>
    <row r="7" spans="1:16" ht="15">
      <c r="A7" s="3393"/>
      <c r="B7" s="3394"/>
      <c r="C7" s="3395"/>
      <c r="D7" s="108" t="s">
        <v>204</v>
      </c>
      <c r="E7" s="114" t="s">
        <v>231</v>
      </c>
      <c r="F7" s="1965"/>
      <c r="G7" s="1151" t="s">
        <v>1644</v>
      </c>
      <c r="H7" s="1152"/>
      <c r="I7" s="1827">
        <f>面积表!E40</f>
        <v>3.07</v>
      </c>
      <c r="J7" s="1965"/>
      <c r="K7" s="1965"/>
      <c r="L7" s="1965"/>
    </row>
    <row r="8" spans="1:16">
      <c r="A8" s="110" t="s">
        <v>209</v>
      </c>
      <c r="B8" s="115" t="s">
        <v>210</v>
      </c>
      <c r="C8" s="111" t="s">
        <v>211</v>
      </c>
      <c r="D8" s="111">
        <f t="shared" ref="D8:D15" si="0">ROUND($D$3*E8/$E$3,2)</f>
        <v>18356.560000000001</v>
      </c>
      <c r="E8" s="116">
        <f>SUMIF('数据-基础表'!BB10:BK10,"地上",'数据-基础表'!BB5:BK5)</f>
        <v>316754</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0"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0" t="s">
        <v>2331</v>
      </c>
      <c r="D13" s="111">
        <f t="shared" si="0"/>
        <v>3013.51</v>
      </c>
      <c r="E13" s="116">
        <f>SUMPRODUCT(('数据-基础表'!BB10:BK10="地下")*('数据-基础表'!BB11:BK11="车库")*('数据-基础表'!BB5:BK5))</f>
        <v>52000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21370.07</v>
      </c>
      <c r="E16" s="120">
        <f>SUM(E8:E15)</f>
        <v>368754</v>
      </c>
      <c r="F16" s="1965"/>
      <c r="G16" s="1967"/>
      <c r="H16" s="967" t="s">
        <v>219</v>
      </c>
      <c r="I16" s="968"/>
      <c r="J16" s="1965"/>
      <c r="K16" s="3387" t="s">
        <v>2563</v>
      </c>
      <c r="L16" s="3388"/>
      <c r="M16" s="3388"/>
      <c r="N16" s="3388"/>
      <c r="O16" s="3388"/>
      <c r="P16" s="3389"/>
    </row>
    <row r="17" spans="1:19" ht="15">
      <c r="A17" s="121" t="s">
        <v>216</v>
      </c>
      <c r="B17" s="122" t="s">
        <v>217</v>
      </c>
      <c r="C17" s="2277" t="s">
        <v>2310</v>
      </c>
      <c r="D17" s="108" t="s">
        <v>204</v>
      </c>
      <c r="E17" s="124" t="s">
        <v>205</v>
      </c>
      <c r="F17" s="125"/>
      <c r="G17" s="1360"/>
      <c r="H17" s="969" t="s">
        <v>218</v>
      </c>
      <c r="I17" s="970" t="s">
        <v>2309</v>
      </c>
      <c r="J17" s="1965"/>
      <c r="K17" s="3390" t="s">
        <v>2564</v>
      </c>
      <c r="L17" s="3391"/>
      <c r="M17" s="3392"/>
      <c r="N17" s="3390" t="s">
        <v>2565</v>
      </c>
      <c r="O17" s="3391"/>
      <c r="P17" s="3392"/>
      <c r="R17" s="2278" t="s">
        <v>2308</v>
      </c>
      <c r="S17" s="144"/>
    </row>
    <row r="18" spans="1:19" ht="15">
      <c r="A18" s="117"/>
      <c r="B18" s="128"/>
      <c r="C18" s="129"/>
      <c r="D18" s="2600"/>
      <c r="E18" s="130" t="s">
        <v>220</v>
      </c>
      <c r="F18" s="131" t="s">
        <v>221</v>
      </c>
      <c r="G18" s="1361" t="s">
        <v>222</v>
      </c>
      <c r="H18" s="971" t="s">
        <v>223</v>
      </c>
      <c r="I18" s="972" t="s">
        <v>224</v>
      </c>
      <c r="J18" s="1965"/>
      <c r="K18" s="2563" t="s">
        <v>2566</v>
      </c>
      <c r="L18" s="2564" t="s">
        <v>2567</v>
      </c>
      <c r="M18" s="2565" t="s">
        <v>2568</v>
      </c>
      <c r="N18" s="2563" t="s">
        <v>2566</v>
      </c>
      <c r="O18" s="2564" t="s">
        <v>2567</v>
      </c>
      <c r="P18" s="2565" t="s">
        <v>2568</v>
      </c>
      <c r="R18" s="2279" t="s">
        <v>2306</v>
      </c>
      <c r="S18" s="2279" t="s">
        <v>2307</v>
      </c>
    </row>
    <row r="19" spans="1:19">
      <c r="A19" s="133"/>
      <c r="B19" s="115" t="s">
        <v>225</v>
      </c>
      <c r="C19" s="2970" t="s">
        <v>3011</v>
      </c>
      <c r="D19" s="111">
        <f t="shared" ref="D19:D26" si="1">ROUND($D$3*E19/$E$3,2)</f>
        <v>3847.44</v>
      </c>
      <c r="E19" s="134">
        <f t="shared" ref="E19:E26" si="2">SUM(F19:G19)</f>
        <v>66390</v>
      </c>
      <c r="F19" s="135">
        <f>'数据-基础表'!I13</f>
        <v>66390</v>
      </c>
      <c r="G19" s="1362"/>
      <c r="H19" s="973">
        <f>ROUND($D$3*I19/$E$3,2)</f>
        <v>444.85</v>
      </c>
      <c r="I19" s="116">
        <f>IF($I$17="自定义",P19,M19)</f>
        <v>7676.23</v>
      </c>
      <c r="J19" s="1965"/>
      <c r="K19" s="2566">
        <f t="shared" ref="K19:K26" si="3">ROUND(E$28*E19/E$27,2)</f>
        <v>3876.23</v>
      </c>
      <c r="L19" s="275">
        <f t="shared" ref="L19:L26" si="4">ROUND(IF(COUNTIF(C19,"*住宅*")&gt;0,E$29*E19/E$32,0),2)</f>
        <v>3800</v>
      </c>
      <c r="M19" s="2567">
        <f>K19+L19</f>
        <v>7676.23</v>
      </c>
      <c r="N19" s="2568"/>
      <c r="O19" s="2569"/>
      <c r="P19" s="2570">
        <f>N19+O19</f>
        <v>0</v>
      </c>
      <c r="R19" s="275">
        <f t="shared" ref="R19:S26" si="5">D19+H19</f>
        <v>4292.29</v>
      </c>
      <c r="S19" s="2280">
        <f t="shared" si="5"/>
        <v>74066.23</v>
      </c>
    </row>
    <row r="20" spans="1:19">
      <c r="A20" s="138"/>
      <c r="B20" s="115" t="s">
        <v>226</v>
      </c>
      <c r="C20" s="2970" t="s">
        <v>3418</v>
      </c>
      <c r="D20" s="111">
        <f t="shared" si="1"/>
        <v>3013.51</v>
      </c>
      <c r="E20" s="134">
        <f t="shared" si="2"/>
        <v>52000</v>
      </c>
      <c r="F20" s="135"/>
      <c r="G20" s="1362">
        <f>'数据-基础表'!K13</f>
        <v>52000</v>
      </c>
      <c r="H20" s="973">
        <f t="shared" ref="H20:H26" si="6">ROUND($D$3*I20/$E$3,2)</f>
        <v>175.95</v>
      </c>
      <c r="I20" s="116">
        <f t="shared" ref="I20:I26" si="7">IF($I$17="自定义",P20,M20)</f>
        <v>3036.06</v>
      </c>
      <c r="J20" s="1965"/>
      <c r="K20" s="2566">
        <f t="shared" si="3"/>
        <v>3036.06</v>
      </c>
      <c r="L20" s="275">
        <f t="shared" si="4"/>
        <v>0</v>
      </c>
      <c r="M20" s="2567">
        <f t="shared" ref="M20:M26" si="8">K20+L20</f>
        <v>3036.06</v>
      </c>
      <c r="N20" s="2568"/>
      <c r="O20" s="2569"/>
      <c r="P20" s="2570">
        <f t="shared" ref="P20:P26" si="9">N20+O20</f>
        <v>0</v>
      </c>
      <c r="R20" s="275">
        <f t="shared" si="5"/>
        <v>3189.46</v>
      </c>
      <c r="S20" s="2280">
        <f t="shared" si="5"/>
        <v>55036.06</v>
      </c>
    </row>
    <row r="21" spans="1:19">
      <c r="A21" s="138"/>
      <c r="B21" s="115" t="s">
        <v>226</v>
      </c>
      <c r="C21" s="2970" t="s">
        <v>3504</v>
      </c>
      <c r="D21" s="111">
        <f t="shared" si="1"/>
        <v>7208.2</v>
      </c>
      <c r="E21" s="134">
        <f t="shared" si="2"/>
        <v>124382</v>
      </c>
      <c r="F21" s="135">
        <f>'数据-基础表'!M13</f>
        <v>124382</v>
      </c>
      <c r="G21" s="1362"/>
      <c r="H21" s="973">
        <f t="shared" si="6"/>
        <v>420.86</v>
      </c>
      <c r="I21" s="116">
        <f t="shared" si="7"/>
        <v>7262.14</v>
      </c>
      <c r="J21" s="1965"/>
      <c r="K21" s="2566">
        <f t="shared" si="3"/>
        <v>7262.14</v>
      </c>
      <c r="L21" s="275">
        <f t="shared" si="4"/>
        <v>0</v>
      </c>
      <c r="M21" s="2567">
        <f t="shared" si="8"/>
        <v>7262.14</v>
      </c>
      <c r="N21" s="2568"/>
      <c r="O21" s="2569"/>
      <c r="P21" s="2570">
        <f t="shared" si="9"/>
        <v>0</v>
      </c>
      <c r="R21" s="275">
        <f t="shared" si="5"/>
        <v>7629.0599999999995</v>
      </c>
      <c r="S21" s="2280">
        <f t="shared" si="5"/>
        <v>131644.14000000001</v>
      </c>
    </row>
    <row r="22" spans="1:19">
      <c r="A22" s="138"/>
      <c r="B22" s="115" t="s">
        <v>226</v>
      </c>
      <c r="C22" s="3293" t="s">
        <v>3505</v>
      </c>
      <c r="D22" s="111">
        <f t="shared" si="1"/>
        <v>7300.92</v>
      </c>
      <c r="E22" s="134">
        <f t="shared" si="2"/>
        <v>125982</v>
      </c>
      <c r="F22" s="140">
        <f>'数据-基础表'!O13</f>
        <v>125982</v>
      </c>
      <c r="G22" s="1363"/>
      <c r="H22" s="973">
        <f t="shared" si="6"/>
        <v>426.27</v>
      </c>
      <c r="I22" s="116">
        <f t="shared" si="7"/>
        <v>7355.56</v>
      </c>
      <c r="J22" s="1965"/>
      <c r="K22" s="2566">
        <f t="shared" si="3"/>
        <v>7355.56</v>
      </c>
      <c r="L22" s="275">
        <f t="shared" si="4"/>
        <v>0</v>
      </c>
      <c r="M22" s="2567">
        <f t="shared" si="8"/>
        <v>7355.56</v>
      </c>
      <c r="N22" s="2568"/>
      <c r="O22" s="2569"/>
      <c r="P22" s="2570">
        <f t="shared" si="9"/>
        <v>0</v>
      </c>
      <c r="R22" s="275">
        <f t="shared" si="5"/>
        <v>7727.1900000000005</v>
      </c>
      <c r="S22" s="2280">
        <f t="shared" si="5"/>
        <v>133337.56</v>
      </c>
    </row>
    <row r="23" spans="1:19">
      <c r="A23" s="138"/>
      <c r="B23" s="115" t="s">
        <v>226</v>
      </c>
      <c r="C23" s="139"/>
      <c r="D23" s="111">
        <f>ROUND($D$3*E23/$E$3,2)</f>
        <v>0</v>
      </c>
      <c r="E23" s="134">
        <f>SUM(F23:G23)</f>
        <v>0</v>
      </c>
      <c r="F23" s="140"/>
      <c r="G23" s="1363"/>
      <c r="H23" s="973">
        <f>ROUND($D$3*I23/$E$3,2)</f>
        <v>0</v>
      </c>
      <c r="I23" s="116">
        <f t="shared" si="7"/>
        <v>0</v>
      </c>
      <c r="J23" s="1965"/>
      <c r="K23" s="2566">
        <f t="shared" si="3"/>
        <v>0</v>
      </c>
      <c r="L23" s="275">
        <f t="shared" si="4"/>
        <v>0</v>
      </c>
      <c r="M23" s="2567">
        <f t="shared" si="8"/>
        <v>0</v>
      </c>
      <c r="N23" s="2568"/>
      <c r="O23" s="2569"/>
      <c r="P23" s="2570">
        <f t="shared" si="9"/>
        <v>0</v>
      </c>
      <c r="R23" s="275">
        <f t="shared" si="5"/>
        <v>0</v>
      </c>
      <c r="S23" s="2280">
        <f t="shared" si="5"/>
        <v>0</v>
      </c>
    </row>
    <row r="24" spans="1:19">
      <c r="A24" s="138"/>
      <c r="B24" s="115" t="s">
        <v>226</v>
      </c>
      <c r="C24" s="139"/>
      <c r="D24" s="111">
        <f>ROUND($D$3*E24/$E$3,2)</f>
        <v>0</v>
      </c>
      <c r="E24" s="134">
        <f>SUM(F24:G24)</f>
        <v>0</v>
      </c>
      <c r="F24" s="140"/>
      <c r="G24" s="1363"/>
      <c r="H24" s="973">
        <f>ROUND($D$3*I24/$E$3,2)</f>
        <v>0</v>
      </c>
      <c r="I24" s="116">
        <f t="shared" si="7"/>
        <v>0</v>
      </c>
      <c r="J24" s="1965"/>
      <c r="K24" s="2566">
        <f t="shared" si="3"/>
        <v>0</v>
      </c>
      <c r="L24" s="275">
        <f t="shared" si="4"/>
        <v>0</v>
      </c>
      <c r="M24" s="2567">
        <f t="shared" si="8"/>
        <v>0</v>
      </c>
      <c r="N24" s="2568"/>
      <c r="O24" s="2569"/>
      <c r="P24" s="2570">
        <f t="shared" si="9"/>
        <v>0</v>
      </c>
      <c r="R24" s="275">
        <f t="shared" si="5"/>
        <v>0</v>
      </c>
      <c r="S24" s="2280">
        <f t="shared" si="5"/>
        <v>0</v>
      </c>
    </row>
    <row r="25" spans="1:19">
      <c r="A25" s="138"/>
      <c r="B25" s="115" t="s">
        <v>226</v>
      </c>
      <c r="C25" s="139"/>
      <c r="D25" s="111">
        <f t="shared" si="1"/>
        <v>0</v>
      </c>
      <c r="E25" s="134">
        <f t="shared" si="2"/>
        <v>0</v>
      </c>
      <c r="F25" s="140"/>
      <c r="G25" s="1363"/>
      <c r="H25" s="110">
        <f t="shared" si="6"/>
        <v>0</v>
      </c>
      <c r="I25" s="116">
        <f t="shared" si="7"/>
        <v>0</v>
      </c>
      <c r="J25" s="1965"/>
      <c r="K25" s="2566">
        <f t="shared" si="3"/>
        <v>0</v>
      </c>
      <c r="L25" s="275">
        <f t="shared" si="4"/>
        <v>0</v>
      </c>
      <c r="M25" s="2567">
        <f t="shared" si="8"/>
        <v>0</v>
      </c>
      <c r="N25" s="2568"/>
      <c r="O25" s="2569"/>
      <c r="P25" s="2570">
        <f t="shared" si="9"/>
        <v>0</v>
      </c>
      <c r="R25" s="275">
        <f t="shared" si="5"/>
        <v>0</v>
      </c>
      <c r="S25" s="2280">
        <f t="shared" si="5"/>
        <v>0</v>
      </c>
    </row>
    <row r="26" spans="1:19">
      <c r="A26" s="138"/>
      <c r="B26" s="115" t="s">
        <v>226</v>
      </c>
      <c r="C26" s="142"/>
      <c r="D26" s="111">
        <f t="shared" si="1"/>
        <v>0</v>
      </c>
      <c r="E26" s="134">
        <f t="shared" si="2"/>
        <v>0</v>
      </c>
      <c r="F26" s="140"/>
      <c r="G26" s="1363"/>
      <c r="H26" s="110">
        <f t="shared" si="6"/>
        <v>0</v>
      </c>
      <c r="I26" s="116">
        <f t="shared" si="7"/>
        <v>0</v>
      </c>
      <c r="J26" s="1965"/>
      <c r="K26" s="2571">
        <f t="shared" si="3"/>
        <v>0</v>
      </c>
      <c r="L26" s="280">
        <f t="shared" si="4"/>
        <v>0</v>
      </c>
      <c r="M26" s="146">
        <f t="shared" si="8"/>
        <v>0</v>
      </c>
      <c r="N26" s="2572"/>
      <c r="O26" s="2573"/>
      <c r="P26" s="2574">
        <f t="shared" si="9"/>
        <v>0</v>
      </c>
      <c r="R26" s="275">
        <f t="shared" si="5"/>
        <v>0</v>
      </c>
      <c r="S26" s="2280">
        <f t="shared" si="5"/>
        <v>0</v>
      </c>
    </row>
    <row r="27" spans="1:19" ht="15.75" thickBot="1">
      <c r="A27" s="138"/>
      <c r="B27" s="111"/>
      <c r="C27" s="127" t="s">
        <v>215</v>
      </c>
      <c r="D27" s="134">
        <f>SUM(D19:D26)</f>
        <v>21370.07</v>
      </c>
      <c r="E27" s="143">
        <f>IF(SUM(E19:E26)='数据-基础表'!BA5,SUM(E19:E26),IF(F27="地上面积有误","面积有误","地下面积有误"))</f>
        <v>368754</v>
      </c>
      <c r="F27" s="134">
        <f>IF(SUM(F19:F26)=E8,SUM(F19:F26),"地上面积有误")</f>
        <v>316754</v>
      </c>
      <c r="G27" s="112">
        <f>SUM(G19:G26)</f>
        <v>52000</v>
      </c>
      <c r="H27" s="974">
        <f>SUM(H19:H26)</f>
        <v>1467.9299999999998</v>
      </c>
      <c r="I27" s="975">
        <f>SUM(I19:I26)</f>
        <v>25329.99</v>
      </c>
      <c r="J27" s="1965"/>
      <c r="K27" s="2575">
        <f>SUM(K19:K26)</f>
        <v>21529.99</v>
      </c>
      <c r="L27" s="2576">
        <f>SUM(L19:L26)</f>
        <v>3800</v>
      </c>
      <c r="M27" s="2577">
        <f>SUM(M19:M26)</f>
        <v>25329.99</v>
      </c>
      <c r="N27" s="2575">
        <f t="shared" ref="N27:O27" si="10">SUM(N19:N26)</f>
        <v>0</v>
      </c>
      <c r="O27" s="2576">
        <f t="shared" si="10"/>
        <v>0</v>
      </c>
      <c r="P27" s="2578">
        <f>SUM(P19:P26)</f>
        <v>0</v>
      </c>
      <c r="R27" s="2284">
        <f>IF(SUM(R19:R26)=$D$3,SUM(R19:R26),SUM(R19:R26)&amp;"误差"&amp;ROUND(SUM(R19:R26)-$D$3,2))</f>
        <v>22838</v>
      </c>
      <c r="S27" s="275" t="str">
        <f>IF(SUM(S19:S26)=$E$3,SUM(S19:S26),SUM(S19:S26)&amp;"误差"&amp;ROUND(SUM(S19:S26)-E3,2))</f>
        <v>394083.99误差-0.01</v>
      </c>
    </row>
    <row r="28" spans="1:19">
      <c r="A28" s="138"/>
      <c r="B28" s="115" t="s">
        <v>227</v>
      </c>
      <c r="C28" s="136" t="s">
        <v>228</v>
      </c>
      <c r="D28" s="111">
        <f>ROUND($D$3*E28/$E$3,2)</f>
        <v>1247.71</v>
      </c>
      <c r="E28" s="134">
        <f>SUM(F28:G28)</f>
        <v>21530</v>
      </c>
      <c r="F28" s="144">
        <f>'数据-基础表'!BQ5+'数据-基础表'!BS5</f>
        <v>630</v>
      </c>
      <c r="G28" s="145">
        <f>'数据-基础表'!BR5+'数据-基础表'!BT5</f>
        <v>20900</v>
      </c>
      <c r="H28" s="1965"/>
      <c r="I28" s="1965"/>
      <c r="J28" s="1965"/>
      <c r="K28" s="1965"/>
      <c r="L28" s="1965"/>
    </row>
    <row r="29" spans="1:19">
      <c r="A29" s="138"/>
      <c r="B29" s="115" t="s">
        <v>227</v>
      </c>
      <c r="C29" s="2292" t="s">
        <v>2317</v>
      </c>
      <c r="D29" s="111">
        <f>ROUND($D$3*E29/$E$3,2)</f>
        <v>220.22</v>
      </c>
      <c r="E29" s="134">
        <f>SUM(F29:G29)</f>
        <v>3800</v>
      </c>
      <c r="F29" s="144">
        <f>'数据-基础表'!BM5+'数据-基础表'!BO5</f>
        <v>3800</v>
      </c>
      <c r="G29" s="146">
        <f>'数据-基础表'!BN5+'数据-基础表'!BP5</f>
        <v>0</v>
      </c>
      <c r="H29" s="1965"/>
      <c r="I29" s="1965"/>
      <c r="J29" s="1965"/>
      <c r="K29" s="1965"/>
      <c r="L29" s="1965"/>
    </row>
    <row r="30" spans="1:19">
      <c r="A30" s="138"/>
      <c r="B30" s="111"/>
      <c r="C30" s="147" t="s">
        <v>215</v>
      </c>
      <c r="D30" s="134">
        <f>SUM(D28:D29)</f>
        <v>1467.93</v>
      </c>
      <c r="E30" s="134">
        <f>SUM(E28:E29)</f>
        <v>25330</v>
      </c>
      <c r="F30" s="134">
        <f>SUM(F28:F29)</f>
        <v>4430</v>
      </c>
      <c r="G30" s="112">
        <f>SUM(G28:G29)</f>
        <v>20900</v>
      </c>
      <c r="H30" s="1965"/>
      <c r="I30" s="1965"/>
      <c r="J30" s="1965"/>
      <c r="K30" s="1965"/>
      <c r="L30" s="1965"/>
    </row>
    <row r="31" spans="1:19" ht="32.25" customHeight="1" thickBot="1">
      <c r="A31" s="1364"/>
      <c r="B31" s="1365" t="s">
        <v>229</v>
      </c>
      <c r="C31" s="2309" t="s">
        <v>2319</v>
      </c>
      <c r="D31" s="1366">
        <f>D27+D30</f>
        <v>22838</v>
      </c>
      <c r="E31" s="1366">
        <f>E27+E30</f>
        <v>394084</v>
      </c>
      <c r="F31" s="1367">
        <f>F27+F30</f>
        <v>321184</v>
      </c>
      <c r="G31" s="1368">
        <f>G27+G30</f>
        <v>72900</v>
      </c>
      <c r="H31" s="1965"/>
      <c r="I31" s="1965"/>
      <c r="J31" s="1965"/>
      <c r="K31" s="1965"/>
      <c r="L31" s="1965"/>
    </row>
    <row r="32" spans="1:19">
      <c r="A32" s="1965"/>
      <c r="B32" s="2321" t="s">
        <v>2318</v>
      </c>
      <c r="C32" s="2605"/>
      <c r="D32" s="1196"/>
      <c r="E32" s="1196">
        <f>SUMIF(C19:C26,"*住宅*",E19:E26)</f>
        <v>66390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29" sqref="M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7">
        <f>项目基本情况!D3</f>
        <v>43602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3"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2824</v>
      </c>
      <c r="O5" s="163" t="s">
        <v>246</v>
      </c>
      <c r="P5" s="165" t="s">
        <v>247</v>
      </c>
      <c r="Q5" s="166" t="s">
        <v>248</v>
      </c>
      <c r="R5" s="167" t="s">
        <v>249</v>
      </c>
      <c r="S5" s="2579"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49"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1" t="str">
        <f>'数据-汇总表'!C19</f>
        <v>住宅</v>
      </c>
      <c r="B6" s="2316" t="str">
        <f>IF(A6=0,"","经营性")</f>
        <v>经营性</v>
      </c>
      <c r="C6" s="173" t="s">
        <v>922</v>
      </c>
      <c r="D6" s="2287">
        <f>SUMIF(项目基本情况!D$15:I$15,C6,项目基本情况!D$18:I$18)</f>
        <v>50</v>
      </c>
      <c r="E6" s="2288">
        <f>IF(B6="","",SUMIF(项目基本情况!D$15:I$15,C6,项目基本情况!D$17:I$17))</f>
        <v>55981</v>
      </c>
      <c r="F6" s="174">
        <f>SUMIF(项目基本情况!D$15:I$15,C6,项目基本情况!D$19:I$19)</f>
        <v>33.909999999999997</v>
      </c>
      <c r="G6" s="175">
        <f>IF(ISERROR(ROUND(POWER(1+H6,D6-F6)*(POWER(1+H6,F6)-1)/(POWER(1+H6,D6)-1),3)),0,ROUND(POWER(1+H6,D6-F6)*(POWER(1+H6,F6)-1)/(POWER(1+H6,D6)-1),3))</f>
        <v>0.88600000000000001</v>
      </c>
      <c r="H6" s="2971">
        <v>0.05</v>
      </c>
      <c r="I6" s="2971">
        <v>5.5E-2</v>
      </c>
      <c r="J6" s="176">
        <v>8.5000000000000006E-2</v>
      </c>
      <c r="K6" s="179">
        <f>SUMIF('数据-汇总表'!C$19:C$33,'数据-取费表'!A6,'数据-汇总表'!E$19:E$33)</f>
        <v>66390</v>
      </c>
      <c r="L6" s="2972">
        <v>2800</v>
      </c>
      <c r="M6" s="177">
        <f t="shared" ref="M6:M14" si="0">ROUND(K6*L6/10000,0)</f>
        <v>18589</v>
      </c>
      <c r="N6" s="2973">
        <v>0</v>
      </c>
      <c r="O6" s="177">
        <f>IF($N$5="成新度","——",ROUND(M6*N6,0))</f>
        <v>0</v>
      </c>
      <c r="P6" s="178">
        <f>IF($N$5="成新度","——",M6-O6)</f>
        <v>18589</v>
      </c>
      <c r="Q6" s="2974">
        <v>0.15</v>
      </c>
      <c r="R6" s="179">
        <f>SUMIF('数据-汇总表'!C$19:C$33,A6,'数据-汇总表'!R$19:R$33)</f>
        <v>4292.29</v>
      </c>
      <c r="S6" s="132">
        <f>IF('数据-汇总表'!$I$17="按面积比例",SUMIF('数据-汇总表'!C$19:C$33,A6,'数据-汇总表'!K$19:K$33),SUMIF('数据-汇总表'!C$19:C$33,A6,'数据-汇总表'!N$19:N$33))</f>
        <v>3876.23</v>
      </c>
      <c r="T6" s="2215">
        <f>IF($T$4="按面积比例",IF(ISERROR(ROUND($M$14*S6/S$16,0)),"0",ROUND($M$14*S6/S$16,0)),"需自行计算录入")</f>
        <v>775</v>
      </c>
      <c r="U6" s="180"/>
      <c r="V6" s="181"/>
      <c r="W6" s="181"/>
      <c r="X6" s="2300"/>
      <c r="Y6" s="182"/>
      <c r="Z6" s="183"/>
      <c r="AA6" s="176"/>
      <c r="AB6" s="176"/>
      <c r="AC6" s="2303"/>
      <c r="AD6" s="184"/>
      <c r="AE6" s="971">
        <f ca="1">IF(AN6="",0,SUMIF(INDIRECT("'"&amp;AN6&amp;"'"&amp;"!E:E"),$AE$5,INDIRECT("'"&amp;AN6&amp;"'"&amp;"!F:F")))</f>
        <v>0</v>
      </c>
      <c r="AF6" s="141"/>
      <c r="AG6" s="1208">
        <f>IF(AF6="",0,AE6-AF6)</f>
        <v>0</v>
      </c>
      <c r="AH6" s="141"/>
      <c r="AI6" s="187"/>
      <c r="AJ6" s="188"/>
      <c r="AK6" s="189"/>
      <c r="AL6" s="190"/>
      <c r="AM6" s="2985"/>
      <c r="AN6" s="2350"/>
      <c r="AO6" s="1981"/>
      <c r="AP6" s="1199">
        <f>ROUND(1-1/(1+H6)^F6,3)</f>
        <v>0.80900000000000005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1" t="str">
        <f>'数据-汇总表'!C20</f>
        <v>地下车库</v>
      </c>
      <c r="B7" s="2316" t="str">
        <f t="shared" ref="B7:B13" si="1">IF(A7=0,"","经营性")</f>
        <v>经营性</v>
      </c>
      <c r="C7" s="173" t="s">
        <v>3283</v>
      </c>
      <c r="D7" s="2287">
        <f>SUMIF(项目基本情况!D$15:I$15,C7,项目基本情况!D$18:I$18)</f>
        <v>40</v>
      </c>
      <c r="E7" s="2288">
        <f>IF(B7="","",SUMIF(项目基本情况!D$15:I$15,C7,项目基本情况!D$17:I$17))</f>
        <v>52328</v>
      </c>
      <c r="F7" s="174">
        <f>SUMIF(项目基本情况!D$15:I$15,C7,项目基本情况!D$19:I$19)</f>
        <v>23.9</v>
      </c>
      <c r="G7" s="175">
        <f t="shared" ref="G7:G11" si="2">IF(ISERROR(ROUND(POWER(1+H7,D7-F7)*(POWER(1+H7,F7)-1)/(POWER(1+H7,D7)-1),3)),0,ROUND(POWER(1+H7,D7-F7)*(POWER(1+H7,F7)-1)/(POWER(1+H7,D7)-1),3))</f>
        <v>0.76800000000000002</v>
      </c>
      <c r="H7" s="2971">
        <v>0.04</v>
      </c>
      <c r="I7" s="2971">
        <v>4.4999999999999998E-2</v>
      </c>
      <c r="J7" s="176">
        <v>8.5000000000000006E-2</v>
      </c>
      <c r="K7" s="179">
        <f>SUMIF('数据-汇总表'!C$19:C$33,'数据-取费表'!A7,'数据-汇总表'!E$19:E$33)</f>
        <v>52000</v>
      </c>
      <c r="L7" s="2972">
        <v>2000</v>
      </c>
      <c r="M7" s="177">
        <f t="shared" si="0"/>
        <v>10400</v>
      </c>
      <c r="N7" s="2973">
        <v>0</v>
      </c>
      <c r="O7" s="177">
        <f t="shared" ref="O7:O14" si="3">IF($N$5="成新度","——",ROUND(M7*N7,0))</f>
        <v>0</v>
      </c>
      <c r="P7" s="178">
        <f t="shared" ref="P7:P14" si="4">IF($N$5="成新度","——",M7-O7)</f>
        <v>10400</v>
      </c>
      <c r="Q7" s="2974">
        <v>0.03</v>
      </c>
      <c r="R7" s="179">
        <f>SUMIF('数据-汇总表'!C$19:C$33,A7,'数据-汇总表'!R$19:R$33)</f>
        <v>3189.46</v>
      </c>
      <c r="S7" s="132">
        <f>IF('数据-汇总表'!$I$17="按面积比例",SUMIF('数据-汇总表'!C$19:C$33,A7,'数据-汇总表'!K$19:K$33),SUMIF('数据-汇总表'!C$19:C$33,A7,'数据-汇总表'!N$19:N$33))</f>
        <v>3036.06</v>
      </c>
      <c r="T7" s="2215">
        <f t="shared" ref="T7:T13" si="5">IF($T$4="按面积比例",IF(ISERROR(ROUND($M$14*S7/S$16,0)),"0",ROUND($M$14*S7/S$16,0)),"需自行计算录入")</f>
        <v>607</v>
      </c>
      <c r="U7" s="180">
        <v>0.8</v>
      </c>
      <c r="V7" s="181">
        <v>2.5000000000000001E-2</v>
      </c>
      <c r="W7" s="181">
        <v>0.1</v>
      </c>
      <c r="X7" s="2300"/>
      <c r="Y7" s="182">
        <v>1</v>
      </c>
      <c r="Z7" s="183"/>
      <c r="AA7" s="176"/>
      <c r="AB7" s="176"/>
      <c r="AC7" s="2303"/>
      <c r="AD7" s="184"/>
      <c r="AE7" s="971">
        <f t="shared" ref="AE7:AE13" ca="1" si="6">IF(AN7="",0,SUMIF(INDIRECT("'"&amp;AN7&amp;"'"&amp;"!E:E"),$AE$5,INDIRECT("'"&amp;AN7&amp;"'"&amp;"!F:F")))</f>
        <v>22.4</v>
      </c>
      <c r="AF7" s="141"/>
      <c r="AG7" s="1208">
        <f t="shared" ref="AG7:AG13" si="7">IF(AF7="",0,AE7-AF7)</f>
        <v>0</v>
      </c>
      <c r="AH7" s="141"/>
      <c r="AI7" s="187">
        <v>365</v>
      </c>
      <c r="AJ7" s="188"/>
      <c r="AK7" s="189">
        <v>1.4999999999999999E-2</v>
      </c>
      <c r="AL7" s="190">
        <v>1.5E-3</v>
      </c>
      <c r="AM7" s="2348">
        <v>0.01</v>
      </c>
      <c r="AN7" s="2350" t="s">
        <v>3420</v>
      </c>
      <c r="AO7" s="1981"/>
      <c r="AP7" s="1199">
        <f t="shared" ref="AP7:AP13" si="8">ROUND(1-1/(1+H7)^F7,3)</f>
        <v>0.60799999999999998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1" t="str">
        <f>'数据-汇总表'!C21</f>
        <v>公寓</v>
      </c>
      <c r="B8" s="2316" t="str">
        <f t="shared" si="1"/>
        <v>经营性</v>
      </c>
      <c r="C8" s="173" t="s">
        <v>922</v>
      </c>
      <c r="D8" s="2287">
        <f>SUMIF(项目基本情况!D$15:I$15,C8,项目基本情况!D$18:I$18)</f>
        <v>50</v>
      </c>
      <c r="E8" s="2288">
        <f>IF(B8="","",SUMIF(项目基本情况!D$15:I$15,C8,项目基本情况!D$17:I$17))</f>
        <v>55981</v>
      </c>
      <c r="F8" s="174">
        <f>SUMIF(项目基本情况!D$15:I$15,C8,项目基本情况!D$19:I$19)</f>
        <v>33.909999999999997</v>
      </c>
      <c r="G8" s="175">
        <f t="shared" si="2"/>
        <v>0</v>
      </c>
      <c r="H8" s="2971"/>
      <c r="I8" s="2971"/>
      <c r="J8" s="176"/>
      <c r="K8" s="179">
        <f>SUMIF('数据-汇总表'!C$19:C$33,'数据-取费表'!A8,'数据-汇总表'!E$19:E$33)</f>
        <v>124382</v>
      </c>
      <c r="L8" s="2972">
        <v>2800</v>
      </c>
      <c r="M8" s="177">
        <f>ROUND(K8*L8/10000,0)</f>
        <v>34827</v>
      </c>
      <c r="N8" s="2973">
        <v>0</v>
      </c>
      <c r="O8" s="177">
        <f t="shared" si="3"/>
        <v>0</v>
      </c>
      <c r="P8" s="178">
        <f t="shared" si="4"/>
        <v>34827</v>
      </c>
      <c r="Q8" s="2974">
        <v>0.08</v>
      </c>
      <c r="R8" s="179">
        <f>SUMIF('数据-汇总表'!C$19:C$33,A8,'数据-汇总表'!R$19:R$33)</f>
        <v>7629.0599999999995</v>
      </c>
      <c r="S8" s="132">
        <f>IF('数据-汇总表'!$I$17="按面积比例",SUMIF('数据-汇总表'!C$19:C$33,A8,'数据-汇总表'!K$19:K$33),SUMIF('数据-汇总表'!C$19:C$33,A8,'数据-汇总表'!N$19:N$33))</f>
        <v>7262.14</v>
      </c>
      <c r="T8" s="2215">
        <f t="shared" si="5"/>
        <v>1452</v>
      </c>
      <c r="U8" s="180">
        <v>1.5</v>
      </c>
      <c r="V8" s="181">
        <v>0.03</v>
      </c>
      <c r="W8" s="181">
        <v>0.1</v>
      </c>
      <c r="X8" s="2300"/>
      <c r="Y8" s="182">
        <v>1</v>
      </c>
      <c r="Z8" s="183"/>
      <c r="AA8" s="176"/>
      <c r="AB8" s="176"/>
      <c r="AC8" s="2303"/>
      <c r="AD8" s="184"/>
      <c r="AE8" s="971">
        <f t="shared" ca="1" si="6"/>
        <v>32.409999999999997</v>
      </c>
      <c r="AF8" s="141"/>
      <c r="AG8" s="1208">
        <f t="shared" si="7"/>
        <v>0</v>
      </c>
      <c r="AH8" s="141"/>
      <c r="AI8" s="187">
        <v>365</v>
      </c>
      <c r="AJ8" s="188"/>
      <c r="AK8" s="189">
        <v>1.4999999999999999E-2</v>
      </c>
      <c r="AL8" s="190">
        <v>1.5E-3</v>
      </c>
      <c r="AM8" s="2348">
        <v>0.01</v>
      </c>
      <c r="AN8" s="2350" t="s">
        <v>3508</v>
      </c>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1" t="str">
        <f>'数据-汇总表'!C22</f>
        <v>办公</v>
      </c>
      <c r="B9" s="2316" t="str">
        <f t="shared" si="1"/>
        <v>经营性</v>
      </c>
      <c r="C9" s="173" t="s">
        <v>3322</v>
      </c>
      <c r="D9" s="2287">
        <f>SUMIF(项目基本情况!D$15:I$15,C9,项目基本情况!D$18:I$18)</f>
        <v>40</v>
      </c>
      <c r="E9" s="2288">
        <f>IF(B9="","",SUMIF(项目基本情况!D$15:I$15,C9,项目基本情况!D$17:I$17))</f>
        <v>52328</v>
      </c>
      <c r="F9" s="174">
        <f>SUMIF(项目基本情况!D$15:I$15,C9,项目基本情况!D$19:I$19)</f>
        <v>23.9</v>
      </c>
      <c r="G9" s="175">
        <f t="shared" si="2"/>
        <v>0</v>
      </c>
      <c r="H9" s="176"/>
      <c r="I9" s="176"/>
      <c r="J9" s="176"/>
      <c r="K9" s="179">
        <f>SUMIF('数据-汇总表'!C$19:C$33,'数据-取费表'!A9,'数据-汇总表'!E$19:E$33)</f>
        <v>125982</v>
      </c>
      <c r="L9" s="193">
        <v>3000</v>
      </c>
      <c r="M9" s="177">
        <f t="shared" si="0"/>
        <v>37795</v>
      </c>
      <c r="N9" s="194">
        <v>0</v>
      </c>
      <c r="O9" s="177">
        <f t="shared" si="3"/>
        <v>0</v>
      </c>
      <c r="P9" s="178">
        <f t="shared" si="4"/>
        <v>37795</v>
      </c>
      <c r="Q9" s="192">
        <v>0.08</v>
      </c>
      <c r="R9" s="179">
        <f>SUMIF('数据-汇总表'!C$19:C$33,A9,'数据-汇总表'!R$19:R$33)</f>
        <v>7727.1900000000005</v>
      </c>
      <c r="S9" s="132">
        <f>IF('数据-汇总表'!$I$17="按面积比例",SUMIF('数据-汇总表'!C$19:C$33,A9,'数据-汇总表'!K$19:K$33),SUMIF('数据-汇总表'!C$19:C$33,A9,'数据-汇总表'!N$19:N$33))</f>
        <v>7355.56</v>
      </c>
      <c r="T9" s="2215">
        <f t="shared" si="5"/>
        <v>1471</v>
      </c>
      <c r="U9" s="180">
        <v>1.8</v>
      </c>
      <c r="V9" s="181">
        <v>0.03</v>
      </c>
      <c r="W9" s="181">
        <v>0.1</v>
      </c>
      <c r="X9" s="2300"/>
      <c r="Y9" s="182">
        <v>1</v>
      </c>
      <c r="Z9" s="183"/>
      <c r="AA9" s="176"/>
      <c r="AB9" s="176"/>
      <c r="AC9" s="2303"/>
      <c r="AD9" s="184"/>
      <c r="AE9" s="971">
        <f t="shared" ca="1" si="6"/>
        <v>22.4</v>
      </c>
      <c r="AF9" s="141"/>
      <c r="AG9" s="1208">
        <f t="shared" si="7"/>
        <v>0</v>
      </c>
      <c r="AH9" s="141"/>
      <c r="AI9" s="187">
        <v>365</v>
      </c>
      <c r="AJ9" s="188"/>
      <c r="AK9" s="189">
        <v>1.4999999999999999E-2</v>
      </c>
      <c r="AL9" s="190">
        <v>1.5E-3</v>
      </c>
      <c r="AM9" s="2348">
        <v>0.01</v>
      </c>
      <c r="AN9" s="2350" t="s">
        <v>3509</v>
      </c>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0"/>
      <c r="Y10" s="182"/>
      <c r="Z10" s="183"/>
      <c r="AA10" s="176"/>
      <c r="AB10" s="176"/>
      <c r="AC10" s="2303"/>
      <c r="AD10" s="184"/>
      <c r="AE10" s="971">
        <f t="shared" ca="1" si="6"/>
        <v>0</v>
      </c>
      <c r="AF10" s="141"/>
      <c r="AG10" s="1208">
        <f t="shared" si="7"/>
        <v>0</v>
      </c>
      <c r="AH10" s="141"/>
      <c r="AI10" s="187"/>
      <c r="AJ10" s="188"/>
      <c r="AK10" s="189"/>
      <c r="AL10" s="190"/>
      <c r="AM10" s="2348"/>
      <c r="AN10" s="2350"/>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3"/>
      <c r="Y11" s="182"/>
      <c r="Z11" s="195"/>
      <c r="AA11" s="176"/>
      <c r="AB11" s="176"/>
      <c r="AC11" s="2303"/>
      <c r="AD11" s="184"/>
      <c r="AE11" s="971">
        <f t="shared" ca="1" si="6"/>
        <v>0</v>
      </c>
      <c r="AF11" s="141"/>
      <c r="AG11" s="1208">
        <f t="shared" si="7"/>
        <v>0</v>
      </c>
      <c r="AH11" s="141"/>
      <c r="AI11" s="187"/>
      <c r="AJ11" s="188"/>
      <c r="AK11" s="196"/>
      <c r="AL11" s="197"/>
      <c r="AM11" s="1798"/>
      <c r="AN11" s="2350"/>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3"/>
      <c r="Y12" s="182"/>
      <c r="Z12" s="195"/>
      <c r="AA12" s="176"/>
      <c r="AB12" s="176"/>
      <c r="AC12" s="2303"/>
      <c r="AD12" s="184"/>
      <c r="AE12" s="971">
        <f t="shared" ca="1" si="6"/>
        <v>0</v>
      </c>
      <c r="AF12" s="141"/>
      <c r="AG12" s="1208">
        <f t="shared" si="7"/>
        <v>0</v>
      </c>
      <c r="AH12" s="141"/>
      <c r="AI12" s="187"/>
      <c r="AJ12" s="188"/>
      <c r="AK12" s="196"/>
      <c r="AL12" s="197"/>
      <c r="AM12" s="1798"/>
      <c r="AN12" s="2350"/>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0"/>
      <c r="Y13" s="182"/>
      <c r="Z13" s="183"/>
      <c r="AA13" s="176"/>
      <c r="AB13" s="176"/>
      <c r="AC13" s="2303"/>
      <c r="AD13" s="184"/>
      <c r="AE13" s="971">
        <f t="shared" ca="1" si="6"/>
        <v>0</v>
      </c>
      <c r="AF13" s="141"/>
      <c r="AG13" s="1208">
        <f t="shared" si="7"/>
        <v>0</v>
      </c>
      <c r="AH13" s="141"/>
      <c r="AI13" s="187"/>
      <c r="AJ13" s="188"/>
      <c r="AK13" s="189"/>
      <c r="AL13" s="190"/>
      <c r="AM13" s="2348"/>
      <c r="AN13" s="2350"/>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2" t="s">
        <v>2311</v>
      </c>
      <c r="B14" s="2285" t="s">
        <v>1678</v>
      </c>
      <c r="C14" s="2286" t="s">
        <v>2311</v>
      </c>
      <c r="D14" s="2287"/>
      <c r="E14" s="2288"/>
      <c r="F14" s="174"/>
      <c r="G14" s="175"/>
      <c r="H14" s="2289"/>
      <c r="I14" s="2289"/>
      <c r="J14" s="2289"/>
      <c r="K14" s="179">
        <f>SUMIF('数据-汇总表'!C$19:C$33,'数据-取费表'!A14,'数据-汇总表'!E$19:E$33)</f>
        <v>21530</v>
      </c>
      <c r="L14" s="193">
        <v>2000</v>
      </c>
      <c r="M14" s="177">
        <f t="shared" si="0"/>
        <v>4306</v>
      </c>
      <c r="N14" s="194">
        <v>0</v>
      </c>
      <c r="O14" s="177">
        <f t="shared" si="3"/>
        <v>0</v>
      </c>
      <c r="P14" s="178">
        <f t="shared" si="4"/>
        <v>4306</v>
      </c>
      <c r="Q14" s="2297"/>
      <c r="R14" s="179"/>
      <c r="S14" s="132"/>
      <c r="T14" s="2296"/>
      <c r="U14" s="973"/>
      <c r="V14" s="2299"/>
      <c r="W14" s="2299"/>
      <c r="X14" s="2300"/>
      <c r="Y14" s="2301"/>
      <c r="Z14" s="136"/>
      <c r="AA14" s="2302"/>
      <c r="AB14" s="2302"/>
      <c r="AC14" s="2303"/>
      <c r="AD14" s="2300"/>
      <c r="AE14" s="971"/>
      <c r="AF14" s="2275"/>
      <c r="AG14" s="1208"/>
      <c r="AH14" s="2275"/>
      <c r="AI14" s="1556"/>
      <c r="AJ14" s="1556"/>
      <c r="AK14" s="2304"/>
      <c r="AL14" s="2305"/>
      <c r="AM14" s="2306"/>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1" t="s">
        <v>2313</v>
      </c>
      <c r="B15" s="2285" t="s">
        <v>1678</v>
      </c>
      <c r="C15" s="2286" t="s">
        <v>2312</v>
      </c>
      <c r="D15" s="2287"/>
      <c r="E15" s="2288"/>
      <c r="F15" s="174"/>
      <c r="G15" s="175"/>
      <c r="H15" s="2289"/>
      <c r="I15" s="2289"/>
      <c r="J15" s="2289"/>
      <c r="K15" s="179">
        <f>SUMIF('数据-汇总表'!C$19:C$33,'数据-取费表'!A15,'数据-汇总表'!E$19:E$33)</f>
        <v>3800</v>
      </c>
      <c r="L15" s="2295"/>
      <c r="M15" s="177"/>
      <c r="N15" s="2298"/>
      <c r="O15" s="177"/>
      <c r="P15" s="178"/>
      <c r="Q15" s="2297"/>
      <c r="R15" s="179"/>
      <c r="S15" s="132"/>
      <c r="T15" s="2296"/>
      <c r="U15" s="973"/>
      <c r="V15" s="2299"/>
      <c r="W15" s="2299"/>
      <c r="X15" s="2300"/>
      <c r="Y15" s="2301"/>
      <c r="Z15" s="136"/>
      <c r="AA15" s="2302"/>
      <c r="AB15" s="2302"/>
      <c r="AC15" s="2303"/>
      <c r="AD15" s="2300"/>
      <c r="AE15" s="971"/>
      <c r="AF15" s="2275"/>
      <c r="AG15" s="1208"/>
      <c r="AH15" s="2275"/>
      <c r="AI15" s="1556"/>
      <c r="AJ15" s="1556"/>
      <c r="AK15" s="2304"/>
      <c r="AL15" s="2305"/>
      <c r="AM15" s="2306"/>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0.83399999999999996</v>
      </c>
      <c r="H16" s="203">
        <f>ROUND(SUMPRODUCT(H6:H13,K6:K13)/SUMPRODUCT((H6:H13&gt;0)*(K6:K13)),3)</f>
        <v>4.5999999999999999E-2</v>
      </c>
      <c r="I16" s="204"/>
      <c r="J16" s="204"/>
      <c r="K16" s="205">
        <f>SUM(K6:K15)</f>
        <v>394084</v>
      </c>
      <c r="L16" s="206">
        <f>ROUND(M16*10000/SUM(K6:K14),0)</f>
        <v>2714</v>
      </c>
      <c r="M16" s="206">
        <f>SUM(M6:M14)</f>
        <v>105917</v>
      </c>
      <c r="N16" s="207">
        <f>ROUND(SUMPRODUCT(M6:M14,N6:N14)/M16,3)</f>
        <v>0</v>
      </c>
      <c r="O16" s="206">
        <f>SUM(O6:O14)</f>
        <v>0</v>
      </c>
      <c r="P16" s="206">
        <f>SUM(P6:P14)</f>
        <v>105917</v>
      </c>
      <c r="Q16" s="208">
        <f>ROUND(SUMPRODUCT(Q6:Q13,K6:K13)/SUMPRODUCT((Q6:Q13&gt;0)*(K6:K13)),2)</f>
        <v>0.09</v>
      </c>
      <c r="R16" s="2290">
        <f>SUM(R6:R13)</f>
        <v>22838</v>
      </c>
      <c r="S16" s="209">
        <f>SUM(S6:S13)</f>
        <v>21529.99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0.72099999999999997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2"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1.5</v>
      </c>
      <c r="C20" s="2322"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290</v>
      </c>
      <c r="C27" s="2325"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290</v>
      </c>
      <c r="C28" s="2324"/>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v>0</v>
      </c>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200</v>
      </c>
      <c r="C30" s="2324"/>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90</v>
      </c>
      <c r="C31" s="2325"/>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1372">
        <v>110</v>
      </c>
      <c r="C32" s="2324"/>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3">
        <v>0.03</v>
      </c>
      <c r="C33" s="2323"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3" t="s">
        <v>2888</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3"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3" t="s">
        <v>2890</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3"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3"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7" t="s">
        <v>2453</v>
      </c>
      <c r="B39" s="800">
        <f ca="1">存贷款利率!C4</f>
        <v>1.4999999999999999E-2</v>
      </c>
      <c r="C39" s="2323"/>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7" t="s">
        <v>2454</v>
      </c>
      <c r="B40" s="2439">
        <f ca="1">存贷款利率!E2</f>
        <v>4.7500000000000001E-2</v>
      </c>
      <c r="C40" s="2323"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5"/>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6.000000000000001E-3</v>
      </c>
      <c r="C43" s="2325"/>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7.0000000000000007E-2</v>
      </c>
      <c r="C44" s="2323"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5"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5"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4"/>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4"/>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20</v>
      </c>
      <c r="C52" s="2324"/>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1095</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2900</v>
      </c>
      <c r="B54" s="186">
        <v>20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2901</v>
      </c>
      <c r="B55" s="186"/>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2902</v>
      </c>
      <c r="B56" s="186"/>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2903</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2904</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2905</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02" t="s">
        <v>1662</v>
      </c>
      <c r="B1" s="3403"/>
      <c r="C1" s="3403"/>
      <c r="D1" s="3403"/>
      <c r="E1" s="3403"/>
      <c r="F1" s="3403"/>
      <c r="G1" s="3403"/>
      <c r="H1" s="1983"/>
      <c r="I1" s="1984"/>
      <c r="J1" s="1985"/>
      <c r="K1" s="1983"/>
      <c r="L1" s="1984"/>
      <c r="M1" s="1985"/>
      <c r="N1" s="1983"/>
      <c r="O1" s="1984"/>
      <c r="P1" s="1985"/>
      <c r="Q1" s="1986"/>
      <c r="R1" s="1987"/>
    </row>
    <row r="2" spans="1:18" ht="14.25" thickBot="1">
      <c r="A2" s="1216"/>
      <c r="B2" s="1217"/>
      <c r="C2" s="1218" t="s">
        <v>1663</v>
      </c>
      <c r="D2" s="1219"/>
      <c r="E2" s="1220"/>
      <c r="F2" s="1221"/>
      <c r="G2" s="1218" t="s">
        <v>1664</v>
      </c>
      <c r="H2" s="1989"/>
      <c r="I2" s="1989"/>
      <c r="J2" s="1989"/>
      <c r="K2" s="1989"/>
      <c r="L2" s="1989"/>
      <c r="M2" s="1989"/>
      <c r="N2" s="1989"/>
      <c r="O2" s="1989"/>
      <c r="P2" s="1989"/>
      <c r="Q2" s="1989"/>
      <c r="R2" s="1989"/>
    </row>
    <row r="3" spans="1:18" ht="67.5">
      <c r="A3" s="1222" t="s">
        <v>1665</v>
      </c>
      <c r="B3" s="1223" t="s">
        <v>1652</v>
      </c>
      <c r="C3" s="3181" t="s">
        <v>3012</v>
      </c>
      <c r="D3" s="1990"/>
      <c r="E3" s="1224" t="s">
        <v>1665</v>
      </c>
      <c r="F3" s="1225" t="s">
        <v>1653</v>
      </c>
      <c r="G3" s="3027" t="s">
        <v>2914</v>
      </c>
      <c r="H3" s="1989"/>
      <c r="I3" s="1989"/>
      <c r="J3" s="1989"/>
      <c r="K3" s="1989"/>
      <c r="L3" s="1989"/>
      <c r="M3" s="1989"/>
      <c r="N3" s="1989"/>
      <c r="O3" s="1989"/>
      <c r="P3" s="1989"/>
      <c r="Q3" s="1989"/>
      <c r="R3" s="1989"/>
    </row>
    <row r="4" spans="1:18" ht="67.5">
      <c r="A4" s="1224"/>
      <c r="B4" s="1226" t="s">
        <v>1666</v>
      </c>
      <c r="C4" s="3182" t="s">
        <v>3013</v>
      </c>
      <c r="D4" s="1990"/>
      <c r="E4" s="1227"/>
      <c r="F4" s="1228" t="s">
        <v>1667</v>
      </c>
      <c r="G4" s="3026" t="s">
        <v>2911</v>
      </c>
      <c r="H4" s="1989"/>
      <c r="I4" s="1989"/>
      <c r="J4" s="1989"/>
      <c r="K4" s="1989"/>
      <c r="L4" s="1989"/>
      <c r="M4" s="1989"/>
      <c r="N4" s="1989"/>
      <c r="O4" s="1989"/>
      <c r="P4" s="1989"/>
      <c r="Q4" s="1989"/>
      <c r="R4" s="1989"/>
    </row>
    <row r="5" spans="1:18" ht="40.5">
      <c r="A5" s="1224"/>
      <c r="B5" s="1226" t="s">
        <v>1668</v>
      </c>
      <c r="C5" s="3182" t="s">
        <v>3014</v>
      </c>
      <c r="D5" s="1990"/>
      <c r="E5" s="1227"/>
      <c r="F5" s="1226" t="s">
        <v>2543</v>
      </c>
      <c r="G5" s="3026" t="s">
        <v>2912</v>
      </c>
      <c r="H5" s="1989"/>
      <c r="I5" s="1989"/>
      <c r="J5" s="1989"/>
      <c r="K5" s="1989"/>
      <c r="L5" s="1989"/>
      <c r="M5" s="1989"/>
      <c r="N5" s="1989"/>
      <c r="O5" s="1989"/>
      <c r="P5" s="1989"/>
      <c r="Q5" s="1989"/>
      <c r="R5" s="1989"/>
    </row>
    <row r="6" spans="1:18" ht="67.5">
      <c r="A6" s="1224"/>
      <c r="B6" s="1226" t="s">
        <v>1654</v>
      </c>
      <c r="C6" s="3183" t="s">
        <v>3015</v>
      </c>
      <c r="D6" s="1990"/>
      <c r="E6" s="1227"/>
      <c r="F6" s="1226" t="s">
        <v>2544</v>
      </c>
      <c r="G6" s="3026" t="s">
        <v>2910</v>
      </c>
      <c r="H6" s="1989"/>
      <c r="I6" s="1989"/>
      <c r="J6" s="1989"/>
      <c r="K6" s="1989"/>
      <c r="L6" s="1989"/>
      <c r="M6" s="1989"/>
      <c r="N6" s="1989"/>
      <c r="O6" s="1989"/>
      <c r="P6" s="1989"/>
      <c r="Q6" s="1989"/>
      <c r="R6" s="1989"/>
    </row>
    <row r="7" spans="1:18" ht="41.25" thickBot="1">
      <c r="A7" s="1224"/>
      <c r="B7" s="1226" t="s">
        <v>2543</v>
      </c>
      <c r="C7" s="3183" t="s">
        <v>3016</v>
      </c>
      <c r="D7" s="1991"/>
      <c r="E7" s="1229"/>
      <c r="F7" s="1230" t="s">
        <v>1669</v>
      </c>
      <c r="G7" s="3028" t="s">
        <v>2913</v>
      </c>
      <c r="H7" s="1989"/>
      <c r="I7" s="1989"/>
      <c r="J7" s="1989"/>
      <c r="K7" s="1989"/>
      <c r="L7" s="1989"/>
      <c r="M7" s="1989"/>
      <c r="N7" s="1989"/>
      <c r="O7" s="1989"/>
      <c r="P7" s="1989"/>
      <c r="Q7" s="1989"/>
      <c r="R7" s="1989"/>
    </row>
    <row r="8" spans="1:18" ht="27">
      <c r="A8" s="1224"/>
      <c r="B8" s="1226" t="s">
        <v>2544</v>
      </c>
      <c r="C8" s="3183" t="s">
        <v>3017</v>
      </c>
      <c r="D8" s="1991"/>
      <c r="E8" s="1991"/>
      <c r="F8" s="1538"/>
      <c r="G8" s="1538"/>
      <c r="H8" s="1989"/>
      <c r="I8" s="1989"/>
      <c r="J8" s="1989"/>
      <c r="K8" s="1989"/>
      <c r="L8" s="1989"/>
      <c r="M8" s="1989"/>
      <c r="N8" s="1989"/>
      <c r="O8" s="1989"/>
      <c r="P8" s="1989"/>
      <c r="Q8" s="1989"/>
      <c r="R8" s="1989"/>
    </row>
    <row r="9" spans="1:18" ht="94.5">
      <c r="A9" s="1224"/>
      <c r="B9" s="1226" t="s">
        <v>1655</v>
      </c>
      <c r="C9" s="3182" t="s">
        <v>3018</v>
      </c>
      <c r="D9" s="1990"/>
      <c r="E9" s="1991"/>
      <c r="F9" s="1538"/>
      <c r="G9" s="1538"/>
      <c r="H9" s="1989"/>
      <c r="I9" s="1989"/>
      <c r="J9" s="1989"/>
      <c r="K9" s="1989"/>
      <c r="L9" s="1989"/>
      <c r="M9" s="1989"/>
      <c r="N9" s="1989"/>
      <c r="O9" s="1989"/>
      <c r="P9" s="1989"/>
      <c r="Q9" s="1989"/>
      <c r="R9" s="1989"/>
    </row>
    <row r="10" spans="1:18" s="1997" customFormat="1" ht="14.25" thickBot="1">
      <c r="A10" s="1231"/>
      <c r="B10" s="1232" t="s">
        <v>1670</v>
      </c>
      <c r="C10" s="3184" t="s">
        <v>3019</v>
      </c>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6"/>
      <c r="E12" s="1990"/>
      <c r="F12" s="1991"/>
      <c r="G12" s="1993"/>
      <c r="H12" s="1998"/>
      <c r="I12" s="1999"/>
      <c r="J12" s="1998"/>
      <c r="K12" s="1998"/>
      <c r="L12" s="2000"/>
      <c r="M12" s="1998"/>
      <c r="N12" s="2001"/>
      <c r="O12" s="2002"/>
      <c r="P12" s="2003"/>
      <c r="Q12" s="2001"/>
      <c r="R12" s="1987"/>
    </row>
    <row r="13" spans="1:18" ht="19.5" thickBot="1">
      <c r="A13" s="2535" t="s">
        <v>1671</v>
      </c>
      <c r="B13" s="2536"/>
      <c r="C13" s="2536"/>
      <c r="D13" s="1219"/>
      <c r="E13" s="2536"/>
      <c r="F13" s="2536"/>
      <c r="G13" s="2536"/>
    </row>
    <row r="14" spans="1:18" ht="14.25" thickBot="1">
      <c r="A14" s="1233"/>
      <c r="B14" s="1234"/>
      <c r="C14" s="1235" t="s">
        <v>1663</v>
      </c>
      <c r="D14" s="1990"/>
      <c r="E14" s="1236"/>
      <c r="F14" s="1236"/>
      <c r="G14" s="1218" t="s">
        <v>1664</v>
      </c>
    </row>
    <row r="15" spans="1:18" ht="67.5">
      <c r="A15" s="2546" t="s">
        <v>1656</v>
      </c>
      <c r="B15" s="1237" t="s">
        <v>1652</v>
      </c>
      <c r="C15" s="1238" t="str">
        <f>C3</f>
        <v>估价对象周边有怡景园、汇丰江山汇等住宅社区，分布密度一般，规模一般，入住率一般，综合评价居住社区成熟度一般。</v>
      </c>
      <c r="D15" s="1990"/>
      <c r="E15" s="2543" t="s">
        <v>1657</v>
      </c>
      <c r="F15" s="1237" t="s">
        <v>1672</v>
      </c>
      <c r="G15" s="1239" t="str">
        <f>G3</f>
        <v>估价对象位于XX开发区，园区建设成熟度XX，产业集聚程度XX</v>
      </c>
    </row>
    <row r="16" spans="1:18" ht="67.5">
      <c r="A16" s="2547"/>
      <c r="B16" s="1240" t="s">
        <v>1666</v>
      </c>
      <c r="C16" s="1241" t="str">
        <f>C4</f>
        <v>估价对象周边有长嘉汇购物公园、重庆来福士广场，周边商业氛围成熟度一般，人流量一般，商业繁华度一般。</v>
      </c>
      <c r="D16" s="1990"/>
      <c r="E16" s="2544"/>
      <c r="F16" s="1242" t="s">
        <v>1667</v>
      </c>
      <c r="G16" s="1004" t="str">
        <f>G4</f>
        <v>估价对象周边道路状况、公共交通通达情况、停车便捷程度，综合评价交通便捷度较好</v>
      </c>
    </row>
    <row r="17" spans="1:7" ht="40.5">
      <c r="A17" s="2547"/>
      <c r="B17" s="1240" t="s">
        <v>1668</v>
      </c>
      <c r="C17" s="1241" t="str">
        <f>C5</f>
        <v>估价对周边办公楼项目较少，入驻率较差，办公集聚程度较差。</v>
      </c>
      <c r="D17" s="1991"/>
      <c r="E17" s="2544"/>
      <c r="F17" s="1242" t="s">
        <v>1673</v>
      </c>
      <c r="G17" s="2744"/>
    </row>
    <row r="18" spans="1:7" ht="67.5">
      <c r="A18" s="2547"/>
      <c r="B18" s="1242" t="s">
        <v>1654</v>
      </c>
      <c r="C18" s="1004" t="str">
        <f>C6</f>
        <v>估价对象周边有338路、373路、375路等多条公交线路、路网密集度一般、停车便捷程度较好，综合评价交通便捷度较好。</v>
      </c>
      <c r="D18" s="1991"/>
      <c r="E18" s="2544"/>
      <c r="F18" s="1242" t="s">
        <v>1669</v>
      </c>
      <c r="G18" s="1004" t="str">
        <f>G7</f>
        <v>该园区内是否有污染型企业，绿化情况，卫生条件，整体环境状况判断</v>
      </c>
    </row>
    <row r="19" spans="1:7" ht="27">
      <c r="A19" s="2547"/>
      <c r="B19" s="1242" t="s">
        <v>1658</v>
      </c>
      <c r="C19" s="3185" t="s">
        <v>3020</v>
      </c>
      <c r="D19" s="1990"/>
      <c r="E19" s="2544"/>
      <c r="F19" s="1226" t="s">
        <v>2543</v>
      </c>
      <c r="G19" s="1004" t="str">
        <f>G5</f>
        <v>估价对象所在区域公共配套设施齐备情况</v>
      </c>
    </row>
    <row r="20" spans="1:7" ht="94.5">
      <c r="A20" s="2547"/>
      <c r="B20" s="1242" t="s">
        <v>1659</v>
      </c>
      <c r="C20" s="1241" t="str">
        <f>C9</f>
        <v>估价对象邻近长江，绿化一般，自然环境一般；周边有慈云寺、长江艺术广场，无博物馆、体育场等人文设施，自然环境一般；综合评价环境状况一般。</v>
      </c>
      <c r="D20" s="1991"/>
      <c r="E20" s="2544"/>
      <c r="F20" s="1226" t="s">
        <v>2544</v>
      </c>
      <c r="G20" s="1004" t="str">
        <f>G6</f>
        <v>估价对象所在区域基础设施水平</v>
      </c>
    </row>
    <row r="21" spans="1:7" ht="27">
      <c r="A21" s="2547"/>
      <c r="B21" s="1226" t="s">
        <v>2543</v>
      </c>
      <c r="C21" s="1004" t="str">
        <f>C7</f>
        <v>估价对象所在区域公共配套设施齐备情况较好。</v>
      </c>
      <c r="D21" s="1990"/>
      <c r="E21" s="2544"/>
      <c r="F21" s="1242" t="s">
        <v>1660</v>
      </c>
      <c r="G21" s="3029"/>
    </row>
    <row r="22" spans="1:7" ht="27">
      <c r="A22" s="2547"/>
      <c r="B22" s="1226" t="s">
        <v>2544</v>
      </c>
      <c r="C22" s="1004" t="str">
        <f>C8</f>
        <v>估价对象所在区域基础设施水平达“六通”。</v>
      </c>
      <c r="D22" s="1990"/>
      <c r="E22" s="2544"/>
      <c r="F22" s="1242" t="s">
        <v>1670</v>
      </c>
      <c r="G22" s="2744"/>
    </row>
    <row r="23" spans="1:7" ht="15" thickBot="1">
      <c r="A23" s="2547"/>
      <c r="B23" s="1242" t="s">
        <v>1660</v>
      </c>
      <c r="C23" s="3029" t="s">
        <v>3021</v>
      </c>
      <c r="E23" s="2545"/>
      <c r="F23" s="1243" t="s">
        <v>1674</v>
      </c>
      <c r="G23" s="3030"/>
    </row>
    <row r="24" spans="1:7" ht="14.25" thickBot="1">
      <c r="A24" s="2548"/>
      <c r="B24" s="1243" t="s">
        <v>1661</v>
      </c>
      <c r="C24" s="1244" t="str">
        <f>C10</f>
        <v>城市支路—下石浩路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90" t="s">
        <v>2840</v>
      </c>
      <c r="B1" s="2990">
        <f>SUM(B14:B23)</f>
        <v>394084</v>
      </c>
      <c r="C1" s="2991"/>
      <c r="D1" s="2991"/>
      <c r="E1" s="2991"/>
      <c r="F1" s="2991"/>
    </row>
    <row r="2" spans="1:9" ht="16.5">
      <c r="A2" s="2990" t="s">
        <v>2841</v>
      </c>
      <c r="B2" s="2990">
        <f>SUM(C14:C23)</f>
        <v>22838</v>
      </c>
      <c r="C2" s="2991"/>
      <c r="D2" s="2991"/>
      <c r="E2" s="2991"/>
      <c r="F2" s="2991"/>
    </row>
    <row r="3" spans="1:9" ht="16.5">
      <c r="A3" s="2990" t="s">
        <v>2842</v>
      </c>
      <c r="B3" s="2992">
        <f>项目基本情况!D3</f>
        <v>43602</v>
      </c>
      <c r="C3" s="2991"/>
      <c r="D3" s="2991"/>
      <c r="E3" s="2991"/>
      <c r="F3" s="2991"/>
    </row>
    <row r="4" spans="1:9" ht="33">
      <c r="A4" s="2990" t="s">
        <v>2843</v>
      </c>
      <c r="B4" s="2990" t="s">
        <v>2844</v>
      </c>
      <c r="C4" s="2990" t="s">
        <v>2845</v>
      </c>
      <c r="D4" s="2990" t="s">
        <v>2846</v>
      </c>
      <c r="E4" s="2991"/>
      <c r="F4" s="2991"/>
    </row>
    <row r="5" spans="1:9" ht="16.5">
      <c r="A5" s="2990" t="s">
        <v>2847</v>
      </c>
      <c r="B5" s="2990">
        <f ca="1">SUM(D14:D23)</f>
        <v>331515</v>
      </c>
      <c r="C5" s="2990">
        <f ca="1">ROUND(B5*10000/$B$1,0)</f>
        <v>8412</v>
      </c>
      <c r="D5" s="2990">
        <f ca="1">ROUND(B5*10000/$B$2,0)</f>
        <v>145159</v>
      </c>
      <c r="E5" s="2991"/>
      <c r="F5" s="2991"/>
    </row>
    <row r="6" spans="1:9" ht="16.5">
      <c r="A6" s="2990" t="s">
        <v>2848</v>
      </c>
      <c r="B6" s="2990">
        <f ca="1">SUM(G14:G23)</f>
        <v>331515</v>
      </c>
      <c r="C6" s="2990">
        <f t="shared" ref="C6:C8" ca="1" si="0">ROUND(B6*10000/$B$1,0)</f>
        <v>8412</v>
      </c>
      <c r="D6" s="2990">
        <f t="shared" ref="D6:D8" ca="1" si="1">ROUND(B6*10000/$B$2,0)</f>
        <v>145159</v>
      </c>
      <c r="E6" s="2991"/>
      <c r="F6" s="2991"/>
    </row>
    <row r="7" spans="1:9" ht="16.5">
      <c r="A7" s="2990" t="s">
        <v>2849</v>
      </c>
      <c r="B7" s="2990">
        <f>SUM(H14:H23)</f>
        <v>0</v>
      </c>
      <c r="C7" s="2990">
        <f t="shared" si="0"/>
        <v>0</v>
      </c>
      <c r="D7" s="2990">
        <f t="shared" si="1"/>
        <v>0</v>
      </c>
      <c r="E7" s="2991"/>
      <c r="F7" s="2991"/>
    </row>
    <row r="8" spans="1:9" ht="16.5">
      <c r="A8" s="2990" t="s">
        <v>2850</v>
      </c>
      <c r="B8" s="2990">
        <f>SUM(I14:I23)</f>
        <v>0</v>
      </c>
      <c r="C8" s="2990">
        <f t="shared" si="0"/>
        <v>0</v>
      </c>
      <c r="D8" s="2990">
        <f t="shared" si="1"/>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394084</v>
      </c>
      <c r="C14" s="2994">
        <f>结果表!K38</f>
        <v>22838</v>
      </c>
      <c r="D14" s="2994">
        <f ca="1">结果表!C42</f>
        <v>331515</v>
      </c>
      <c r="E14" s="2994">
        <f ca="1">ROUND(D14*10000/B14,0)</f>
        <v>8412</v>
      </c>
      <c r="F14" s="2994">
        <f ca="1">ROUND(D14*10000/C14,0)</f>
        <v>145159</v>
      </c>
      <c r="G14" s="2994">
        <f ca="1">结果表!C44</f>
        <v>331515</v>
      </c>
      <c r="H14" s="2994" t="str">
        <f>结果表!C45</f>
        <v>——</v>
      </c>
      <c r="I14" s="2994" t="str">
        <f>结果表!C46</f>
        <v>——</v>
      </c>
    </row>
    <row r="15" spans="1:9" ht="16.5">
      <c r="A15" s="2997" t="s">
        <v>2857</v>
      </c>
      <c r="B15" s="2998"/>
      <c r="C15" s="2998"/>
      <c r="D15" s="2998"/>
      <c r="E15" s="2994" t="e">
        <f t="shared" ref="E15:E23" si="2">ROUND(D15*10000/B15,0)</f>
        <v>#DIV/0!</v>
      </c>
      <c r="F15" s="2994" t="e">
        <f t="shared" ref="F15:F23" si="3">ROUND(D15*10000/C15,0)</f>
        <v>#DIV/0!</v>
      </c>
      <c r="G15" s="2995"/>
      <c r="H15" s="2995"/>
      <c r="I15" s="2998"/>
    </row>
    <row r="16" spans="1:9" ht="16.5">
      <c r="A16" s="2997" t="s">
        <v>2858</v>
      </c>
      <c r="B16" s="2998"/>
      <c r="C16" s="2998"/>
      <c r="D16" s="2998"/>
      <c r="E16" s="2994" t="e">
        <f t="shared" si="2"/>
        <v>#DIV/0!</v>
      </c>
      <c r="F16" s="2994" t="e">
        <f t="shared" si="3"/>
        <v>#DIV/0!</v>
      </c>
      <c r="G16" s="2995"/>
      <c r="H16" s="2995"/>
      <c r="I16" s="2998"/>
    </row>
    <row r="17" spans="1:9" ht="16.5">
      <c r="A17" s="2997" t="s">
        <v>2859</v>
      </c>
      <c r="B17" s="2998"/>
      <c r="C17" s="2998"/>
      <c r="D17" s="2998"/>
      <c r="E17" s="2994" t="e">
        <f t="shared" si="2"/>
        <v>#DIV/0!</v>
      </c>
      <c r="F17" s="2994" t="e">
        <f t="shared" si="3"/>
        <v>#DIV/0!</v>
      </c>
      <c r="G17" s="2995"/>
      <c r="H17" s="2995"/>
      <c r="I17" s="2998"/>
    </row>
    <row r="18" spans="1:9" ht="16.5">
      <c r="A18" s="2997" t="s">
        <v>2860</v>
      </c>
      <c r="B18" s="2998"/>
      <c r="C18" s="2998"/>
      <c r="D18" s="2998"/>
      <c r="E18" s="2994" t="e">
        <f t="shared" si="2"/>
        <v>#DIV/0!</v>
      </c>
      <c r="F18" s="2994" t="e">
        <f t="shared" si="3"/>
        <v>#DIV/0!</v>
      </c>
      <c r="G18" s="2998"/>
      <c r="H18" s="2998"/>
      <c r="I18" s="2998"/>
    </row>
    <row r="19" spans="1:9" ht="16.5">
      <c r="A19" s="2997" t="s">
        <v>2861</v>
      </c>
      <c r="B19" s="2998"/>
      <c r="C19" s="2998"/>
      <c r="D19" s="2998"/>
      <c r="E19" s="2994" t="e">
        <f t="shared" si="2"/>
        <v>#DIV/0!</v>
      </c>
      <c r="F19" s="2994" t="e">
        <f t="shared" si="3"/>
        <v>#DIV/0!</v>
      </c>
      <c r="G19" s="2998"/>
      <c r="H19" s="2998"/>
      <c r="I19" s="2998"/>
    </row>
    <row r="20" spans="1:9" ht="16.5">
      <c r="A20" s="2997" t="s">
        <v>2862</v>
      </c>
      <c r="B20" s="2998"/>
      <c r="C20" s="2998"/>
      <c r="D20" s="2998"/>
      <c r="E20" s="2994" t="e">
        <f t="shared" si="2"/>
        <v>#DIV/0!</v>
      </c>
      <c r="F20" s="2994" t="e">
        <f t="shared" si="3"/>
        <v>#DIV/0!</v>
      </c>
      <c r="G20" s="2998"/>
      <c r="H20" s="2998"/>
      <c r="I20" s="2998"/>
    </row>
    <row r="21" spans="1:9" ht="16.5">
      <c r="A21" s="2997" t="s">
        <v>2863</v>
      </c>
      <c r="B21" s="2998"/>
      <c r="C21" s="2998"/>
      <c r="D21" s="2998"/>
      <c r="E21" s="2994" t="e">
        <f t="shared" si="2"/>
        <v>#DIV/0!</v>
      </c>
      <c r="F21" s="2994" t="e">
        <f t="shared" si="3"/>
        <v>#DIV/0!</v>
      </c>
      <c r="G21" s="2998"/>
      <c r="H21" s="2998"/>
      <c r="I21" s="2998"/>
    </row>
    <row r="22" spans="1:9" ht="16.5">
      <c r="A22" s="2997" t="s">
        <v>2864</v>
      </c>
      <c r="B22" s="2998"/>
      <c r="C22" s="2998"/>
      <c r="D22" s="2998"/>
      <c r="E22" s="2994" t="e">
        <f t="shared" si="2"/>
        <v>#DIV/0!</v>
      </c>
      <c r="F22" s="2994" t="e">
        <f t="shared" si="3"/>
        <v>#DIV/0!</v>
      </c>
      <c r="G22" s="2998"/>
      <c r="H22" s="2998"/>
      <c r="I22" s="2998"/>
    </row>
    <row r="23" spans="1:9" ht="16.5">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2052</v>
      </c>
      <c r="B1" s="1758"/>
      <c r="C1" s="1786" t="s">
        <v>2053</v>
      </c>
      <c r="D1" s="1787" t="s">
        <v>3423</v>
      </c>
      <c r="E1" s="1786" t="s">
        <v>2054</v>
      </c>
      <c r="F1" s="1788"/>
      <c r="G1" s="311"/>
      <c r="H1" s="311"/>
      <c r="I1" s="311"/>
      <c r="J1" s="2010"/>
      <c r="K1" s="2010"/>
      <c r="L1" s="2010"/>
      <c r="M1" s="2010"/>
      <c r="N1" s="2010"/>
      <c r="O1" s="2010"/>
      <c r="P1" s="2010"/>
      <c r="Q1" s="2010"/>
      <c r="R1" s="2010"/>
      <c r="S1" s="2010"/>
      <c r="T1" s="2010"/>
      <c r="U1" s="2010"/>
      <c r="V1" s="2010"/>
    </row>
    <row r="2" spans="1:22" ht="21.75" customHeight="1" thickBot="1">
      <c r="A2" s="3449" t="str">
        <f>项目基本情况!K2</f>
        <v>重庆市南岸区涂山镇石溪路出让国有建设用地使用权</v>
      </c>
      <c r="B2" s="3450"/>
      <c r="C2" s="3451"/>
      <c r="D2" s="3451"/>
      <c r="E2" s="3451"/>
      <c r="F2" s="3451"/>
      <c r="G2" s="3450"/>
      <c r="H2" s="3450"/>
      <c r="I2" s="3452"/>
      <c r="J2" s="2011"/>
      <c r="K2" s="2010"/>
      <c r="L2" s="2010"/>
      <c r="M2" s="2010"/>
      <c r="N2" s="2010"/>
      <c r="O2" s="2010"/>
      <c r="P2" s="2010"/>
      <c r="Q2" s="2010"/>
      <c r="R2" s="2010"/>
      <c r="S2" s="2010"/>
      <c r="T2" s="2010"/>
      <c r="U2" s="2010"/>
      <c r="V2" s="2010"/>
    </row>
    <row r="3" spans="1:22" ht="14.25">
      <c r="A3" s="3460" t="s">
        <v>298</v>
      </c>
      <c r="B3" s="3461"/>
      <c r="C3" s="3461"/>
      <c r="D3" s="3461"/>
      <c r="E3" s="3461"/>
      <c r="F3" s="3461"/>
      <c r="G3" s="3461"/>
      <c r="H3" s="3461"/>
      <c r="I3" s="3461"/>
      <c r="J3" s="2011"/>
      <c r="K3" s="2010"/>
      <c r="L3" s="2010"/>
      <c r="M3" s="2010"/>
      <c r="N3" s="2010"/>
      <c r="O3" s="2010"/>
      <c r="P3" s="2010"/>
      <c r="Q3" s="2010"/>
      <c r="R3" s="2010"/>
      <c r="S3" s="2010"/>
      <c r="T3" s="2010"/>
      <c r="U3" s="2010"/>
      <c r="V3" s="2010"/>
    </row>
    <row r="4" spans="1:22" ht="14.25">
      <c r="A4" s="258" t="s">
        <v>299</v>
      </c>
      <c r="B4" s="259" t="s">
        <v>300</v>
      </c>
      <c r="C4" s="260" t="s">
        <v>3424</v>
      </c>
      <c r="D4" s="260" t="s">
        <v>3425</v>
      </c>
      <c r="E4" s="3424" t="s">
        <v>301</v>
      </c>
      <c r="F4" s="3466"/>
      <c r="G4" s="3466"/>
      <c r="H4" s="3466"/>
      <c r="I4" s="3425"/>
      <c r="J4" s="2011"/>
      <c r="K4" s="201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453" t="s">
        <v>302</v>
      </c>
      <c r="B5" s="3454">
        <v>25</v>
      </c>
      <c r="C5" s="3462"/>
      <c r="D5" s="3465"/>
      <c r="E5" s="261" t="s">
        <v>303</v>
      </c>
      <c r="F5" s="262"/>
      <c r="G5" s="262"/>
      <c r="H5" s="262"/>
      <c r="I5" s="263"/>
      <c r="J5" s="2011"/>
      <c r="K5" s="2010"/>
      <c r="L5" s="2010"/>
      <c r="M5" s="2010"/>
      <c r="N5" s="2010"/>
      <c r="O5" s="2010"/>
      <c r="P5" s="2010"/>
      <c r="Q5" s="2010"/>
      <c r="R5" s="2010"/>
      <c r="S5" s="2010"/>
      <c r="T5" s="2010"/>
      <c r="U5" s="2010"/>
      <c r="V5" s="2010"/>
    </row>
    <row r="6" spans="1:22" ht="14.25">
      <c r="A6" s="3453"/>
      <c r="B6" s="3454"/>
      <c r="C6" s="3463"/>
      <c r="D6" s="3465"/>
      <c r="E6" s="261" t="s">
        <v>304</v>
      </c>
      <c r="F6" s="262"/>
      <c r="G6" s="262"/>
      <c r="H6" s="262"/>
      <c r="I6" s="263"/>
      <c r="J6" s="2011"/>
      <c r="K6" s="2010"/>
      <c r="L6" s="2010"/>
      <c r="M6" s="2010"/>
      <c r="N6" s="2010"/>
      <c r="O6" s="2010"/>
      <c r="P6" s="2010"/>
      <c r="Q6" s="2010"/>
      <c r="R6" s="2010"/>
      <c r="S6" s="2010"/>
      <c r="T6" s="2010"/>
      <c r="U6" s="2010"/>
      <c r="V6" s="2010"/>
    </row>
    <row r="7" spans="1:22" ht="14.25">
      <c r="A7" s="3453"/>
      <c r="B7" s="3454"/>
      <c r="C7" s="3464"/>
      <c r="D7" s="3465"/>
      <c r="E7" s="261" t="s">
        <v>305</v>
      </c>
      <c r="F7" s="262"/>
      <c r="G7" s="262"/>
      <c r="H7" s="262"/>
      <c r="I7" s="263"/>
      <c r="J7" s="2011"/>
      <c r="K7" s="2010"/>
      <c r="L7" s="2010"/>
      <c r="M7" s="2010"/>
      <c r="N7" s="2010"/>
      <c r="O7" s="2010"/>
      <c r="P7" s="2010"/>
      <c r="Q7" s="2010"/>
      <c r="R7" s="2010"/>
      <c r="S7" s="2010"/>
      <c r="T7" s="2010"/>
      <c r="U7" s="2010"/>
      <c r="V7" s="2010"/>
    </row>
    <row r="8" spans="1:22" ht="14.25">
      <c r="A8" s="3453" t="s">
        <v>306</v>
      </c>
      <c r="B8" s="3454">
        <v>15</v>
      </c>
      <c r="C8" s="3462"/>
      <c r="D8" s="3465"/>
      <c r="E8" s="261" t="s">
        <v>307</v>
      </c>
      <c r="F8" s="262"/>
      <c r="G8" s="262"/>
      <c r="H8" s="262"/>
      <c r="I8" s="263"/>
      <c r="J8" s="2011"/>
      <c r="K8" s="2010"/>
      <c r="L8" s="2010"/>
      <c r="M8" s="2010"/>
      <c r="N8" s="2010"/>
      <c r="O8" s="2010"/>
      <c r="P8" s="2010"/>
      <c r="Q8" s="2010"/>
      <c r="R8" s="2010"/>
      <c r="S8" s="2010"/>
      <c r="T8" s="2010"/>
      <c r="U8" s="2010"/>
      <c r="V8" s="2010"/>
    </row>
    <row r="9" spans="1:22" ht="14.25">
      <c r="A9" s="3453"/>
      <c r="B9" s="3454"/>
      <c r="C9" s="3464"/>
      <c r="D9" s="3465"/>
      <c r="E9" s="261" t="s">
        <v>308</v>
      </c>
      <c r="F9" s="262"/>
      <c r="G9" s="262"/>
      <c r="H9" s="262"/>
      <c r="I9" s="263"/>
      <c r="J9" s="2011"/>
      <c r="K9" s="2010"/>
      <c r="L9" s="2010"/>
      <c r="M9" s="2010"/>
      <c r="N9" s="2010"/>
      <c r="O9" s="2010"/>
      <c r="P9" s="2010"/>
      <c r="Q9" s="2010"/>
      <c r="R9" s="2010"/>
      <c r="S9" s="2010"/>
      <c r="T9" s="2010"/>
      <c r="U9" s="2010"/>
      <c r="V9" s="2010"/>
    </row>
    <row r="10" spans="1:22" ht="14.25">
      <c r="A10" s="3453" t="s">
        <v>309</v>
      </c>
      <c r="B10" s="3454">
        <v>15</v>
      </c>
      <c r="C10" s="3462"/>
      <c r="D10" s="3465"/>
      <c r="E10" s="261" t="s">
        <v>310</v>
      </c>
      <c r="F10" s="262"/>
      <c r="G10" s="262"/>
      <c r="H10" s="262"/>
      <c r="I10" s="263"/>
      <c r="J10" s="2011"/>
      <c r="K10" s="2010"/>
      <c r="L10" s="2010"/>
      <c r="M10" s="2010"/>
      <c r="N10" s="2010"/>
      <c r="O10" s="2010"/>
      <c r="P10" s="2010"/>
      <c r="Q10" s="2010"/>
      <c r="R10" s="2010"/>
      <c r="S10" s="2010"/>
      <c r="T10" s="2010"/>
      <c r="U10" s="2010"/>
      <c r="V10" s="2010"/>
    </row>
    <row r="11" spans="1:22" ht="14.25">
      <c r="A11" s="3453"/>
      <c r="B11" s="3454"/>
      <c r="C11" s="3464"/>
      <c r="D11" s="3465"/>
      <c r="E11" s="261" t="s">
        <v>311</v>
      </c>
      <c r="F11" s="262"/>
      <c r="G11" s="262"/>
      <c r="H11" s="262"/>
      <c r="I11" s="263"/>
      <c r="J11" s="2011"/>
      <c r="K11" s="2010"/>
      <c r="L11" s="2010"/>
      <c r="M11" s="2010"/>
      <c r="N11" s="2010"/>
      <c r="O11" s="2010"/>
      <c r="P11" s="2010"/>
      <c r="Q11" s="2010"/>
      <c r="R11" s="2010"/>
      <c r="S11" s="2010"/>
      <c r="T11" s="2010"/>
      <c r="U11" s="2010"/>
      <c r="V11" s="2010"/>
    </row>
    <row r="12" spans="1:22" ht="14.25">
      <c r="A12" s="3453" t="s">
        <v>312</v>
      </c>
      <c r="B12" s="3454">
        <v>15</v>
      </c>
      <c r="C12" s="3462"/>
      <c r="D12" s="3465"/>
      <c r="E12" s="261" t="s">
        <v>313</v>
      </c>
      <c r="F12" s="262"/>
      <c r="G12" s="262"/>
      <c r="H12" s="262"/>
      <c r="I12" s="263"/>
      <c r="J12" s="2011"/>
      <c r="K12" s="2010"/>
      <c r="L12" s="2010"/>
      <c r="M12" s="2010"/>
      <c r="N12" s="2010"/>
      <c r="O12" s="2010"/>
      <c r="P12" s="2010"/>
      <c r="Q12" s="2010"/>
      <c r="R12" s="2010"/>
      <c r="S12" s="2010"/>
      <c r="T12" s="2010"/>
      <c r="U12" s="2010"/>
      <c r="V12" s="2010"/>
    </row>
    <row r="13" spans="1:22" ht="14.25">
      <c r="A13" s="3453"/>
      <c r="B13" s="3454"/>
      <c r="C13" s="3464"/>
      <c r="D13" s="3465"/>
      <c r="E13" s="261" t="s">
        <v>314</v>
      </c>
      <c r="F13" s="262"/>
      <c r="G13" s="262"/>
      <c r="H13" s="262"/>
      <c r="I13" s="263"/>
      <c r="J13" s="2011"/>
      <c r="K13" s="2010"/>
      <c r="L13" s="2010"/>
      <c r="M13" s="2010"/>
      <c r="N13" s="2010"/>
      <c r="O13" s="2010"/>
      <c r="P13" s="2010"/>
      <c r="Q13" s="2010"/>
      <c r="R13" s="2010"/>
      <c r="S13" s="2010"/>
      <c r="T13" s="2010"/>
      <c r="U13" s="2010"/>
      <c r="V13" s="2010"/>
    </row>
    <row r="14" spans="1:22" ht="14.25">
      <c r="A14" s="3453" t="s">
        <v>315</v>
      </c>
      <c r="B14" s="3454">
        <v>30</v>
      </c>
      <c r="C14" s="3462">
        <v>5</v>
      </c>
      <c r="D14" s="3465">
        <v>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453"/>
      <c r="B15" s="3454"/>
      <c r="C15" s="3463"/>
      <c r="D15" s="3465"/>
      <c r="E15" s="261" t="s">
        <v>317</v>
      </c>
      <c r="F15" s="262"/>
      <c r="G15" s="262"/>
      <c r="H15" s="262"/>
      <c r="I15" s="263"/>
      <c r="J15" s="2011"/>
      <c r="K15" s="2010"/>
      <c r="L15" s="2010"/>
      <c r="M15" s="2010"/>
      <c r="N15" s="2010"/>
      <c r="O15" s="2010"/>
      <c r="P15" s="2010"/>
      <c r="Q15" s="2010"/>
      <c r="R15" s="2010"/>
      <c r="S15" s="2010"/>
      <c r="T15" s="2010"/>
      <c r="U15" s="2010"/>
      <c r="V15" s="2010"/>
    </row>
    <row r="16" spans="1:22" ht="14.25">
      <c r="A16" s="3453"/>
      <c r="B16" s="3454"/>
      <c r="C16" s="3464"/>
      <c r="D16" s="3465"/>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363887</v>
      </c>
      <c r="D19" s="271">
        <f ca="1">SUMIF(INDIRECT("'"&amp;D4&amp;"'"&amp;"!A:A"),结果表!B19,INDIRECT("'"&amp;D4&amp;"'"&amp;"!B:B"))</f>
        <v>299142</v>
      </c>
      <c r="E19" s="268" t="s">
        <v>323</v>
      </c>
      <c r="F19" s="269" t="s">
        <v>322</v>
      </c>
      <c r="G19" s="272">
        <f ca="1">ROUND(C19*$C$18+D19*$D$18,0)</f>
        <v>331515</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9234</v>
      </c>
      <c r="D20" s="277">
        <f ca="1">SUMIF(INDIRECT("'"&amp;D4&amp;"'"&amp;"!A:A"),结果表!B20,INDIRECT("'"&amp;D4&amp;"'"&amp;"!B:B"))</f>
        <v>7591</v>
      </c>
      <c r="E20" s="274"/>
      <c r="F20" s="275" t="s">
        <v>325</v>
      </c>
      <c r="G20" s="278">
        <f ca="1">ROUND(C20*$C$18+D20*$D$18,0)</f>
        <v>8413</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159334</v>
      </c>
      <c r="D21" s="151">
        <f ca="1">SUMIF(INDIRECT("'"&amp;D4&amp;"'"&amp;"!A:A"),结果表!B21,INDIRECT("'"&amp;D4&amp;"'"&amp;"!B:B"))</f>
        <v>130984</v>
      </c>
      <c r="E21" s="274"/>
      <c r="F21" s="280" t="s">
        <v>327</v>
      </c>
      <c r="G21" s="282">
        <f ca="1">ROUND(C21*$C$18+D21*$D$18,0)</f>
        <v>145159</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0.21643567269056163</v>
      </c>
      <c r="E22" s="284"/>
      <c r="F22" s="285"/>
      <c r="G22" s="286">
        <f ca="1">ROUND(G19/('数据-汇总表'!D3/666.67),0)</f>
        <v>9677</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426"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468"/>
      <c r="B25" s="1316" t="s">
        <v>331</v>
      </c>
      <c r="C25" s="290">
        <f>IF(B30=0,0,C30)</f>
        <v>0</v>
      </c>
      <c r="D25" s="291"/>
      <c r="E25" s="311"/>
      <c r="F25" s="311"/>
      <c r="G25" s="311"/>
      <c r="H25" s="311"/>
      <c r="I25" s="311"/>
      <c r="J25" s="2010"/>
      <c r="K25" s="1250" t="str">
        <f ca="1">项目基本情况!B16&amp;"国有建设用地使用权价格："&amp;O38&amp;"万元"</f>
        <v>出让国有建设用地使用权价格：331515万元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大写金额：人民币叁拾叁亿壹仟伍佰壹拾伍万元整</v>
      </c>
      <c r="L26" s="1247"/>
      <c r="M26" s="1247"/>
      <c r="N26" s="1247"/>
      <c r="O26" s="1246"/>
      <c r="P26" s="2010"/>
      <c r="Q26" s="2010"/>
      <c r="R26" s="2010"/>
      <c r="S26" s="2010"/>
      <c r="T26" s="2010"/>
      <c r="U26" s="2010"/>
      <c r="V26" s="2010"/>
      <c r="W26" s="292"/>
      <c r="X26" s="292"/>
      <c r="Y26" s="292"/>
      <c r="Z26" s="292"/>
    </row>
    <row r="27" spans="1:26" ht="18">
      <c r="A27" s="293">
        <f ca="1">G19*10000/'数据-汇总表'!F27</f>
        <v>10466.008321915429</v>
      </c>
      <c r="B27" s="294"/>
      <c r="C27" s="294"/>
      <c r="D27" s="295"/>
      <c r="E27" s="311"/>
      <c r="F27" s="311"/>
      <c r="G27" s="311"/>
      <c r="H27" s="311"/>
      <c r="I27" s="311"/>
      <c r="J27" s="2010"/>
      <c r="K27" s="1253" t="str">
        <f ca="1">"单位面积地价："&amp;M38&amp;"元/平方米"</f>
        <v>单位面积地价：145159元/平方米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楼面地价：8412元/平方米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抵押价格：331515万元</v>
      </c>
      <c r="L29" s="1247"/>
      <c r="M29" s="1247"/>
      <c r="N29" s="1247"/>
      <c r="O29" s="1246"/>
      <c r="P29" s="2010"/>
      <c r="V29" s="2010"/>
    </row>
    <row r="30" spans="1:26" ht="18.75" thickBot="1">
      <c r="A30" s="3072" t="s">
        <v>336</v>
      </c>
      <c r="B30" s="309"/>
      <c r="C30" s="309"/>
      <c r="D30" s="310"/>
      <c r="E30" s="3073" t="s">
        <v>2959</v>
      </c>
      <c r="F30" s="311"/>
      <c r="G30" s="311"/>
      <c r="H30" s="311"/>
      <c r="I30" s="311"/>
      <c r="J30" s="2010"/>
      <c r="K30" s="1253" t="str">
        <f ca="1">IF(K29="——","——","大写金额：人民币"&amp;NUMBERSTRING(INT(O39*10000),2)&amp;"元整")</f>
        <v>大写金额：人民币叁拾叁亿壹仟伍佰壹拾伍万元整</v>
      </c>
      <c r="L30" s="1247"/>
      <c r="M30" s="1247"/>
      <c r="N30" s="1247"/>
      <c r="O30" s="1246"/>
      <c r="P30" s="2010"/>
      <c r="V30" s="2010"/>
    </row>
    <row r="31" spans="1:26" ht="24" customHeight="1" thickBot="1">
      <c r="A31" s="311"/>
      <c r="B31" s="311"/>
      <c r="C31" s="311"/>
      <c r="D31" s="311"/>
      <c r="E31" s="311"/>
      <c r="F31" s="311"/>
      <c r="G31" s="311"/>
      <c r="H31" s="311"/>
      <c r="I31" s="311"/>
      <c r="J31" s="2010"/>
      <c r="K31" s="2427" t="str">
        <f>IF(项目基本情况!E8="抵押价格","——","抵押担保权已注销时的抵押价格："&amp;O40&amp;"万元")</f>
        <v>——</v>
      </c>
      <c r="L31" s="2423"/>
      <c r="M31" s="2423"/>
      <c r="N31" s="2423"/>
      <c r="O31" s="2424"/>
      <c r="P31" s="2010"/>
      <c r="V31" s="2010"/>
    </row>
    <row r="32" spans="1:26" ht="18.75" thickBot="1">
      <c r="A32" s="268" t="s">
        <v>337</v>
      </c>
      <c r="B32" s="1376" t="s">
        <v>1687</v>
      </c>
      <c r="C32" s="1377">
        <f ca="1">G19-C24</f>
        <v>331515</v>
      </c>
      <c r="D32" s="1378" t="s">
        <v>1688</v>
      </c>
      <c r="E32" s="311"/>
      <c r="F32" s="311"/>
      <c r="G32" s="311"/>
      <c r="H32" s="311"/>
      <c r="I32" s="311"/>
      <c r="J32" s="2010"/>
      <c r="K32" s="2422" t="str">
        <f>IF(K31="——","——","大写金额：人民币"&amp;NUMBERSTRING(INT(O40*10000),2)&amp;"元整")</f>
        <v>——</v>
      </c>
      <c r="L32" s="2425"/>
      <c r="M32" s="2425"/>
      <c r="N32" s="2425"/>
      <c r="O32" s="2426"/>
      <c r="P32" s="2010"/>
      <c r="V32" s="2010"/>
    </row>
    <row r="33" spans="1:26" ht="18.75" thickBot="1">
      <c r="A33" s="298" t="s">
        <v>340</v>
      </c>
      <c r="B33" s="1379" t="s">
        <v>1689</v>
      </c>
      <c r="C33" s="264">
        <f ca="1">ROUND(C32*10000/'数据-汇总表'!E3,0)</f>
        <v>8412</v>
      </c>
      <c r="D33" s="1380" t="s">
        <v>1690</v>
      </c>
      <c r="E33" s="3426"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1" t="s">
        <v>1691</v>
      </c>
      <c r="C34" s="264">
        <f ca="1">ROUND(C32*10000/'数据-汇总表'!D3,0)</f>
        <v>145159</v>
      </c>
      <c r="D34" s="1382" t="s">
        <v>1690</v>
      </c>
      <c r="E34" s="3427"/>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3"/>
      <c r="C35" s="1384">
        <f ca="1">ROUND(C32/('数据-汇总表'!D3/666.67),0)</f>
        <v>9677</v>
      </c>
      <c r="D35" s="1385" t="s">
        <v>1692</v>
      </c>
      <c r="E35" s="3428"/>
      <c r="F35" s="301" t="s">
        <v>342</v>
      </c>
      <c r="G35" s="981"/>
      <c r="H35" s="980" t="s">
        <v>343</v>
      </c>
      <c r="I35" s="311"/>
      <c r="J35" s="2010"/>
      <c r="K35" s="3432" t="s">
        <v>350</v>
      </c>
      <c r="L35" s="3432" t="s">
        <v>351</v>
      </c>
      <c r="M35" s="1259" t="s">
        <v>352</v>
      </c>
      <c r="N35" s="3432" t="s">
        <v>353</v>
      </c>
      <c r="O35" s="3432" t="s">
        <v>354</v>
      </c>
      <c r="P35" s="2010"/>
      <c r="V35" s="2010"/>
    </row>
    <row r="36" spans="1:26" ht="16.5" customHeight="1">
      <c r="A36" s="303" t="s">
        <v>344</v>
      </c>
      <c r="B36" s="304" t="s">
        <v>333</v>
      </c>
      <c r="C36" s="305" t="s">
        <v>345</v>
      </c>
      <c r="D36" s="305" t="s">
        <v>346</v>
      </c>
      <c r="E36" s="306" t="s">
        <v>347</v>
      </c>
      <c r="F36" s="311"/>
      <c r="G36" s="311"/>
      <c r="H36" s="311"/>
      <c r="I36" s="311"/>
      <c r="J36" s="2012"/>
      <c r="K36" s="3433"/>
      <c r="L36" s="3433"/>
      <c r="M36" s="1261" t="s">
        <v>355</v>
      </c>
      <c r="N36" s="3433"/>
      <c r="O36" s="3433"/>
      <c r="P36" s="2010"/>
      <c r="V36" s="2010"/>
    </row>
    <row r="37" spans="1:26" ht="16.5" customHeight="1" thickBot="1">
      <c r="A37" s="1255" t="s">
        <v>348</v>
      </c>
      <c r="B37" s="307"/>
      <c r="C37" s="294"/>
      <c r="D37" s="294"/>
      <c r="E37" s="295"/>
      <c r="F37" s="311"/>
      <c r="G37" s="311"/>
      <c r="H37" s="311"/>
      <c r="I37" s="311"/>
      <c r="J37" s="2012"/>
      <c r="K37" s="3434"/>
      <c r="L37" s="3434"/>
      <c r="M37" s="1262"/>
      <c r="N37" s="3434"/>
      <c r="O37" s="3434"/>
      <c r="P37" s="2010"/>
      <c r="V37" s="2010"/>
    </row>
    <row r="38" spans="1:26" ht="16.5" customHeight="1" thickBot="1">
      <c r="A38" s="1255" t="s">
        <v>349</v>
      </c>
      <c r="B38" s="307"/>
      <c r="C38" s="294"/>
      <c r="D38" s="294"/>
      <c r="E38" s="295"/>
      <c r="F38" s="311"/>
      <c r="G38" s="311"/>
      <c r="H38" s="311"/>
      <c r="I38" s="311"/>
      <c r="J38" s="2012"/>
      <c r="K38" s="1263">
        <f>'数据-汇总表'!D3</f>
        <v>22838</v>
      </c>
      <c r="L38" s="1264">
        <f>'数据-汇总表'!E3</f>
        <v>394084</v>
      </c>
      <c r="M38" s="1264">
        <f ca="1">C34</f>
        <v>145159</v>
      </c>
      <c r="N38" s="1264">
        <f ca="1">C33</f>
        <v>8412</v>
      </c>
      <c r="O38" s="1265">
        <f ca="1">C32</f>
        <v>331515</v>
      </c>
      <c r="P38" s="2010"/>
      <c r="V38" s="2010"/>
    </row>
    <row r="39" spans="1:26" ht="16.5" customHeight="1" thickBot="1">
      <c r="A39" s="1260"/>
      <c r="B39" s="308"/>
      <c r="C39" s="309"/>
      <c r="D39" s="309"/>
      <c r="E39" s="310"/>
      <c r="F39" s="311"/>
      <c r="G39" s="311"/>
      <c r="H39" s="311"/>
      <c r="I39" s="311"/>
      <c r="J39" s="2012"/>
      <c r="K39" s="3409" t="str">
        <f>MID(A44,3,LEN(A44)-2)</f>
        <v>抵押价格</v>
      </c>
      <c r="L39" s="3410"/>
      <c r="M39" s="3410"/>
      <c r="N39" s="3411"/>
      <c r="O39" s="1387">
        <f ca="1">C44</f>
        <v>331515</v>
      </c>
      <c r="P39" s="2010"/>
      <c r="V39" s="2010"/>
    </row>
    <row r="40" spans="1:26" ht="19.5" thickBot="1">
      <c r="A40" s="104" t="s">
        <v>872</v>
      </c>
      <c r="B40" s="311"/>
      <c r="C40" s="311"/>
      <c r="D40" s="311"/>
      <c r="E40" s="311"/>
      <c r="F40" s="311"/>
      <c r="G40" s="311"/>
      <c r="H40" s="311"/>
      <c r="I40" s="311"/>
      <c r="J40" s="2012"/>
      <c r="K40" s="3409" t="str">
        <f t="shared" ref="K40:K41" si="0">MID(A45,3,LEN(A45)-2)</f>
        <v/>
      </c>
      <c r="L40" s="3410"/>
      <c r="M40" s="3410"/>
      <c r="N40" s="3411"/>
      <c r="O40" s="1387" t="str">
        <f>C45</f>
        <v>——</v>
      </c>
      <c r="P40" s="2010"/>
      <c r="V40" s="2010"/>
    </row>
    <row r="41" spans="1:26" ht="16.5" thickBot="1">
      <c r="A41" s="312" t="s">
        <v>356</v>
      </c>
      <c r="B41" s="313"/>
      <c r="C41" s="314" t="s">
        <v>357</v>
      </c>
      <c r="D41" s="315" t="s">
        <v>358</v>
      </c>
      <c r="E41" s="315" t="s">
        <v>359</v>
      </c>
      <c r="F41" s="316" t="s">
        <v>360</v>
      </c>
      <c r="G41" s="311"/>
      <c r="H41" s="311"/>
      <c r="I41" s="311"/>
      <c r="J41" s="2012"/>
      <c r="K41" s="3409" t="str">
        <f t="shared" si="0"/>
        <v/>
      </c>
      <c r="L41" s="3410"/>
      <c r="M41" s="3410"/>
      <c r="N41" s="3411"/>
      <c r="O41" s="1387" t="str">
        <f>C46</f>
        <v>——</v>
      </c>
      <c r="P41" s="2010"/>
      <c r="V41" s="2010"/>
    </row>
    <row r="42" spans="1:26" ht="29.25">
      <c r="A42" s="3469" t="s">
        <v>2064</v>
      </c>
      <c r="B42" s="3470"/>
      <c r="C42" s="264">
        <f ca="1">C32</f>
        <v>331515</v>
      </c>
      <c r="D42" s="317">
        <f ca="1">C33</f>
        <v>8412</v>
      </c>
      <c r="E42" s="317">
        <f ca="1">C34</f>
        <v>145159</v>
      </c>
      <c r="F42" s="318">
        <f ca="1">C35</f>
        <v>9677</v>
      </c>
      <c r="G42" s="311"/>
      <c r="H42" s="311"/>
      <c r="I42" s="319"/>
      <c r="J42" s="2012"/>
      <c r="K42" s="1266" t="s">
        <v>361</v>
      </c>
      <c r="L42" s="2029" t="s">
        <v>362</v>
      </c>
      <c r="M42" s="1267" t="s">
        <v>363</v>
      </c>
      <c r="N42" s="2030" t="s">
        <v>364</v>
      </c>
      <c r="O42" s="2031" t="s">
        <v>365</v>
      </c>
      <c r="P42" s="2010"/>
      <c r="V42" s="2010"/>
    </row>
    <row r="43" spans="1:26" ht="30">
      <c r="A43" s="3479" t="s">
        <v>2726</v>
      </c>
      <c r="B43" s="3480"/>
      <c r="C43" s="264">
        <f>IF(H33="正常操作",G33+G34+G35,G34+G35)</f>
        <v>0</v>
      </c>
      <c r="D43" s="317" t="s">
        <v>43</v>
      </c>
      <c r="E43" s="317" t="s">
        <v>44</v>
      </c>
      <c r="F43" s="318" t="s">
        <v>44</v>
      </c>
      <c r="G43" s="2816" t="s">
        <v>951</v>
      </c>
      <c r="H43" s="311"/>
      <c r="I43" s="319"/>
      <c r="J43" s="2012"/>
      <c r="K43" s="1268" t="str">
        <f>C4</f>
        <v>剩余法-待开发</v>
      </c>
      <c r="L43" s="1269">
        <f ca="1">IF(L42="估价结果/万元",C19,C20)</f>
        <v>363887</v>
      </c>
      <c r="M43" s="1270">
        <f>C18</f>
        <v>0.5</v>
      </c>
      <c r="N43" s="1271">
        <f ca="1">IF(N42="测算结果/万元",G19,G20)</f>
        <v>331515</v>
      </c>
      <c r="O43" s="1272">
        <f ca="1">IF(O42="最终结果/万元",C32,C33)</f>
        <v>331515</v>
      </c>
      <c r="P43" s="2010"/>
      <c r="V43" s="2010"/>
    </row>
    <row r="44" spans="1:26" ht="30.75" thickBot="1">
      <c r="A44" s="3469" t="str">
        <f>IF(OR(项目基本情况!E8="抵押价格",项目基本情况!E8="已注销及未注销"),"3.抵押价格","——")</f>
        <v>3.抵押价格</v>
      </c>
      <c r="B44" s="3470"/>
      <c r="C44" s="264">
        <f ca="1">IF(A44="——","——",C42-C43)</f>
        <v>331515</v>
      </c>
      <c r="D44" s="317">
        <f ca="1">ROUND(C44*10000/'数据-汇总表'!E3,0)</f>
        <v>8412</v>
      </c>
      <c r="E44" s="317">
        <f ca="1">ROUND(C44*10000/'数据-汇总表'!D3,0)</f>
        <v>145159</v>
      </c>
      <c r="F44" s="318">
        <f ca="1">ROUND(C44/('数据-汇总表'!D3/666.67),0)</f>
        <v>9677</v>
      </c>
      <c r="G44" s="311"/>
      <c r="H44" s="311"/>
      <c r="I44" s="319"/>
      <c r="J44" s="2012"/>
      <c r="K44" s="1273" t="str">
        <f>D4</f>
        <v>比较法-住宅、综合</v>
      </c>
      <c r="L44" s="1274">
        <f ca="1">IF(L42="估价结果/万元",D19,D20)</f>
        <v>299142</v>
      </c>
      <c r="M44" s="1275">
        <f>D18</f>
        <v>0.5</v>
      </c>
      <c r="N44" s="1276"/>
      <c r="O44" s="1277"/>
      <c r="P44" s="2010"/>
      <c r="V44" s="2010"/>
    </row>
    <row r="45" spans="1:26" ht="15">
      <c r="A45" s="3474" t="str">
        <f>IF(项目基本情况!E8="已注销及未注销","4.抵押担保权已注销时的抵押价格",IF(项目基本情况!E8="已注销","3.抵押担保权已注销时的抵押价格","——"))</f>
        <v>——</v>
      </c>
      <c r="B45" s="3475"/>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471" t="str">
        <f>IF(项目基本情况!E9="抵押净值",IF(A45="——","4.抵押净值","5.抵押净值"),"——")</f>
        <v>——</v>
      </c>
      <c r="B46" s="3472"/>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437" t="s">
        <v>374</v>
      </c>
      <c r="B63" s="3438"/>
      <c r="C63" s="3439"/>
      <c r="D63" s="341">
        <f ca="1">ROUND(C42*F63,0)</f>
        <v>198909</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476" t="s">
        <v>378</v>
      </c>
      <c r="B64" s="3477"/>
      <c r="C64" s="3477"/>
      <c r="D64" s="3477"/>
      <c r="E64" s="3477"/>
      <c r="F64" s="3477"/>
      <c r="G64" s="3478"/>
      <c r="H64" s="1283"/>
      <c r="I64" s="948"/>
      <c r="J64" s="1972"/>
      <c r="K64" s="1546"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8"/>
      <c r="J65" s="1972"/>
      <c r="K65" s="1284"/>
      <c r="L65" s="1285"/>
      <c r="M65" s="1285"/>
      <c r="N65" s="1317" t="s">
        <v>379</v>
      </c>
      <c r="O65" s="1318"/>
      <c r="P65" s="1319"/>
      <c r="Q65" s="2010"/>
      <c r="R65" s="2010"/>
      <c r="S65" s="2010"/>
      <c r="T65" s="2010"/>
      <c r="U65" s="2010"/>
      <c r="V65" s="2010"/>
    </row>
    <row r="66" spans="1:22" ht="25.5">
      <c r="A66" s="3473" t="s">
        <v>386</v>
      </c>
      <c r="B66" s="3444"/>
      <c r="C66" s="3444"/>
      <c r="D66" s="261">
        <f ca="1">IF(H66="情况1",0,IF(H66="情况2",D70,IF(H66="情况3",D71,IF(H66="情况4",D72))))</f>
        <v>10608</v>
      </c>
      <c r="E66" s="992" t="str">
        <f>IF(H66="情况4","(销售额-原购置价)×税（费）率","销售额×税（费）率")</f>
        <v>销售额×税（费）率</v>
      </c>
      <c r="F66" s="350">
        <f>IF(H66="情况1","免征",'数据-取费表'!B41)</f>
        <v>5.6000000000000001E-2</v>
      </c>
      <c r="G66" s="351" t="s">
        <v>387</v>
      </c>
      <c r="H66" s="191" t="s">
        <v>388</v>
      </c>
      <c r="I66" s="1283"/>
      <c r="J66" s="2016"/>
      <c r="K66" s="1286">
        <v>1</v>
      </c>
      <c r="L66" s="3413" t="s">
        <v>385</v>
      </c>
      <c r="M66" s="3414"/>
      <c r="N66" s="2417"/>
      <c r="O66" s="2418"/>
      <c r="P66" s="2419"/>
      <c r="Q66" s="2010"/>
      <c r="R66" s="2010"/>
      <c r="S66" s="2010"/>
      <c r="T66" s="2010"/>
      <c r="U66" s="2010"/>
      <c r="V66" s="2010"/>
    </row>
    <row r="67" spans="1:22" ht="25.5" customHeight="1">
      <c r="A67" s="352" t="s">
        <v>390</v>
      </c>
      <c r="B67" s="3456" t="s">
        <v>391</v>
      </c>
      <c r="C67" s="3456"/>
      <c r="D67" s="353">
        <v>0</v>
      </c>
      <c r="E67" s="41" t="s">
        <v>392</v>
      </c>
      <c r="F67" s="62" t="s">
        <v>21</v>
      </c>
      <c r="G67" s="3440"/>
      <c r="H67" s="311"/>
      <c r="I67" s="1287"/>
      <c r="J67" s="2017"/>
      <c r="K67" s="1958">
        <v>2</v>
      </c>
      <c r="L67" s="3412" t="s">
        <v>389</v>
      </c>
      <c r="M67" s="3412"/>
      <c r="N67" s="1320">
        <f>'数据-取费表'!B2</f>
        <v>43602</v>
      </c>
      <c r="O67" s="1320"/>
      <c r="P67" s="1320"/>
      <c r="Q67" s="2010"/>
      <c r="R67" s="2010"/>
      <c r="S67" s="2010"/>
      <c r="T67" s="2010"/>
      <c r="U67" s="2010"/>
      <c r="V67" s="2010"/>
    </row>
    <row r="68" spans="1:22" ht="25.5" customHeight="1">
      <c r="A68" s="354"/>
      <c r="B68" s="3456" t="s">
        <v>394</v>
      </c>
      <c r="C68" s="3456"/>
      <c r="D68" s="355"/>
      <c r="E68" s="77"/>
      <c r="F68" s="356"/>
      <c r="G68" s="3441"/>
      <c r="H68" s="311"/>
      <c r="I68" s="1287"/>
      <c r="J68" s="2017"/>
      <c r="K68" s="1958">
        <v>3</v>
      </c>
      <c r="L68" s="3412" t="s">
        <v>393</v>
      </c>
      <c r="M68" s="3412"/>
      <c r="N68" s="1288">
        <f ca="1">C42</f>
        <v>331515</v>
      </c>
      <c r="O68" s="1288"/>
      <c r="P68" s="1288"/>
      <c r="Q68" s="2010"/>
      <c r="R68" s="2010"/>
      <c r="S68" s="2010"/>
      <c r="T68" s="2010"/>
      <c r="U68" s="2010"/>
      <c r="V68" s="2010"/>
    </row>
    <row r="69" spans="1:22" ht="12" customHeight="1">
      <c r="A69" s="357"/>
      <c r="B69" s="3456" t="s">
        <v>395</v>
      </c>
      <c r="C69" s="3456"/>
      <c r="D69" s="358"/>
      <c r="E69" s="73"/>
      <c r="F69" s="356"/>
      <c r="G69" s="3442"/>
      <c r="H69" s="311"/>
      <c r="I69" s="1287"/>
      <c r="J69" s="2017"/>
      <c r="K69" s="1289">
        <v>4</v>
      </c>
      <c r="L69" s="3418" t="s">
        <v>2879</v>
      </c>
      <c r="M69" s="3419"/>
      <c r="N69" s="1290">
        <f ca="1">C44</f>
        <v>331515</v>
      </c>
      <c r="O69" s="1290"/>
      <c r="P69" s="1290"/>
      <c r="Q69" s="2010"/>
      <c r="R69" s="2010"/>
      <c r="S69" s="2010"/>
      <c r="T69" s="2010"/>
      <c r="U69" s="2010"/>
      <c r="V69" s="2010"/>
    </row>
    <row r="70" spans="1:22" ht="24" customHeight="1">
      <c r="A70" s="359" t="s">
        <v>396</v>
      </c>
      <c r="B70" s="3456" t="s">
        <v>397</v>
      </c>
      <c r="C70" s="3456"/>
      <c r="D70" s="358">
        <f ca="1">ROUND(D63*'数据-取费表'!B41/(1+'数据-取费表'!C42),0)</f>
        <v>10608</v>
      </c>
      <c r="E70" s="17" t="s">
        <v>398</v>
      </c>
      <c r="F70" s="360">
        <f>'数据-取费表'!B41</f>
        <v>5.6000000000000001E-2</v>
      </c>
      <c r="G70" s="361"/>
      <c r="H70" s="311"/>
      <c r="I70" s="1287"/>
      <c r="J70" s="2017"/>
      <c r="K70" s="3007"/>
      <c r="L70" s="3008"/>
      <c r="M70" s="3008"/>
      <c r="N70" s="3009" t="s">
        <v>2884</v>
      </c>
      <c r="O70" s="3008"/>
      <c r="P70" s="3010"/>
      <c r="Q70" s="2010"/>
      <c r="R70" s="2010"/>
      <c r="S70" s="2010"/>
      <c r="T70" s="2010"/>
      <c r="U70" s="2010"/>
      <c r="V70" s="2010"/>
    </row>
    <row r="71" spans="1:22" ht="12" customHeight="1">
      <c r="A71" s="359" t="s">
        <v>404</v>
      </c>
      <c r="B71" s="3455" t="s">
        <v>405</v>
      </c>
      <c r="C71" s="3467"/>
      <c r="D71" s="358">
        <f ca="1">ROUND(D63*'数据-取费表'!B41/(1+'数据-取费表'!C42),0)</f>
        <v>10608</v>
      </c>
      <c r="E71" s="17" t="s">
        <v>398</v>
      </c>
      <c r="F71" s="360">
        <f>'数据-取费表'!B41</f>
        <v>5.6000000000000001E-2</v>
      </c>
      <c r="G71" s="361"/>
      <c r="H71" s="311"/>
      <c r="I71" s="1287"/>
      <c r="J71" s="2017"/>
      <c r="K71" s="3006" t="s">
        <v>399</v>
      </c>
      <c r="L71" s="3420" t="s">
        <v>400</v>
      </c>
      <c r="M71" s="3420"/>
      <c r="N71" s="3006" t="s">
        <v>401</v>
      </c>
      <c r="O71" s="3006" t="s">
        <v>402</v>
      </c>
      <c r="P71" s="3006" t="s">
        <v>403</v>
      </c>
      <c r="Q71" s="2010"/>
      <c r="R71" s="2010"/>
      <c r="S71" s="2010"/>
      <c r="T71" s="2010"/>
      <c r="U71" s="2010"/>
      <c r="V71" s="2010"/>
    </row>
    <row r="72" spans="1:22" ht="12" customHeight="1">
      <c r="A72" s="359" t="s">
        <v>407</v>
      </c>
      <c r="B72" s="3455" t="s">
        <v>408</v>
      </c>
      <c r="C72" s="3467"/>
      <c r="D72" s="358">
        <f ca="1">C86</f>
        <v>10496</v>
      </c>
      <c r="E72" s="73" t="s">
        <v>409</v>
      </c>
      <c r="F72" s="360">
        <f>'数据-取费表'!B41</f>
        <v>5.6000000000000001E-2</v>
      </c>
      <c r="G72" s="361"/>
      <c r="H72" s="1293"/>
      <c r="I72" s="1287"/>
      <c r="J72" s="2017"/>
      <c r="K72" s="1958">
        <v>1</v>
      </c>
      <c r="L72" s="3417" t="s">
        <v>406</v>
      </c>
      <c r="M72" s="3417"/>
      <c r="N72" s="1291">
        <f ca="1">D66</f>
        <v>10608</v>
      </c>
      <c r="O72" s="1841" t="str">
        <f>E66</f>
        <v>销售额×税（费）率</v>
      </c>
      <c r="P72" s="1292">
        <f>F66</f>
        <v>5.6000000000000001E-2</v>
      </c>
      <c r="Q72" s="2010"/>
      <c r="R72" s="2010"/>
      <c r="S72" s="2010"/>
      <c r="T72" s="2010"/>
      <c r="U72" s="2010"/>
      <c r="V72" s="2010"/>
    </row>
    <row r="73" spans="1:22" ht="24" customHeight="1">
      <c r="A73" s="3443" t="s">
        <v>411</v>
      </c>
      <c r="B73" s="3444"/>
      <c r="C73" s="3444"/>
      <c r="D73" s="362">
        <f>IF(H73="个人住宅",0,ROUND(D63*I73,0))</f>
        <v>0</v>
      </c>
      <c r="E73" s="17" t="s">
        <v>412</v>
      </c>
      <c r="F73" s="360" t="str">
        <f>IF(H73="正常",I73,"免征")</f>
        <v>免征</v>
      </c>
      <c r="G73" s="361"/>
      <c r="H73" s="191" t="s">
        <v>2452</v>
      </c>
      <c r="I73" s="360">
        <f>'数据-取费表'!B49</f>
        <v>5.0000000000000001E-4</v>
      </c>
      <c r="J73" s="2017"/>
      <c r="K73" s="1958">
        <v>2</v>
      </c>
      <c r="L73" s="3417" t="s">
        <v>410</v>
      </c>
      <c r="M73" s="3417"/>
      <c r="N73" s="1291">
        <f t="shared" ref="N73:P74" si="1">D73</f>
        <v>0</v>
      </c>
      <c r="O73" s="1841" t="str">
        <f t="shared" si="1"/>
        <v>销售额×税（费）率</v>
      </c>
      <c r="P73" s="1292" t="str">
        <f t="shared" si="1"/>
        <v>免征</v>
      </c>
      <c r="Q73" s="2010"/>
      <c r="R73" s="2010"/>
      <c r="S73" s="2010"/>
      <c r="T73" s="2010"/>
      <c r="U73" s="2010"/>
      <c r="V73" s="2010"/>
    </row>
    <row r="74" spans="1:22" ht="24.75">
      <c r="A74" s="3443" t="s">
        <v>415</v>
      </c>
      <c r="B74" s="3444"/>
      <c r="C74" s="3444"/>
      <c r="D74" s="362">
        <f ca="1">IF(H74="个人住宅",D75,D76)</f>
        <v>111927</v>
      </c>
      <c r="E74" s="17" t="s">
        <v>416</v>
      </c>
      <c r="F74" s="360" t="str">
        <f>IF(H74="正常",F76,"免征")</f>
        <v>——</v>
      </c>
      <c r="G74" s="982" t="s">
        <v>417</v>
      </c>
      <c r="H74" s="363" t="s">
        <v>413</v>
      </c>
      <c r="I74" s="42"/>
      <c r="J74" s="2017"/>
      <c r="K74" s="1958">
        <v>3</v>
      </c>
      <c r="L74" s="3417" t="s">
        <v>414</v>
      </c>
      <c r="M74" s="3417"/>
      <c r="N74" s="1291">
        <f t="shared" ca="1" si="1"/>
        <v>111927</v>
      </c>
      <c r="O74" s="1841" t="str">
        <f t="shared" si="1"/>
        <v>增值额×税（费）率</v>
      </c>
      <c r="P74" s="1294" t="str">
        <f t="shared" si="1"/>
        <v>——</v>
      </c>
      <c r="Q74" s="2010"/>
      <c r="R74" s="2010"/>
      <c r="S74" s="2010"/>
      <c r="T74" s="2010"/>
      <c r="U74" s="2010"/>
      <c r="V74" s="2010"/>
    </row>
    <row r="75" spans="1:22" ht="24">
      <c r="A75" s="359" t="s">
        <v>418</v>
      </c>
      <c r="B75" s="3424" t="s">
        <v>419</v>
      </c>
      <c r="C75" s="3425"/>
      <c r="D75" s="364">
        <v>0</v>
      </c>
      <c r="E75" s="41" t="s">
        <v>420</v>
      </c>
      <c r="F75" s="365"/>
      <c r="G75" s="361"/>
      <c r="H75" s="42"/>
      <c r="I75" s="42"/>
      <c r="J75" s="2017"/>
      <c r="K75" s="2999">
        <f>IF(H77="非个人房产","",4)</f>
        <v>4</v>
      </c>
      <c r="L75" s="3417" t="str">
        <f>IF(H77="非个人房产","——","个人所得税")</f>
        <v>个人所得税</v>
      </c>
      <c r="M75" s="3417"/>
      <c r="N75" s="1295">
        <f ca="1">D77</f>
        <v>1989</v>
      </c>
      <c r="O75" s="1854" t="str">
        <f>E77</f>
        <v>销售额×税（费）率</v>
      </c>
      <c r="P75" s="1296">
        <f>F77</f>
        <v>0.01</v>
      </c>
      <c r="Q75" s="2010"/>
      <c r="R75" s="2010"/>
      <c r="S75" s="2010"/>
      <c r="T75" s="2010"/>
      <c r="U75" s="2010"/>
      <c r="V75" s="2010"/>
    </row>
    <row r="76" spans="1:22" ht="24.75">
      <c r="A76" s="359" t="s">
        <v>396</v>
      </c>
      <c r="B76" s="3424" t="s">
        <v>422</v>
      </c>
      <c r="C76" s="3466"/>
      <c r="D76" s="362">
        <f ca="1">IF(H76="转让取得",C99,C115)</f>
        <v>111927</v>
      </c>
      <c r="E76" s="17" t="s">
        <v>423</v>
      </c>
      <c r="F76" s="53" t="s">
        <v>21</v>
      </c>
      <c r="G76" s="361"/>
      <c r="H76" s="363" t="s">
        <v>424</v>
      </c>
      <c r="I76" s="42"/>
      <c r="J76" s="2017"/>
      <c r="K76" s="2999" t="str">
        <f>IF(项目基本情况!K6="上海银行",IF(K75="",4,K75+1),"")</f>
        <v/>
      </c>
      <c r="L76" s="3405" t="str">
        <f>IF(项目基本情况!K6="上海银行","其他处置费用","")</f>
        <v/>
      </c>
      <c r="M76" s="3406"/>
      <c r="N76" s="1291" t="str">
        <f>IF(项目基本情况!K6="上海银行",N89,"")</f>
        <v/>
      </c>
      <c r="O76" s="3407" t="str">
        <f>IF(项目基本情况!K6="上海银行","包含处置中涉及的律师、诉讼、拍卖、评估等费用","")</f>
        <v/>
      </c>
      <c r="P76" s="3408"/>
      <c r="Q76" s="2010"/>
      <c r="R76" s="2010"/>
      <c r="S76" s="2010"/>
      <c r="T76" s="2010"/>
      <c r="U76" s="2010"/>
      <c r="V76" s="2010"/>
    </row>
    <row r="77" spans="1:22" ht="26.25" thickBot="1">
      <c r="A77" s="3435" t="s">
        <v>426</v>
      </c>
      <c r="B77" s="3436"/>
      <c r="C77" s="3436"/>
      <c r="D77" s="366">
        <f ca="1">IF(H77="非个人房产","——",IF(H77="个人住宅",0,ROUND(D63*I77,0)))</f>
        <v>1989</v>
      </c>
      <c r="E77" s="367" t="str">
        <f>IF(H77="非个人房产","——","销售额×税（费）率")</f>
        <v>销售额×税（费）率</v>
      </c>
      <c r="F77" s="368">
        <f>IF(H77="非个人房产","——",IF(H77="个人住宅","免征",I77))</f>
        <v>0.01</v>
      </c>
      <c r="G77" s="983" t="s">
        <v>417</v>
      </c>
      <c r="H77" s="363" t="s">
        <v>2880</v>
      </c>
      <c r="I77" s="369">
        <v>0.01</v>
      </c>
      <c r="J77" s="2017"/>
      <c r="K77" s="3431">
        <f>IF(AND(K75="",K76=""),4,IF(项目基本情况!K6="上海银行",K76+1,K75+1))</f>
        <v>5</v>
      </c>
      <c r="L77" s="3417" t="s">
        <v>2881</v>
      </c>
      <c r="M77" s="3005" t="s">
        <v>421</v>
      </c>
      <c r="N77" s="1297"/>
      <c r="O77" s="1298">
        <f ca="1">SUMIF(N72:N76,"&lt;9e307")</f>
        <v>124524</v>
      </c>
      <c r="P77" s="1299"/>
      <c r="Q77" s="3003">
        <f ca="1">O77/N69</f>
        <v>0.37562101262386316</v>
      </c>
      <c r="R77" s="2010"/>
      <c r="S77" s="2010"/>
      <c r="T77" s="2010"/>
      <c r="U77" s="2010"/>
      <c r="V77" s="2010"/>
    </row>
    <row r="78" spans="1:22" ht="12" customHeight="1">
      <c r="A78" s="1300"/>
      <c r="B78" s="311"/>
      <c r="C78" s="311"/>
      <c r="D78" s="311"/>
      <c r="E78" s="42"/>
      <c r="F78" s="42"/>
      <c r="G78" s="42"/>
      <c r="H78" s="1002"/>
      <c r="I78" s="311"/>
      <c r="J78" s="2017"/>
      <c r="K78" s="3431"/>
      <c r="L78" s="3417"/>
      <c r="M78" s="3005" t="s">
        <v>425</v>
      </c>
      <c r="N78" s="1297"/>
      <c r="O78" s="1298" t="str">
        <f ca="1">NUMBERSTRING(INT(O77*10000),2)&amp;"元整"</f>
        <v>壹拾贰亿肆仟伍佰贰拾肆万元整</v>
      </c>
      <c r="P78" s="1299"/>
      <c r="Q78" s="2010"/>
      <c r="R78" s="2010"/>
      <c r="S78" s="2010"/>
      <c r="T78" s="2010"/>
      <c r="U78" s="2010"/>
      <c r="V78" s="2010"/>
    </row>
    <row r="79" spans="1:22" ht="13.5" thickBot="1">
      <c r="A79" s="3421" t="s">
        <v>427</v>
      </c>
      <c r="B79" s="3421"/>
      <c r="C79" s="3421"/>
      <c r="D79" s="3421"/>
      <c r="E79" s="3421"/>
      <c r="F79" s="42"/>
      <c r="G79" s="42"/>
      <c r="H79" s="1002"/>
      <c r="I79" s="311"/>
      <c r="J79" s="2017"/>
      <c r="K79" s="3415">
        <f>K77+1</f>
        <v>6</v>
      </c>
      <c r="L79" s="3417" t="s">
        <v>2882</v>
      </c>
      <c r="M79" s="3005" t="s">
        <v>421</v>
      </c>
      <c r="N79" s="1297"/>
      <c r="O79" s="1298">
        <f ca="1">N69-O77</f>
        <v>206991</v>
      </c>
      <c r="P79" s="1299"/>
      <c r="Q79" s="2010"/>
      <c r="R79" s="2010"/>
      <c r="S79" s="2010"/>
      <c r="T79" s="2010"/>
      <c r="U79" s="2010"/>
      <c r="V79" s="2010"/>
    </row>
    <row r="80" spans="1:22" ht="25.5">
      <c r="A80" s="3422" t="s">
        <v>428</v>
      </c>
      <c r="B80" s="3423"/>
      <c r="C80" s="993"/>
      <c r="D80" s="993" t="s">
        <v>429</v>
      </c>
      <c r="E80" s="370" t="s">
        <v>430</v>
      </c>
      <c r="F80" s="42"/>
      <c r="G80" s="42"/>
      <c r="H80" s="1002"/>
      <c r="I80" s="311"/>
      <c r="J80" s="2010"/>
      <c r="K80" s="3416"/>
      <c r="L80" s="3417"/>
      <c r="M80" s="3005" t="s">
        <v>425</v>
      </c>
      <c r="N80" s="1297"/>
      <c r="O80" s="1298" t="str">
        <f ca="1">NUMBERSTRING(INT(O79*10000),2)&amp;"元整"</f>
        <v>贰拾亿陆仟玖佰玖拾壹万元整</v>
      </c>
      <c r="P80" s="1299"/>
      <c r="Q80" s="2010"/>
      <c r="R80" s="2010"/>
      <c r="S80" s="2010"/>
      <c r="T80" s="2010"/>
      <c r="U80" s="2010"/>
      <c r="V80" s="2010"/>
    </row>
    <row r="81" spans="1:26" ht="13.5" thickBot="1">
      <c r="A81" s="381" t="s">
        <v>1822</v>
      </c>
      <c r="B81" s="371" t="s">
        <v>431</v>
      </c>
      <c r="C81" s="372">
        <f ca="1">ROUND((C82+C83)/(1+'数据-取费表'!C42),0)</f>
        <v>189437</v>
      </c>
      <c r="D81" s="373"/>
      <c r="E81" s="374"/>
      <c r="F81" s="42"/>
      <c r="G81" s="42"/>
      <c r="H81" s="1002"/>
      <c r="I81" s="311"/>
      <c r="J81" s="2010"/>
      <c r="K81" s="2999">
        <f>K79+1</f>
        <v>7</v>
      </c>
      <c r="L81" s="3429" t="s">
        <v>2883</v>
      </c>
      <c r="M81" s="3430"/>
      <c r="N81" s="1301"/>
      <c r="O81" s="1302">
        <f ca="1">ROUND(O79*10000/'数据-汇总表'!E3,0)</f>
        <v>5252</v>
      </c>
      <c r="P81" s="1303"/>
      <c r="Q81" s="2010"/>
      <c r="R81" s="2010"/>
      <c r="S81" s="2010"/>
      <c r="T81" s="2010"/>
      <c r="U81" s="2010"/>
      <c r="V81" s="2010"/>
    </row>
    <row r="82" spans="1:26" ht="13.5" thickTop="1">
      <c r="A82" s="375" t="s">
        <v>1823</v>
      </c>
      <c r="B82" s="376" t="s">
        <v>432</v>
      </c>
      <c r="C82" s="377">
        <f ca="1">D63</f>
        <v>198909</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1824</v>
      </c>
      <c r="B83" s="376" t="s">
        <v>433</v>
      </c>
      <c r="C83" s="380">
        <v>0</v>
      </c>
      <c r="D83" s="378"/>
      <c r="E83" s="379"/>
      <c r="F83" s="42"/>
      <c r="G83" s="42"/>
      <c r="H83" s="1002"/>
      <c r="I83" s="311"/>
      <c r="J83" s="2010"/>
      <c r="K83" s="3404" t="s">
        <v>2870</v>
      </c>
      <c r="L83" s="3011" t="s">
        <v>2871</v>
      </c>
      <c r="M83" s="3001">
        <f ca="1">IF(N69&gt;10000,N69*0.5%,IF(AND(N69&gt;1000,N69&lt;=10000),N69*1%,IF(AND(N69&gt;100,N69&lt;=1000),N69*3%,IF(AND(N69&gt;10,N69&lt;=100),N69*5%,N69*8%))))</f>
        <v>1657.575</v>
      </c>
      <c r="N83" s="53">
        <f ca="1">ROUND(M83,1)</f>
        <v>1657.6</v>
      </c>
      <c r="O83" s="3004"/>
      <c r="P83" s="2010"/>
      <c r="Q83" s="2010"/>
      <c r="R83" s="2010"/>
      <c r="S83" s="2010"/>
      <c r="T83" s="2010"/>
      <c r="U83" s="2010"/>
      <c r="V83" s="2010"/>
    </row>
    <row r="84" spans="1:26" ht="12.75">
      <c r="A84" s="381" t="s">
        <v>1825</v>
      </c>
      <c r="B84" s="382" t="s">
        <v>434</v>
      </c>
      <c r="C84" s="383">
        <v>2000</v>
      </c>
      <c r="D84" s="384" t="s">
        <v>19</v>
      </c>
      <c r="E84" s="3043" t="s">
        <v>2931</v>
      </c>
      <c r="F84" s="42"/>
      <c r="G84" s="42"/>
      <c r="H84" s="1002"/>
      <c r="I84" s="311"/>
      <c r="J84" s="2010"/>
      <c r="K84" s="3404"/>
      <c r="L84" s="3011" t="s">
        <v>2872</v>
      </c>
      <c r="M84" s="3001">
        <f ca="1">IF(N69&gt;2000,N69*0.5%,IF(AND(N69&gt;1000,N69&lt;=2000),N69*0.6%,IF(AND(N69&gt;500,N69&lt;=1000),N69*0.7%,IF(AND(N69&gt;200,N69&lt;=500),N69*0.8%,IF(AND(N69&gt;100,N69&lt;=200),N69*0.9%,IF(AND(N69&gt;50,N69&lt;=100),N69*1%,IF(AND(N69&gt;20,N69&lt;=50),N69*1.5%,IF(AND(N69&gt;10,N69&lt;=20),N69*2%,IF(AND(N69&gt;1,N69&lt;=10),N69*2.5%)))))))))</f>
        <v>1657.575</v>
      </c>
      <c r="N84" s="53">
        <f t="shared" ref="N84:N85" ca="1" si="2">ROUND(M84,1)</f>
        <v>1657.6</v>
      </c>
      <c r="O84" s="2010" t="s">
        <v>2873</v>
      </c>
      <c r="P84" s="2010"/>
      <c r="Q84" s="2010"/>
      <c r="R84" s="2010"/>
      <c r="S84" s="2010"/>
      <c r="T84" s="2010"/>
      <c r="U84" s="2010"/>
      <c r="V84" s="2010"/>
    </row>
    <row r="85" spans="1:26" ht="12.75">
      <c r="A85" s="381" t="s">
        <v>1826</v>
      </c>
      <c r="B85" s="382" t="s">
        <v>435</v>
      </c>
      <c r="C85" s="385">
        <f ca="1">C81-C84</f>
        <v>187437</v>
      </c>
      <c r="D85" s="378" t="s">
        <v>19</v>
      </c>
      <c r="E85" s="379"/>
      <c r="F85" s="42"/>
      <c r="G85" s="42"/>
      <c r="H85" s="1002"/>
      <c r="I85" s="311"/>
      <c r="J85" s="2010"/>
      <c r="K85" s="3404"/>
      <c r="L85" s="3011" t="s">
        <v>2874</v>
      </c>
      <c r="M85" s="3001">
        <f ca="1">IF(N69&gt;1000,N69*0.1%,IF(AND(N69&gt;500,N69&lt;=1000),N69*0.5%,IF(AND(N69&gt;50,N69&lt;=500),N69*1%,IF(AND(N69&gt;1,N69&lt;=50),N69*1.5%))))</f>
        <v>331.51499999999999</v>
      </c>
      <c r="N85" s="53">
        <f t="shared" ca="1" si="2"/>
        <v>331.5</v>
      </c>
      <c r="O85" s="2010" t="s">
        <v>2873</v>
      </c>
      <c r="P85" s="2010"/>
      <c r="Q85" s="2010"/>
      <c r="R85" s="2010"/>
      <c r="S85" s="2010"/>
      <c r="T85" s="2010"/>
      <c r="U85" s="2010"/>
      <c r="V85" s="2010"/>
    </row>
    <row r="86" spans="1:26" ht="13.5" thickBot="1">
      <c r="A86" s="386" t="s">
        <v>1827</v>
      </c>
      <c r="B86" s="387" t="s">
        <v>436</v>
      </c>
      <c r="C86" s="388">
        <f ca="1">IF(C85&lt;=0,0,ROUND(C85*D86,0))</f>
        <v>10496</v>
      </c>
      <c r="D86" s="389">
        <f>'数据-取费表'!B41</f>
        <v>5.6000000000000001E-2</v>
      </c>
      <c r="E86" s="390"/>
      <c r="F86" s="42"/>
      <c r="G86" s="42"/>
      <c r="H86" s="1002"/>
      <c r="I86" s="311"/>
      <c r="J86" s="2010"/>
      <c r="K86" s="3404"/>
      <c r="L86" s="3011" t="s">
        <v>2875</v>
      </c>
      <c r="M86" s="3001">
        <f ca="1">N69*0.5%</f>
        <v>1657.575</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404"/>
      <c r="L87" s="3011" t="s">
        <v>2877</v>
      </c>
      <c r="M87" s="3001">
        <f ca="1">IF(N69&gt;=10000,(8.25+(N69-10000)*0.01%),IF(AND(N69&gt;=8000,N69&lt;10000),(7.85+(N69-8000)*0.02%),IF(AND(N69&gt;=5000,N69&lt;8000),(6.65+(N69-5000)*0.04%),IF(AND(N69&gt;=2000,N69&lt;5000),(4.25+(PN69-2000)*0.08%),IF(AND(N69&gt;=1000,N69&lt;2000),(2.75+(N69-1000)*0.15%),IF(AND(N69&gt;=100,N69&lt;1000),(0.5+(N69-100)*0.25%),IF(AND(N69&gt;0,N69&lt;100),N69*0.5%)))))))</f>
        <v>40.401499999999999</v>
      </c>
      <c r="N87" s="53">
        <f ca="1">ROUND(M87*0.9,1)</f>
        <v>36.4</v>
      </c>
      <c r="O87" s="3004"/>
      <c r="P87" s="311"/>
      <c r="Q87" s="2010"/>
      <c r="R87" s="2010"/>
      <c r="S87" s="2010"/>
      <c r="T87" s="2010"/>
      <c r="U87" s="2010"/>
      <c r="V87" s="2010"/>
      <c r="W87" s="292"/>
      <c r="X87" s="292"/>
      <c r="Y87" s="292"/>
      <c r="Z87" s="292"/>
    </row>
    <row r="88" spans="1:26" s="1309" customFormat="1" ht="15" thickBot="1">
      <c r="A88" s="3458" t="s">
        <v>437</v>
      </c>
      <c r="B88" s="3459"/>
      <c r="C88" s="3459"/>
      <c r="D88" s="3459"/>
      <c r="E88" s="3459"/>
      <c r="F88" s="3459"/>
      <c r="G88" s="3459"/>
      <c r="H88" s="3459"/>
      <c r="I88" s="1310"/>
      <c r="J88" s="2018"/>
      <c r="K88" s="3404"/>
      <c r="L88" s="3011" t="s">
        <v>2878</v>
      </c>
      <c r="M88" s="3001">
        <f ca="1">IF(N69&gt;10000,N69*0.5%,IF(AND(N69&gt;5000,N69&lt;=10000),N69*1%,IF(AND(N69&gt;1000,N69&lt;=5000),N69*2%,IF(AND(N69&gt;200,N69&lt;=1000),N69*3%,N69*5%))))</f>
        <v>1657.575</v>
      </c>
      <c r="N88" s="53">
        <f ca="1">ROUND(M88,1)</f>
        <v>1657.6</v>
      </c>
      <c r="O88" s="3004"/>
      <c r="P88" s="11"/>
      <c r="Q88" s="2015"/>
      <c r="R88" s="2015"/>
      <c r="S88" s="2015"/>
      <c r="T88" s="2015"/>
      <c r="U88" s="2015"/>
      <c r="V88" s="2015"/>
      <c r="W88" s="2019"/>
      <c r="X88" s="2019"/>
      <c r="Y88" s="2019"/>
      <c r="Z88" s="2019"/>
    </row>
    <row r="89" spans="1:26" s="1309" customFormat="1" ht="14.25">
      <c r="A89" s="3422" t="s">
        <v>428</v>
      </c>
      <c r="B89" s="3423"/>
      <c r="C89" s="993"/>
      <c r="D89" s="993" t="s">
        <v>429</v>
      </c>
      <c r="E89" s="391" t="s">
        <v>438</v>
      </c>
      <c r="F89" s="392"/>
      <c r="G89" s="392"/>
      <c r="H89" s="393"/>
      <c r="I89" s="1311"/>
      <c r="J89" s="2020"/>
      <c r="K89" s="3404"/>
      <c r="L89" s="3011" t="s">
        <v>27</v>
      </c>
      <c r="M89" s="3002"/>
      <c r="N89" s="53">
        <f ca="1">ROUND(SUM(N83:N88),0)</f>
        <v>5341</v>
      </c>
      <c r="O89" s="3012">
        <f ca="1">N89/N69</f>
        <v>1.6110884877004059E-2</v>
      </c>
      <c r="P89" s="2015"/>
      <c r="Q89" s="2015"/>
      <c r="R89" s="2015"/>
      <c r="S89" s="2015"/>
      <c r="T89" s="2015"/>
      <c r="U89" s="2015"/>
      <c r="V89" s="2015"/>
      <c r="W89" s="2019"/>
      <c r="X89" s="2019"/>
      <c r="Y89" s="2019"/>
      <c r="Z89" s="2019"/>
    </row>
    <row r="90" spans="1:26" s="1309" customFormat="1" ht="14.25">
      <c r="A90" s="381" t="s">
        <v>1822</v>
      </c>
      <c r="B90" s="382" t="s">
        <v>439</v>
      </c>
      <c r="C90" s="385">
        <f ca="1">ROUND(D63/(1+'数据-取费表'!C42),0)</f>
        <v>189437</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1828</v>
      </c>
      <c r="B91" s="348" t="s">
        <v>440</v>
      </c>
      <c r="C91" s="385">
        <f ca="1">C92+C96</f>
        <v>3698</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1830</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1831</v>
      </c>
      <c r="B94" s="400" t="s">
        <v>446</v>
      </c>
      <c r="C94" s="378">
        <f>IF(F93="购房发票",ROUND(C93*H93*5%,0),0)</f>
        <v>500</v>
      </c>
      <c r="D94" s="401">
        <v>0.05</v>
      </c>
      <c r="E94" s="3455" t="s">
        <v>447</v>
      </c>
      <c r="F94" s="3456"/>
      <c r="G94" s="3456"/>
      <c r="H94" s="3457"/>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1833</v>
      </c>
      <c r="B96" s="376" t="s">
        <v>450</v>
      </c>
      <c r="C96" s="405">
        <f ca="1">ROUND(D63*D96/(1+'数据-取费表'!C42),0)</f>
        <v>1137</v>
      </c>
      <c r="D96" s="406">
        <f>'数据-取费表'!B43</f>
        <v>6.000000000000001E-3</v>
      </c>
      <c r="E96" s="3445" t="s">
        <v>2425</v>
      </c>
      <c r="F96" s="3446"/>
      <c r="G96" s="3446"/>
      <c r="H96" s="3447"/>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1834</v>
      </c>
      <c r="B97" s="382" t="s">
        <v>451</v>
      </c>
      <c r="C97" s="385">
        <f ca="1">C90-C91</f>
        <v>185739</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1835</v>
      </c>
      <c r="B98" s="382" t="s">
        <v>452</v>
      </c>
      <c r="C98" s="407">
        <f ca="1">IF(C97&lt;=0,0,C97/C91)</f>
        <v>50.226879394267172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1836</v>
      </c>
      <c r="B99" s="387" t="s">
        <v>453</v>
      </c>
      <c r="C99" s="408">
        <f ca="1">ROUND(IF(C97&lt;=0,0,IF(C98&gt;=200%,C97*60%-C91*35%,IF(C98&gt;=100%,C97*50%-C91*15%,IF(C98&gt;=50%,C97*40%-C91*5%,IF(C98&lt;50%,C97*30%,0))))),0)</f>
        <v>110149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458" t="s">
        <v>454</v>
      </c>
      <c r="B101" s="3459"/>
      <c r="C101" s="3459"/>
      <c r="D101" s="3459"/>
      <c r="E101" s="3459"/>
      <c r="F101" s="3459"/>
      <c r="G101" s="3459"/>
      <c r="H101" s="3459"/>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422" t="s">
        <v>428</v>
      </c>
      <c r="B102" s="3423"/>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1822</v>
      </c>
      <c r="B103" s="382" t="s">
        <v>439</v>
      </c>
      <c r="C103" s="385">
        <f ca="1">ROUND(D63/(1+'数据-取费表'!C42),0)</f>
        <v>189437</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1828</v>
      </c>
      <c r="B104" s="348" t="s">
        <v>440</v>
      </c>
      <c r="C104" s="385">
        <f ca="1">IF(H106="仅含出让金",C105+C108+C109+C110+C111+C112,C105+C109+C110+C111+C112)</f>
        <v>1827</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1829</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1830</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1837</v>
      </c>
      <c r="B109" s="376" t="s">
        <v>461</v>
      </c>
      <c r="C109" s="405">
        <f>IF(H109="——",IF(F1="现房",'剩余法-现房'!C18,'剩余法-待开发'!C18),I109)</f>
        <v>55</v>
      </c>
      <c r="D109" s="406"/>
      <c r="E109" s="3448" t="s">
        <v>462</v>
      </c>
      <c r="F109" s="3446"/>
      <c r="G109" s="3446"/>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1838</v>
      </c>
      <c r="B110" s="376" t="s">
        <v>463</v>
      </c>
      <c r="C110" s="405">
        <f>ROUND((C105+C108+C109)*D110,0)</f>
        <v>63</v>
      </c>
      <c r="D110" s="406">
        <v>0.1</v>
      </c>
      <c r="E110" s="3448" t="s">
        <v>464</v>
      </c>
      <c r="F110" s="3446"/>
      <c r="G110" s="3446"/>
      <c r="H110" s="3447"/>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1839</v>
      </c>
      <c r="B111" s="376" t="s">
        <v>450</v>
      </c>
      <c r="C111" s="405">
        <f ca="1">ROUND(D63*D111/(1+'数据-取费表'!C42),0)</f>
        <v>1137</v>
      </c>
      <c r="D111" s="406">
        <f>'数据-取费表'!B43</f>
        <v>6.000000000000001E-3</v>
      </c>
      <c r="E111" s="3445" t="s">
        <v>2425</v>
      </c>
      <c r="F111" s="3446"/>
      <c r="G111" s="3446"/>
      <c r="H111" s="3447"/>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1840</v>
      </c>
      <c r="B112" s="376" t="s">
        <v>465</v>
      </c>
      <c r="C112" s="405">
        <f>ROUND(C108*D112,0)</f>
        <v>0</v>
      </c>
      <c r="D112" s="406">
        <v>0.2</v>
      </c>
      <c r="E112" s="3448" t="s">
        <v>2450</v>
      </c>
      <c r="F112" s="3446"/>
      <c r="G112" s="3446"/>
      <c r="H112" s="3447"/>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1834</v>
      </c>
      <c r="B113" s="382" t="s">
        <v>451</v>
      </c>
      <c r="C113" s="385">
        <f ca="1">ROUND(C103-C104,0)</f>
        <v>187610</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1835</v>
      </c>
      <c r="B114" s="382" t="s">
        <v>452</v>
      </c>
      <c r="C114" s="407">
        <f ca="1">IF(C113&lt;=0,0,C113/C104)</f>
        <v>102.68746579091406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1836</v>
      </c>
      <c r="B115" s="387" t="s">
        <v>453</v>
      </c>
      <c r="C115" s="408">
        <f ca="1">ROUND(IF(C113&lt;=0,0,IF(C114&gt;=200%,C113*60%-C104*35%,IF(C114&gt;=100%,C113*50%-C104*15%,IF(C114&gt;=50%,C113*40%-C104*5%,IF(C114&lt;50%,C113*30%,0))))),0)</f>
        <v>111927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94" t="str">
        <f>项目基本情况!B1</f>
        <v>重庆市南岸区涂山镇石溪路出让国有建设用地使用权抵押价格预评估</v>
      </c>
      <c r="C37" s="3294"/>
      <c r="D37" s="3294"/>
      <c r="E37" s="3294"/>
      <c r="F37" s="3294"/>
      <c r="G37" s="3294"/>
      <c r="H37" s="3294"/>
      <c r="I37" s="3294"/>
    </row>
    <row r="38" spans="1:9">
      <c r="A38" s="1640"/>
      <c r="B38" s="1640"/>
    </row>
    <row r="39" spans="1:9">
      <c r="A39" s="1638" t="s">
        <v>1900</v>
      </c>
      <c r="B39" s="1638" t="s">
        <v>2043</v>
      </c>
    </row>
    <row r="40" spans="1:9">
      <c r="A40" s="1638"/>
      <c r="B40" s="1638" t="str">
        <f>项目基本情况!B5</f>
        <v>中信信托有限责任公司</v>
      </c>
    </row>
    <row r="41" spans="1:9">
      <c r="A41" s="1638"/>
      <c r="B41" s="1638"/>
    </row>
    <row r="42" spans="1:9">
      <c r="A42" s="1638" t="s">
        <v>1900</v>
      </c>
      <c r="B42" s="1638" t="s">
        <v>2044</v>
      </c>
    </row>
    <row r="43" spans="1:9">
      <c r="A43" s="1638"/>
      <c r="B43" s="1638" t="s">
        <v>1902</v>
      </c>
    </row>
    <row r="44" spans="1:9">
      <c r="A44" s="1638"/>
      <c r="B44" s="1638"/>
    </row>
    <row r="45" spans="1:9">
      <c r="A45" s="1638" t="s">
        <v>1900</v>
      </c>
      <c r="B45" s="1638" t="s">
        <v>2042</v>
      </c>
    </row>
    <row r="46" spans="1:9" s="1638" customFormat="1" ht="12.75">
      <c r="B46" s="1638" t="str">
        <f>项目基本情况!K4</f>
        <v>王鹏、郑燚</v>
      </c>
    </row>
    <row r="47" spans="1:9">
      <c r="A47" s="1638"/>
      <c r="B47" s="1638"/>
    </row>
    <row r="48" spans="1:9">
      <c r="A48" s="1638" t="s">
        <v>1900</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59"/>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4" t="s">
        <v>1683</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7">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1844</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1846</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1863</v>
      </c>
      <c r="B11" s="1605"/>
      <c r="C11" s="1605"/>
      <c r="D11" s="1605"/>
      <c r="E11" s="1605"/>
      <c r="F11" s="1605"/>
      <c r="G11" s="1605"/>
      <c r="H11" s="1605"/>
      <c r="I11" s="1605"/>
      <c r="J11" s="1605"/>
      <c r="K11" s="1606"/>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7" t="s">
        <v>1847</v>
      </c>
      <c r="B13" s="449" t="s">
        <v>479</v>
      </c>
      <c r="C13" s="450">
        <f ca="1">IF(B1="",'数据-取费表'!M16,INDIRECT("'数据-取费表'!M"&amp;$K$1)+INDIRECT("'数据-取费表'!t"&amp;$K$1))</f>
        <v>105917</v>
      </c>
      <c r="D13" s="451"/>
      <c r="E13" s="365"/>
      <c r="F13" s="452"/>
      <c r="G13" s="444"/>
      <c r="H13" s="447"/>
      <c r="I13" s="447"/>
      <c r="J13" s="447"/>
      <c r="K13" s="448"/>
    </row>
    <row r="14" spans="1:41" s="2098" customFormat="1" ht="13.5" customHeight="1">
      <c r="A14" s="1617" t="s">
        <v>1848</v>
      </c>
      <c r="B14" s="449" t="s">
        <v>480</v>
      </c>
      <c r="C14" s="53">
        <f ca="1">ROUND(C13*F14,0)</f>
        <v>3178</v>
      </c>
      <c r="D14" s="451"/>
      <c r="E14" s="365"/>
      <c r="F14" s="453">
        <f>'数据-取费表'!B33</f>
        <v>0.03</v>
      </c>
      <c r="G14" s="444" t="s">
        <v>502</v>
      </c>
      <c r="H14" s="447"/>
      <c r="I14" s="447"/>
      <c r="J14" s="447"/>
      <c r="K14" s="448"/>
    </row>
    <row r="15" spans="1:41" s="2098" customFormat="1" ht="13.5" customHeight="1">
      <c r="A15" s="1617" t="s">
        <v>1849</v>
      </c>
      <c r="B15" s="449" t="s">
        <v>482</v>
      </c>
      <c r="C15" s="53">
        <f ca="1">ROUND(IF(B1="",SUMIF('数据-取费表'!C:C,"住宅",'数据-取费表'!M:M)*F15,IF(INDIRECT("'数据-取费表'!c"&amp;$K$1)="住宅",INDIRECT("'数据-取费表'!M"&amp;$K$1)*F15,0)),0)</f>
        <v>2671</v>
      </c>
      <c r="D15" s="451"/>
      <c r="E15" s="365"/>
      <c r="F15" s="453">
        <f>'数据-取费表'!B34</f>
        <v>0.05</v>
      </c>
      <c r="G15" s="444" t="s">
        <v>502</v>
      </c>
      <c r="H15" s="447"/>
      <c r="I15" s="447"/>
      <c r="J15" s="447"/>
      <c r="K15" s="448"/>
    </row>
    <row r="16" spans="1:41" s="2099" customFormat="1" ht="13.5" customHeight="1">
      <c r="A16" s="1617" t="s">
        <v>1850</v>
      </c>
      <c r="B16" s="449" t="s">
        <v>484</v>
      </c>
      <c r="C16" s="53">
        <f ca="1">ROUND(D16*E16/10000,0)</f>
        <v>5911</v>
      </c>
      <c r="D16" s="451">
        <f ca="1">IF(B1="",'数据-汇总表'!E3,INDIRECT("'数据-取费表'!K"&amp;$K$1)+INDIRECT("'数据-取费表'!S"&amp;$K$1))</f>
        <v>394084</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1851</v>
      </c>
      <c r="B17" s="449" t="s">
        <v>485</v>
      </c>
      <c r="C17" s="454">
        <f ca="1">ROUND(C13*F17,0)</f>
        <v>1589</v>
      </c>
      <c r="D17" s="455"/>
      <c r="E17" s="454"/>
      <c r="F17" s="456">
        <f>'数据-取费表'!B36</f>
        <v>1.4999999999999999E-2</v>
      </c>
      <c r="G17" s="444" t="s">
        <v>502</v>
      </c>
      <c r="H17" s="457"/>
      <c r="I17" s="457"/>
      <c r="J17" s="457"/>
      <c r="K17" s="458"/>
    </row>
    <row r="18" spans="1:14" s="2101" customFormat="1" ht="13.5" customHeight="1">
      <c r="A18" s="1618" t="s">
        <v>1852</v>
      </c>
      <c r="B18" s="459" t="s">
        <v>487</v>
      </c>
      <c r="C18" s="460">
        <f ca="1">SUM(C13:C17)</f>
        <v>119266</v>
      </c>
      <c r="D18" s="461"/>
      <c r="E18" s="462"/>
      <c r="F18" s="462"/>
      <c r="G18" s="1322" t="s">
        <v>2429</v>
      </c>
      <c r="H18" s="447"/>
      <c r="I18" s="447"/>
      <c r="J18" s="447"/>
      <c r="K18" s="448"/>
    </row>
    <row r="19" spans="1:14" s="2101" customFormat="1" ht="13.5" customHeight="1">
      <c r="A19" s="1618" t="s">
        <v>1853</v>
      </c>
      <c r="B19" s="459" t="s">
        <v>493</v>
      </c>
      <c r="C19" s="460">
        <f ca="1">ROUND(C18*F19,0)</f>
        <v>2385</v>
      </c>
      <c r="D19" s="462"/>
      <c r="E19" s="462"/>
      <c r="F19" s="466">
        <f>'数据-取费表'!B37</f>
        <v>0.02</v>
      </c>
      <c r="G19" s="444" t="s">
        <v>503</v>
      </c>
      <c r="H19" s="447"/>
      <c r="I19" s="447"/>
      <c r="J19" s="447"/>
      <c r="K19" s="448"/>
      <c r="L19" s="2103"/>
      <c r="M19" s="2103"/>
      <c r="N19" s="2103"/>
    </row>
    <row r="20" spans="1:14" s="2101" customFormat="1" ht="13.5" customHeight="1">
      <c r="A20" s="1618" t="s">
        <v>1854</v>
      </c>
      <c r="B20" s="459" t="s">
        <v>504</v>
      </c>
      <c r="C20" s="2976">
        <f>F20</f>
        <v>0.02</v>
      </c>
      <c r="D20" s="469" t="s">
        <v>505</v>
      </c>
      <c r="E20" s="469"/>
      <c r="F20" s="486">
        <f>'数据-取费表'!B38</f>
        <v>0.02</v>
      </c>
      <c r="G20" s="1322" t="s">
        <v>506</v>
      </c>
      <c r="H20" s="447"/>
      <c r="I20" s="447"/>
      <c r="J20" s="447"/>
      <c r="K20" s="448"/>
      <c r="L20" s="2103"/>
      <c r="M20" s="2103"/>
      <c r="N20" s="2103"/>
    </row>
    <row r="21" spans="1:14" s="2103" customFormat="1" ht="13.5" customHeight="1">
      <c r="A21" s="1618" t="s">
        <v>1857</v>
      </c>
      <c r="B21" s="461" t="s">
        <v>494</v>
      </c>
      <c r="C21" s="470">
        <f ca="1">C22</f>
        <v>4309</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7" t="s">
        <v>1847</v>
      </c>
      <c r="B22" s="1323" t="s">
        <v>2432</v>
      </c>
      <c r="C22" s="487">
        <f ca="1">ROUND(IF('数据-取费表'!B22&lt;=1,(C18+C19)*F21*'数据-取费表'!B20/2,(C18+C19)*(POWER((1+F21),'数据-取费表'!B20/2)-1)),0)</f>
        <v>4309</v>
      </c>
      <c r="D22" s="472"/>
      <c r="E22" s="473"/>
      <c r="F22" s="474"/>
      <c r="G22" s="2526" t="str">
        <f>IF('数据-取费表'!B22&lt;=1,"((1)+(2))×年利率×建设期÷2","((1)+(2))×((1+年利率)^(建设期÷2)-1)")</f>
        <v>((1)+(2))×((1+年利率)^(建设期÷2)-1)</v>
      </c>
      <c r="H22" s="457"/>
      <c r="I22" s="457"/>
      <c r="J22" s="457"/>
      <c r="K22" s="458"/>
    </row>
    <row r="23" spans="1:14" s="2102" customFormat="1" ht="13.5" customHeight="1">
      <c r="A23" s="1617" t="s">
        <v>1848</v>
      </c>
      <c r="B23" s="1323" t="s">
        <v>508</v>
      </c>
      <c r="C23" s="488">
        <f ca="1">ROUND(IF('数据-取费表'!B22&lt;=1,F20*F21*'数据-取费表'!B20/2,F20*(POWER((1+F21),'数据-取费表'!B20/2)-1)),4)</f>
        <v>6.9999999999999999E-4</v>
      </c>
      <c r="D23" s="472"/>
      <c r="E23" s="473"/>
      <c r="F23" s="474"/>
      <c r="G23" s="2526" t="str">
        <f>IF('数据-取费表'!B22&lt;=1,"销售费用率×年利率×建设期÷2","销售费用率×((1+年利率)^(建设期÷2)-1)")</f>
        <v>销售费用率×((1+年利率)^(建设期÷2)-1)</v>
      </c>
      <c r="H23" s="457"/>
      <c r="I23" s="457"/>
      <c r="J23" s="457"/>
      <c r="K23" s="458"/>
    </row>
    <row r="24" spans="1:14" s="2102" customFormat="1" ht="13.5" customHeight="1">
      <c r="A24" s="1618" t="s">
        <v>1858</v>
      </c>
      <c r="B24" s="2978" t="s">
        <v>2828</v>
      </c>
      <c r="C24" s="478">
        <f ca="1">C25</f>
        <v>10949</v>
      </c>
      <c r="D24" s="489">
        <f ca="1">C26</f>
        <v>1.8E-3</v>
      </c>
      <c r="E24" s="469" t="s">
        <v>507</v>
      </c>
      <c r="F24" s="479">
        <f ca="1">IF(B1="",'数据-取费表'!Q16,INDIRECT("'数据-取费表'!q"&amp;$K$1))</f>
        <v>0.09</v>
      </c>
      <c r="G24" s="444"/>
      <c r="H24" s="447"/>
      <c r="I24" s="447"/>
      <c r="J24" s="447"/>
      <c r="K24" s="448"/>
    </row>
    <row r="25" spans="1:14" s="2102" customFormat="1" ht="13.5" customHeight="1">
      <c r="A25" s="1617" t="s">
        <v>1847</v>
      </c>
      <c r="B25" s="1323" t="s">
        <v>2433</v>
      </c>
      <c r="C25" s="490">
        <f ca="1">ROUND((C18+C19)*F24,0)</f>
        <v>10949</v>
      </c>
      <c r="D25" s="472"/>
      <c r="E25" s="473"/>
      <c r="F25" s="480"/>
      <c r="G25" s="1321" t="s">
        <v>2430</v>
      </c>
      <c r="H25" s="457"/>
      <c r="I25" s="457"/>
      <c r="J25" s="457"/>
      <c r="K25" s="458"/>
    </row>
    <row r="26" spans="1:14" s="2102" customFormat="1" ht="13.5" customHeight="1">
      <c r="A26" s="1617" t="s">
        <v>1848</v>
      </c>
      <c r="B26" s="1323" t="s">
        <v>509</v>
      </c>
      <c r="C26" s="491">
        <f ca="1">ROUND(F20*F24,4)</f>
        <v>1.8E-3</v>
      </c>
      <c r="D26" s="472"/>
      <c r="E26" s="481"/>
      <c r="F26" s="480"/>
      <c r="G26" s="1321" t="s">
        <v>510</v>
      </c>
      <c r="H26" s="457"/>
      <c r="I26" s="457"/>
      <c r="J26" s="457"/>
      <c r="K26" s="458"/>
    </row>
    <row r="27" spans="1:14" s="2102" customFormat="1" ht="13.5" customHeight="1">
      <c r="A27" s="1621" t="s">
        <v>1866</v>
      </c>
      <c r="B27" s="459" t="s">
        <v>511</v>
      </c>
      <c r="C27" s="2977">
        <f>ROUND(F27/(1+'数据-取费表'!C42),4)</f>
        <v>5.33E-2</v>
      </c>
      <c r="D27" s="462" t="s">
        <v>2826</v>
      </c>
      <c r="E27" s="462"/>
      <c r="F27" s="466">
        <f>'数据-取费表'!B41</f>
        <v>5.6000000000000001E-2</v>
      </c>
      <c r="G27" s="1942" t="s">
        <v>2288</v>
      </c>
      <c r="H27" s="447"/>
      <c r="I27" s="447"/>
      <c r="J27" s="447"/>
      <c r="K27" s="448"/>
    </row>
    <row r="28" spans="1:14" s="2103" customFormat="1" ht="13.5" customHeight="1">
      <c r="A28" s="1621" t="s">
        <v>1867</v>
      </c>
      <c r="B28" s="476" t="s">
        <v>512</v>
      </c>
      <c r="C28" s="470">
        <f ca="1">ROUND((C18+C19+C21+C24)/(1-C20-D21-D24-C27),0)</f>
        <v>148138</v>
      </c>
      <c r="D28" s="477"/>
      <c r="E28" s="469"/>
      <c r="F28" s="471"/>
      <c r="G28" s="1322" t="s">
        <v>2431</v>
      </c>
      <c r="H28" s="447"/>
      <c r="I28" s="447"/>
      <c r="J28" s="447"/>
      <c r="K28" s="448"/>
    </row>
    <row r="29" spans="1:14" s="2103" customFormat="1" ht="13.5" customHeight="1">
      <c r="A29" s="1621" t="s">
        <v>1868</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1" t="s">
        <v>1864</v>
      </c>
      <c r="B31" s="1325"/>
      <c r="C31" s="500">
        <f>ROUND(C6*F31/(1+'数据-取费表'!C42),0)</f>
        <v>0</v>
      </c>
      <c r="D31" s="1326"/>
      <c r="E31" s="1326"/>
      <c r="F31" s="501">
        <f>'数据-取费表'!B41</f>
        <v>5.6000000000000001E-2</v>
      </c>
      <c r="G31" s="1327"/>
      <c r="H31" s="1327"/>
      <c r="I31" s="1327"/>
      <c r="J31" s="1328"/>
      <c r="K31" s="1329"/>
    </row>
    <row r="32" spans="1:14" s="206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2"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H47" sqref="H4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299142</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1683</v>
      </c>
      <c r="B3" s="510">
        <f>ROUND(B2*10000/'数据-汇总表'!E3,0)</f>
        <v>7591</v>
      </c>
      <c r="C3" s="2043"/>
      <c r="D3" s="2529"/>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130984</v>
      </c>
      <c r="C4" s="2043"/>
      <c r="D4" s="2529"/>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8732</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8"/>
    </row>
    <row r="6" spans="1:30" ht="20.25">
      <c r="A6" s="512" t="s">
        <v>521</v>
      </c>
      <c r="B6" s="513"/>
      <c r="C6" s="3503" t="s">
        <v>522</v>
      </c>
      <c r="D6" s="3504"/>
      <c r="E6" s="3503" t="s">
        <v>523</v>
      </c>
      <c r="F6" s="3504"/>
      <c r="G6" s="3503" t="s">
        <v>524</v>
      </c>
      <c r="H6" s="3504"/>
      <c r="I6" s="3503" t="s">
        <v>525</v>
      </c>
      <c r="J6" s="3504"/>
      <c r="K6" s="514" t="s">
        <v>526</v>
      </c>
      <c r="L6" s="2115"/>
      <c r="M6" s="2114"/>
      <c r="N6" s="2114"/>
      <c r="O6" s="2116"/>
      <c r="P6" s="3505" t="s">
        <v>527</v>
      </c>
      <c r="Q6" s="3506"/>
      <c r="R6" s="3491" t="s">
        <v>523</v>
      </c>
      <c r="S6" s="3492"/>
      <c r="T6" s="3491" t="s">
        <v>524</v>
      </c>
      <c r="U6" s="3492"/>
      <c r="V6" s="3511" t="s">
        <v>525</v>
      </c>
      <c r="W6" s="3511"/>
      <c r="X6" s="1552"/>
      <c r="Y6" s="3491" t="s">
        <v>527</v>
      </c>
      <c r="Z6" s="3492"/>
      <c r="AA6" s="3486" t="s">
        <v>523</v>
      </c>
      <c r="AB6" s="3487" t="s">
        <v>524</v>
      </c>
      <c r="AC6" s="3486" t="s">
        <v>525</v>
      </c>
    </row>
    <row r="7" spans="1:30" ht="28.5" customHeight="1">
      <c r="A7" s="515"/>
      <c r="B7" s="516"/>
      <c r="C7" s="3514" t="s">
        <v>2920</v>
      </c>
      <c r="D7" s="3515"/>
      <c r="E7" s="3514" t="str">
        <f>土地案例!A5</f>
        <v>南岸区茶园组团A分区A81-3/03号宗地</v>
      </c>
      <c r="F7" s="3515"/>
      <c r="G7" s="3514" t="str">
        <f>土地案例!A4</f>
        <v>南岸区弹子石组团D分区D3-1/03号宗地</v>
      </c>
      <c r="H7" s="3515"/>
      <c r="I7" s="3514" t="str">
        <f>土地案例!A13</f>
        <v>南岸区弹子石组团D分区D1-6-1/03部分宗地</v>
      </c>
      <c r="J7" s="3515"/>
      <c r="K7" s="514"/>
      <c r="L7" s="2115"/>
      <c r="M7" s="2114"/>
      <c r="N7" s="2114"/>
      <c r="O7" s="2116"/>
      <c r="P7" s="3507"/>
      <c r="Q7" s="3508"/>
      <c r="R7" s="3493"/>
      <c r="S7" s="3494"/>
      <c r="T7" s="3493"/>
      <c r="U7" s="3494"/>
      <c r="V7" s="3511"/>
      <c r="W7" s="3511"/>
      <c r="X7" s="1552"/>
      <c r="Y7" s="3493"/>
      <c r="Z7" s="3494"/>
      <c r="AA7" s="3487"/>
      <c r="AB7" s="3487"/>
      <c r="AC7" s="3487"/>
    </row>
    <row r="8" spans="1:30" ht="21" thickBot="1">
      <c r="A8" s="515"/>
      <c r="B8" s="516"/>
      <c r="C8" s="3516" t="s">
        <v>2924</v>
      </c>
      <c r="D8" s="3517"/>
      <c r="E8" s="3516" t="s">
        <v>2924</v>
      </c>
      <c r="F8" s="3517"/>
      <c r="G8" s="3512" t="s">
        <v>2924</v>
      </c>
      <c r="H8" s="3513"/>
      <c r="I8" s="3512" t="s">
        <v>2924</v>
      </c>
      <c r="J8" s="3513"/>
      <c r="K8" s="514" t="s">
        <v>528</v>
      </c>
      <c r="L8" s="2115"/>
      <c r="M8" s="2114"/>
      <c r="N8" s="2114"/>
      <c r="O8" s="2116"/>
      <c r="P8" s="3509"/>
      <c r="Q8" s="3510"/>
      <c r="R8" s="3493"/>
      <c r="S8" s="3494"/>
      <c r="T8" s="3495"/>
      <c r="U8" s="3496"/>
      <c r="V8" s="3511"/>
      <c r="W8" s="3511"/>
      <c r="X8" s="1552"/>
      <c r="Y8" s="3495"/>
      <c r="Z8" s="3496"/>
      <c r="AA8" s="3488"/>
      <c r="AB8" s="3488"/>
      <c r="AC8" s="3488"/>
    </row>
    <row r="9" spans="1:30" s="1215" customFormat="1" ht="21" thickBot="1">
      <c r="A9" s="2861"/>
      <c r="B9" s="2868" t="s">
        <v>529</v>
      </c>
      <c r="C9" s="2860">
        <f>'数据-取费表'!B2</f>
        <v>43602</v>
      </c>
      <c r="D9" s="520">
        <v>100</v>
      </c>
      <c r="E9" s="521" t="str">
        <f>土地案例!H5</f>
        <v>2018-04-16</v>
      </c>
      <c r="F9" s="522">
        <f>SUMIF(72:72,YEAR(E9)&amp;"-"&amp;INT((MONTH(E9)+2)/3),73:73)</f>
        <v>96</v>
      </c>
      <c r="G9" s="523" t="str">
        <f>土地案例!H4</f>
        <v>2018-05-04</v>
      </c>
      <c r="H9" s="520">
        <f>SUMIF(72:72,YEAR(G9)&amp;"-"&amp;INT((MONTH(G9)+2)/3),73:73)</f>
        <v>96</v>
      </c>
      <c r="I9" s="523" t="str">
        <f>土地案例!H13</f>
        <v>2017-06-06</v>
      </c>
      <c r="J9" s="520">
        <f>SUMIF(72:72,YEAR(I9)&amp;"-"&amp;INT((MONTH(I9)+2)/3),73:73)</f>
        <v>92</v>
      </c>
      <c r="K9" s="524"/>
      <c r="L9" s="2117"/>
      <c r="M9" s="2114"/>
      <c r="N9" s="2114"/>
      <c r="O9" s="2118"/>
      <c r="P9" s="3489" t="s">
        <v>530</v>
      </c>
      <c r="Q9" s="3498"/>
      <c r="R9" s="1553" t="s">
        <v>8</v>
      </c>
      <c r="S9" s="1554">
        <f t="shared" ref="S9:S17" si="0">F9</f>
        <v>96</v>
      </c>
      <c r="T9" s="1553" t="s">
        <v>8</v>
      </c>
      <c r="U9" s="1554">
        <f t="shared" ref="U9:U17" si="1">H9</f>
        <v>96</v>
      </c>
      <c r="V9" s="1553" t="s">
        <v>8</v>
      </c>
      <c r="W9" s="1554">
        <f t="shared" ref="W9:W17" si="2">J9</f>
        <v>92</v>
      </c>
      <c r="X9" s="1555"/>
      <c r="Y9" s="3489" t="s">
        <v>530</v>
      </c>
      <c r="Z9" s="3490"/>
      <c r="AA9" s="1556">
        <f>D9/F9</f>
        <v>1.0416666666666667</v>
      </c>
      <c r="AB9" s="1556">
        <f>D9/H9</f>
        <v>1.0416666666666667</v>
      </c>
      <c r="AC9" s="1556">
        <f>D9/J9</f>
        <v>1.0869565217391304</v>
      </c>
    </row>
    <row r="10" spans="1:30" s="1215" customFormat="1" ht="21" thickBot="1">
      <c r="A10" s="2862"/>
      <c r="B10" s="2869" t="s">
        <v>531</v>
      </c>
      <c r="C10" s="856" t="s">
        <v>532</v>
      </c>
      <c r="D10" s="520">
        <v>100</v>
      </c>
      <c r="E10" s="525" t="s">
        <v>3065</v>
      </c>
      <c r="F10" s="522">
        <f>SUMIF(75:75,E10,76:76)-SUMIF(75:75,C10,76:76)+100</f>
        <v>100</v>
      </c>
      <c r="G10" s="525" t="s">
        <v>3065</v>
      </c>
      <c r="H10" s="520">
        <f>SUMIF(75:75,G10,76:76)-SUMIF(75:75,C10,76:76)+100</f>
        <v>100</v>
      </c>
      <c r="I10" s="525" t="s">
        <v>3065</v>
      </c>
      <c r="J10" s="520">
        <f>SUMIF(75:75,I10,76:76)-SUMIF(75:75,C10,76:76)+100</f>
        <v>100</v>
      </c>
      <c r="K10" s="524"/>
      <c r="L10" s="2117"/>
      <c r="M10" s="2114"/>
      <c r="N10" s="2114"/>
      <c r="O10" s="2118"/>
      <c r="P10" s="3489" t="s">
        <v>533</v>
      </c>
      <c r="Q10" s="3490"/>
      <c r="R10" s="1553" t="s">
        <v>8</v>
      </c>
      <c r="S10" s="1554">
        <f t="shared" si="0"/>
        <v>100</v>
      </c>
      <c r="T10" s="1553" t="s">
        <v>8</v>
      </c>
      <c r="U10" s="1554">
        <f t="shared" si="1"/>
        <v>100</v>
      </c>
      <c r="V10" s="1553" t="s">
        <v>8</v>
      </c>
      <c r="W10" s="1554">
        <f t="shared" si="2"/>
        <v>100</v>
      </c>
      <c r="X10" s="1555"/>
      <c r="Y10" s="3489" t="s">
        <v>533</v>
      </c>
      <c r="Z10" s="3490"/>
      <c r="AA10" s="1556">
        <f t="shared" ref="AA10:AA47" si="3">D10/F10</f>
        <v>1</v>
      </c>
      <c r="AB10" s="1556">
        <f t="shared" ref="AB10:AB47" si="4">D10/H10</f>
        <v>1</v>
      </c>
      <c r="AC10" s="1556">
        <f t="shared" ref="AC10:AC47" si="5">D10/J10</f>
        <v>1</v>
      </c>
    </row>
    <row r="11" spans="1:30" s="1215" customFormat="1" ht="20.25">
      <c r="A11" s="2863"/>
      <c r="B11" s="2870" t="s">
        <v>2752</v>
      </c>
      <c r="C11" s="3278" t="s">
        <v>3142</v>
      </c>
      <c r="D11" s="254">
        <v>100</v>
      </c>
      <c r="E11" s="526" t="s">
        <v>922</v>
      </c>
      <c r="F11" s="254">
        <f>SUMIF(77:77,E11,78:78)-SUMIF(77:77,C11,78:78)+100</f>
        <v>97</v>
      </c>
      <c r="G11" s="526" t="s">
        <v>3142</v>
      </c>
      <c r="H11" s="254">
        <f>SUMIF(77:77,G11,78:78)-SUMIF(77:77,C11,78:78)+100</f>
        <v>100</v>
      </c>
      <c r="I11" s="526" t="s">
        <v>922</v>
      </c>
      <c r="J11" s="254">
        <f>SUMIF(77:77,I11,78:78)-SUMIF(77:77,C11,78:78)+100</f>
        <v>97</v>
      </c>
      <c r="K11" s="524"/>
      <c r="L11" s="2117"/>
      <c r="M11" s="2114"/>
      <c r="N11" s="2114"/>
      <c r="O11" s="2119"/>
      <c r="P11" s="3497" t="s">
        <v>535</v>
      </c>
      <c r="Q11" s="1146" t="str">
        <f t="shared" ref="Q11:Q17" si="6">B11</f>
        <v>用途</v>
      </c>
      <c r="R11" s="1553" t="s">
        <v>8</v>
      </c>
      <c r="S11" s="1554">
        <f t="shared" si="0"/>
        <v>97</v>
      </c>
      <c r="T11" s="1553" t="s">
        <v>8</v>
      </c>
      <c r="U11" s="1554">
        <f t="shared" si="1"/>
        <v>100</v>
      </c>
      <c r="V11" s="1553" t="s">
        <v>8</v>
      </c>
      <c r="W11" s="1554">
        <f t="shared" si="2"/>
        <v>97</v>
      </c>
      <c r="X11" s="1555"/>
      <c r="Y11" s="3454" t="s">
        <v>536</v>
      </c>
      <c r="Z11" s="1145" t="str">
        <f t="shared" ref="Z11:Z17" si="7">Q11</f>
        <v>用途</v>
      </c>
      <c r="AA11" s="1556">
        <f t="shared" si="3"/>
        <v>1.0309278350515463</v>
      </c>
      <c r="AB11" s="1556">
        <f t="shared" si="4"/>
        <v>1</v>
      </c>
      <c r="AC11" s="1556">
        <f t="shared" si="5"/>
        <v>1.0309278350515463</v>
      </c>
    </row>
    <row r="12" spans="1:30" s="1333" customFormat="1" ht="27">
      <c r="A12" s="2864"/>
      <c r="B12" s="2869" t="s">
        <v>2753</v>
      </c>
      <c r="C12" s="910"/>
      <c r="D12" s="255">
        <v>100</v>
      </c>
      <c r="E12" s="529"/>
      <c r="F12" s="255">
        <f>ROUND(100/'数据-取费表'!G16,0)</f>
        <v>120</v>
      </c>
      <c r="G12" s="530"/>
      <c r="H12" s="255">
        <f>ROUND(100/'数据-取费表'!G16,0)</f>
        <v>120</v>
      </c>
      <c r="I12" s="530"/>
      <c r="J12" s="255">
        <f>ROUND(100/'数据-取费表'!G16,0)</f>
        <v>120</v>
      </c>
      <c r="K12" s="531"/>
      <c r="L12" s="2120"/>
      <c r="M12" s="2114"/>
      <c r="N12" s="2114"/>
      <c r="O12" s="2121"/>
      <c r="P12" s="3497"/>
      <c r="Q12" s="1146" t="str">
        <f t="shared" si="6"/>
        <v>土地使用年限（年）</v>
      </c>
      <c r="R12" s="1553" t="s">
        <v>8</v>
      </c>
      <c r="S12" s="1554">
        <f t="shared" si="0"/>
        <v>120</v>
      </c>
      <c r="T12" s="1553" t="s">
        <v>8</v>
      </c>
      <c r="U12" s="1554">
        <f t="shared" si="1"/>
        <v>120</v>
      </c>
      <c r="V12" s="1553" t="s">
        <v>8</v>
      </c>
      <c r="W12" s="1554">
        <f t="shared" si="2"/>
        <v>120</v>
      </c>
      <c r="X12" s="1555"/>
      <c r="Y12" s="3454"/>
      <c r="Z12" s="1145" t="str">
        <f t="shared" si="7"/>
        <v>土地使用年限（年）</v>
      </c>
      <c r="AA12" s="1556">
        <f t="shared" si="3"/>
        <v>0.83333333333333337</v>
      </c>
      <c r="AB12" s="1556">
        <f t="shared" si="4"/>
        <v>0.83333333333333337</v>
      </c>
      <c r="AC12" s="1556">
        <f t="shared" si="5"/>
        <v>0.83333333333333337</v>
      </c>
    </row>
    <row r="13" spans="1:30" ht="20.25">
      <c r="A13" s="2865"/>
      <c r="B13" s="2869" t="s">
        <v>2754</v>
      </c>
      <c r="C13" s="534">
        <f>'数据-汇总表'!I7</f>
        <v>3.07</v>
      </c>
      <c r="D13" s="255">
        <v>100</v>
      </c>
      <c r="E13" s="533">
        <v>1</v>
      </c>
      <c r="F13" s="255">
        <f>LOOKUP(E13,82:82,83:83)-LOOKUP(C13,82:82,83:83)+100</f>
        <v>106</v>
      </c>
      <c r="G13" s="534">
        <v>1.5</v>
      </c>
      <c r="H13" s="255">
        <f>LOOKUP(G13,82:82,83:83)-LOOKUP(C13,82:82,83:83)+100</f>
        <v>106</v>
      </c>
      <c r="I13" s="533">
        <v>1.5</v>
      </c>
      <c r="J13" s="255">
        <f>LOOKUP(I13,82:82,83:83)-LOOKUP(C13,82:82,83:83)+100</f>
        <v>106</v>
      </c>
      <c r="K13" s="535">
        <v>3</v>
      </c>
      <c r="L13" s="2122"/>
      <c r="M13" s="2114"/>
      <c r="N13" s="2114"/>
      <c r="O13" s="2123"/>
      <c r="P13" s="3497"/>
      <c r="Q13" s="1146" t="str">
        <f t="shared" si="6"/>
        <v>容积率</v>
      </c>
      <c r="R13" s="1553" t="s">
        <v>8</v>
      </c>
      <c r="S13" s="1554">
        <f t="shared" si="0"/>
        <v>106</v>
      </c>
      <c r="T13" s="1553" t="s">
        <v>8</v>
      </c>
      <c r="U13" s="1554">
        <f t="shared" si="1"/>
        <v>106</v>
      </c>
      <c r="V13" s="1553" t="s">
        <v>8</v>
      </c>
      <c r="W13" s="1554">
        <f t="shared" si="2"/>
        <v>106</v>
      </c>
      <c r="X13" s="1555"/>
      <c r="Y13" s="3454"/>
      <c r="Z13" s="1145" t="str">
        <f t="shared" si="7"/>
        <v>容积率</v>
      </c>
      <c r="AA13" s="1556">
        <f t="shared" si="3"/>
        <v>0.94339622641509435</v>
      </c>
      <c r="AB13" s="1556">
        <f t="shared" si="4"/>
        <v>0.94339622641509435</v>
      </c>
      <c r="AC13" s="1556">
        <f t="shared" si="5"/>
        <v>0.94339622641509435</v>
      </c>
    </row>
    <row r="14" spans="1:30" s="1215" customFormat="1" ht="20.25">
      <c r="A14" s="2862"/>
      <c r="B14" s="2871" t="s">
        <v>2755</v>
      </c>
      <c r="C14" s="2858"/>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497"/>
      <c r="Q14" s="1146" t="str">
        <f t="shared" si="6"/>
        <v>配建</v>
      </c>
      <c r="R14" s="1553" t="s">
        <v>8</v>
      </c>
      <c r="S14" s="1554">
        <f t="shared" si="0"/>
        <v>100</v>
      </c>
      <c r="T14" s="1553" t="s">
        <v>8</v>
      </c>
      <c r="U14" s="1554">
        <f t="shared" si="1"/>
        <v>100</v>
      </c>
      <c r="V14" s="1553" t="s">
        <v>8</v>
      </c>
      <c r="W14" s="1554">
        <f t="shared" si="2"/>
        <v>100</v>
      </c>
      <c r="X14" s="1555"/>
      <c r="Y14" s="3454"/>
      <c r="Z14" s="1145" t="str">
        <f t="shared" si="7"/>
        <v>配建</v>
      </c>
      <c r="AA14" s="1556">
        <f>D14/F14</f>
        <v>1</v>
      </c>
      <c r="AB14" s="1556">
        <f>D14/H14</f>
        <v>1</v>
      </c>
      <c r="AC14" s="1556">
        <f>D14/J14</f>
        <v>1</v>
      </c>
    </row>
    <row r="15" spans="1:30" ht="20.25">
      <c r="A15" s="2866"/>
      <c r="B15" s="2872">
        <v>111</v>
      </c>
      <c r="C15" s="912"/>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497"/>
      <c r="Q15" s="1146">
        <f t="shared" si="6"/>
        <v>111</v>
      </c>
      <c r="R15" s="1553" t="s">
        <v>8</v>
      </c>
      <c r="S15" s="1554">
        <f t="shared" si="0"/>
        <v>100</v>
      </c>
      <c r="T15" s="1553" t="s">
        <v>8</v>
      </c>
      <c r="U15" s="1554">
        <f t="shared" si="1"/>
        <v>100</v>
      </c>
      <c r="V15" s="1553" t="s">
        <v>8</v>
      </c>
      <c r="W15" s="1554">
        <f t="shared" si="2"/>
        <v>100</v>
      </c>
      <c r="X15" s="1555"/>
      <c r="Y15" s="3454"/>
      <c r="Z15" s="1145">
        <f t="shared" si="7"/>
        <v>111</v>
      </c>
      <c r="AA15" s="1556">
        <f>D15/F15</f>
        <v>1</v>
      </c>
      <c r="AB15" s="1556">
        <f>D15/H15</f>
        <v>1</v>
      </c>
      <c r="AC15" s="1556">
        <f>D15/J15</f>
        <v>1</v>
      </c>
    </row>
    <row r="16" spans="1:30" ht="21" thickBot="1">
      <c r="A16" s="2867"/>
      <c r="B16" s="2873">
        <v>111</v>
      </c>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497"/>
      <c r="Q16" s="1146">
        <f t="shared" si="6"/>
        <v>111</v>
      </c>
      <c r="R16" s="1553" t="s">
        <v>8</v>
      </c>
      <c r="S16" s="1554">
        <f t="shared" si="0"/>
        <v>100</v>
      </c>
      <c r="T16" s="1553" t="s">
        <v>8</v>
      </c>
      <c r="U16" s="1554">
        <f t="shared" si="1"/>
        <v>100</v>
      </c>
      <c r="V16" s="1553" t="s">
        <v>8</v>
      </c>
      <c r="W16" s="1554">
        <f t="shared" si="2"/>
        <v>100</v>
      </c>
      <c r="X16" s="1555"/>
      <c r="Y16" s="3454"/>
      <c r="Z16" s="1145">
        <f t="shared" si="7"/>
        <v>111</v>
      </c>
      <c r="AA16" s="1556">
        <f>D16/F16</f>
        <v>1</v>
      </c>
      <c r="AB16" s="1556">
        <f>D16/H16</f>
        <v>1</v>
      </c>
      <c r="AC16" s="1556">
        <f>D16/J16</f>
        <v>1</v>
      </c>
    </row>
    <row r="17" spans="1:29" ht="114">
      <c r="A17" s="2859" t="s">
        <v>2750</v>
      </c>
      <c r="B17" s="578" t="s">
        <v>295</v>
      </c>
      <c r="C17" s="548" t="str">
        <f>估价对象房地状况!C15</f>
        <v>估价对象周边有怡景园、汇丰江山汇等住宅社区，分布密度一般，规模一般，入住率一般，综合评价居住社区成熟度一般。</v>
      </c>
      <c r="D17" s="551">
        <v>100</v>
      </c>
      <c r="E17" s="3192" t="s">
        <v>3148</v>
      </c>
      <c r="F17" s="549">
        <f>SUMIF(90:90,E18,91:91)-SUMIF(90:90,C18,91:91)+100</f>
        <v>98</v>
      </c>
      <c r="G17" s="3192"/>
      <c r="H17" s="549">
        <f>SUMIF(90:90,G18,91:91)-SUMIF(90:90,C18,91:91)+100</f>
        <v>100</v>
      </c>
      <c r="I17" s="3192"/>
      <c r="J17" s="549">
        <f>SUMIF(90:90,I18,91:91)-SUMIF(90:90,C18,91:91)+100</f>
        <v>100</v>
      </c>
      <c r="K17" s="535">
        <v>2</v>
      </c>
      <c r="L17" s="2124"/>
      <c r="M17" s="2114"/>
      <c r="N17" s="2114"/>
      <c r="O17" s="2123"/>
      <c r="P17" s="3499" t="s">
        <v>540</v>
      </c>
      <c r="Q17" s="1557" t="str">
        <f t="shared" si="6"/>
        <v>居住社区成熟度</v>
      </c>
      <c r="R17" s="1558" t="s">
        <v>8</v>
      </c>
      <c r="S17" s="1559">
        <f t="shared" si="0"/>
        <v>98</v>
      </c>
      <c r="T17" s="1558" t="s">
        <v>8</v>
      </c>
      <c r="U17" s="1559">
        <f t="shared" si="1"/>
        <v>100</v>
      </c>
      <c r="V17" s="1558" t="s">
        <v>8</v>
      </c>
      <c r="W17" s="1559">
        <f t="shared" si="2"/>
        <v>100</v>
      </c>
      <c r="X17" s="1552"/>
      <c r="Y17" s="3499" t="s">
        <v>540</v>
      </c>
      <c r="Z17" s="1560" t="str">
        <f t="shared" si="7"/>
        <v>居住社区成熟度</v>
      </c>
      <c r="AA17" s="1561">
        <f t="shared" si="3"/>
        <v>1.0204081632653061</v>
      </c>
      <c r="AB17" s="1561">
        <f t="shared" si="4"/>
        <v>1</v>
      </c>
      <c r="AC17" s="1561">
        <f t="shared" si="5"/>
        <v>1</v>
      </c>
    </row>
    <row r="18" spans="1:29" ht="20.25">
      <c r="A18" s="532"/>
      <c r="B18" s="553"/>
      <c r="C18" s="554" t="s">
        <v>3143</v>
      </c>
      <c r="D18" s="557"/>
      <c r="E18" s="558" t="s">
        <v>3144</v>
      </c>
      <c r="F18" s="555"/>
      <c r="G18" s="556" t="s">
        <v>3143</v>
      </c>
      <c r="H18" s="559"/>
      <c r="I18" s="558" t="s">
        <v>3143</v>
      </c>
      <c r="J18" s="555"/>
      <c r="K18" s="531"/>
      <c r="L18" s="2124"/>
      <c r="M18" s="2114"/>
      <c r="N18" s="2114"/>
      <c r="O18" s="2123"/>
      <c r="P18" s="3500"/>
      <c r="Q18" s="1557"/>
      <c r="R18" s="1558"/>
      <c r="S18" s="1559"/>
      <c r="T18" s="1558"/>
      <c r="U18" s="1559"/>
      <c r="V18" s="1558"/>
      <c r="W18" s="1559"/>
      <c r="X18" s="1552"/>
      <c r="Y18" s="3500"/>
      <c r="Z18" s="1560"/>
      <c r="AA18" s="1561">
        <v>1</v>
      </c>
      <c r="AB18" s="1561">
        <v>1</v>
      </c>
      <c r="AC18" s="1561">
        <v>1</v>
      </c>
    </row>
    <row r="19" spans="1:29" ht="99.75">
      <c r="A19" s="532"/>
      <c r="B19" s="560" t="s">
        <v>541</v>
      </c>
      <c r="C19" s="561" t="str">
        <f>估价对象房地状况!C16</f>
        <v>估价对象周边有长嘉汇购物公园、重庆来福士广场，周边商业氛围成熟度一般，人流量一般，商业繁华度一般。</v>
      </c>
      <c r="D19" s="563">
        <v>100</v>
      </c>
      <c r="E19" s="3193"/>
      <c r="F19" s="559">
        <f>SUMIF(92:92,E20,93:93)-SUMIF(92:92,C20,93:93)+100</f>
        <v>98</v>
      </c>
      <c r="G19" s="562"/>
      <c r="H19" s="565">
        <f>SUMIF(92:92,G20,93:93)-SUMIF(92:92,C20,93:93)+100</f>
        <v>100</v>
      </c>
      <c r="I19" s="564"/>
      <c r="J19" s="565">
        <f>SUMIF(92:92,I20,93:93)-SUMIF(92:92,C20,93:93)+100</f>
        <v>100</v>
      </c>
      <c r="K19" s="535">
        <v>2</v>
      </c>
      <c r="L19" s="2124"/>
      <c r="M19" s="2114"/>
      <c r="N19" s="2114"/>
      <c r="O19" s="2123"/>
      <c r="P19" s="3500"/>
      <c r="Q19" s="1557" t="str">
        <f>B19</f>
        <v>商业繁华度</v>
      </c>
      <c r="R19" s="1558" t="s">
        <v>8</v>
      </c>
      <c r="S19" s="1559">
        <f>F19</f>
        <v>98</v>
      </c>
      <c r="T19" s="1558" t="s">
        <v>8</v>
      </c>
      <c r="U19" s="1559">
        <f>H19</f>
        <v>100</v>
      </c>
      <c r="V19" s="1558" t="s">
        <v>8</v>
      </c>
      <c r="W19" s="1559">
        <f>J19</f>
        <v>100</v>
      </c>
      <c r="X19" s="1552"/>
      <c r="Y19" s="3500"/>
      <c r="Z19" s="1560" t="str">
        <f>Q19</f>
        <v>商业繁华度</v>
      </c>
      <c r="AA19" s="1561">
        <f t="shared" si="3"/>
        <v>1.0204081632653061</v>
      </c>
      <c r="AB19" s="1561">
        <f t="shared" si="4"/>
        <v>1</v>
      </c>
      <c r="AC19" s="1561">
        <f t="shared" si="5"/>
        <v>1</v>
      </c>
    </row>
    <row r="20" spans="1:29" ht="20.25">
      <c r="A20" s="532"/>
      <c r="B20" s="566"/>
      <c r="C20" s="567" t="s">
        <v>3143</v>
      </c>
      <c r="D20" s="563"/>
      <c r="E20" s="569" t="s">
        <v>3144</v>
      </c>
      <c r="F20" s="559"/>
      <c r="G20" s="568" t="s">
        <v>3143</v>
      </c>
      <c r="H20" s="555"/>
      <c r="I20" s="569" t="s">
        <v>3143</v>
      </c>
      <c r="J20" s="555"/>
      <c r="K20" s="531"/>
      <c r="L20" s="2124"/>
      <c r="M20" s="2114"/>
      <c r="N20" s="2114"/>
      <c r="O20" s="2123"/>
      <c r="P20" s="3500"/>
      <c r="Q20" s="1557"/>
      <c r="R20" s="1558"/>
      <c r="S20" s="1559"/>
      <c r="T20" s="1558"/>
      <c r="U20" s="1559"/>
      <c r="V20" s="1558"/>
      <c r="W20" s="1559"/>
      <c r="X20" s="1552"/>
      <c r="Y20" s="3500"/>
      <c r="Z20" s="1560"/>
      <c r="AA20" s="1561">
        <v>1</v>
      </c>
      <c r="AB20" s="1561">
        <v>1</v>
      </c>
      <c r="AC20" s="1561">
        <v>1</v>
      </c>
    </row>
    <row r="21" spans="1:29" ht="57">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4"/>
      <c r="M21" s="2114"/>
      <c r="N21" s="2114"/>
      <c r="O21" s="2123"/>
      <c r="P21" s="3500"/>
      <c r="Q21" s="1557" t="str">
        <f>B21</f>
        <v>办公集聚程度</v>
      </c>
      <c r="R21" s="1558" t="s">
        <v>8</v>
      </c>
      <c r="S21" s="1559">
        <f>F21</f>
        <v>100</v>
      </c>
      <c r="T21" s="1558" t="s">
        <v>8</v>
      </c>
      <c r="U21" s="1559">
        <f>H21</f>
        <v>100</v>
      </c>
      <c r="V21" s="1558" t="s">
        <v>8</v>
      </c>
      <c r="W21" s="1559">
        <f>J21</f>
        <v>100</v>
      </c>
      <c r="X21" s="1552"/>
      <c r="Y21" s="3500"/>
      <c r="Z21" s="1560" t="str">
        <f>Q21</f>
        <v>办公集聚程度</v>
      </c>
      <c r="AA21" s="1561">
        <f t="shared" si="3"/>
        <v>1</v>
      </c>
      <c r="AB21" s="1561">
        <f t="shared" si="4"/>
        <v>1</v>
      </c>
      <c r="AC21" s="1561">
        <f t="shared" si="5"/>
        <v>1</v>
      </c>
    </row>
    <row r="22" spans="1:29" ht="21" thickBot="1">
      <c r="A22" s="532"/>
      <c r="B22" s="566"/>
      <c r="C22" s="554" t="s">
        <v>3144</v>
      </c>
      <c r="D22" s="557"/>
      <c r="E22" s="558" t="s">
        <v>3144</v>
      </c>
      <c r="F22" s="555"/>
      <c r="G22" s="556" t="s">
        <v>3144</v>
      </c>
      <c r="H22" s="555"/>
      <c r="I22" s="558" t="s">
        <v>3144</v>
      </c>
      <c r="J22" s="555"/>
      <c r="K22" s="531"/>
      <c r="L22" s="2124"/>
      <c r="M22" s="2114"/>
      <c r="N22" s="2114"/>
      <c r="O22" s="2123"/>
      <c r="P22" s="3500"/>
      <c r="Q22" s="1557"/>
      <c r="R22" s="1558"/>
      <c r="S22" s="1559"/>
      <c r="T22" s="1558"/>
      <c r="U22" s="1559"/>
      <c r="V22" s="1558"/>
      <c r="W22" s="1559"/>
      <c r="X22" s="1552"/>
      <c r="Y22" s="3500"/>
      <c r="Z22" s="1560"/>
      <c r="AA22" s="1561">
        <v>1</v>
      </c>
      <c r="AB22" s="1561">
        <v>1</v>
      </c>
      <c r="AC22" s="1561">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2" t="s">
        <v>3149</v>
      </c>
      <c r="F23" s="565">
        <f>SUMIF(96:96,E24,97:97)-SUMIF(96:96,C24,97:97)+100</f>
        <v>96</v>
      </c>
      <c r="G23" s="3192"/>
      <c r="H23" s="559">
        <f>SUMIF(96:96,G24,97:97)-SUMIF(96:96,C24,97:97)+100</f>
        <v>100</v>
      </c>
      <c r="I23" s="3192"/>
      <c r="J23" s="559">
        <f>SUMIF(96:96,I24,97:97)-SUMIF(96:96,C24,97:97)+100</f>
        <v>100</v>
      </c>
      <c r="K23" s="535">
        <v>2</v>
      </c>
      <c r="L23" s="2124"/>
      <c r="M23" s="2114"/>
      <c r="N23" s="2114"/>
      <c r="O23" s="2123"/>
      <c r="P23" s="3500"/>
      <c r="Q23" s="1557" t="str">
        <f>B23</f>
        <v>交通便捷度</v>
      </c>
      <c r="R23" s="1558" t="s">
        <v>8</v>
      </c>
      <c r="S23" s="1559">
        <f>F23</f>
        <v>96</v>
      </c>
      <c r="T23" s="1558" t="s">
        <v>8</v>
      </c>
      <c r="U23" s="1559">
        <f>H23</f>
        <v>100</v>
      </c>
      <c r="V23" s="1558" t="s">
        <v>8</v>
      </c>
      <c r="W23" s="1559">
        <f>J23</f>
        <v>100</v>
      </c>
      <c r="X23" s="1552"/>
      <c r="Y23" s="3500"/>
      <c r="Z23" s="1560" t="str">
        <f>Q23</f>
        <v>交通便捷度</v>
      </c>
      <c r="AA23" s="1561">
        <f t="shared" si="3"/>
        <v>1.0416666666666667</v>
      </c>
      <c r="AB23" s="1561">
        <f t="shared" si="4"/>
        <v>1</v>
      </c>
      <c r="AC23" s="1561">
        <f t="shared" si="5"/>
        <v>1</v>
      </c>
    </row>
    <row r="24" spans="1:29" ht="20.25">
      <c r="A24" s="532"/>
      <c r="B24" s="578"/>
      <c r="C24" s="554" t="s">
        <v>3145</v>
      </c>
      <c r="D24" s="557"/>
      <c r="E24" s="558" t="s">
        <v>3144</v>
      </c>
      <c r="F24" s="555"/>
      <c r="G24" s="556" t="s">
        <v>3145</v>
      </c>
      <c r="H24" s="555"/>
      <c r="I24" s="558" t="s">
        <v>3145</v>
      </c>
      <c r="J24" s="555"/>
      <c r="K24" s="531"/>
      <c r="L24" s="2124"/>
      <c r="M24" s="2114"/>
      <c r="N24" s="2114"/>
      <c r="O24" s="2123"/>
      <c r="P24" s="3500"/>
      <c r="Q24" s="1557"/>
      <c r="R24" s="1558"/>
      <c r="S24" s="1559"/>
      <c r="T24" s="1558"/>
      <c r="U24" s="1559"/>
      <c r="V24" s="1558"/>
      <c r="W24" s="1559"/>
      <c r="X24" s="1552"/>
      <c r="Y24" s="3500"/>
      <c r="Z24" s="1560"/>
      <c r="AA24" s="1561">
        <v>1</v>
      </c>
      <c r="AB24" s="1561">
        <v>1</v>
      </c>
      <c r="AC24" s="1561">
        <v>1</v>
      </c>
    </row>
    <row r="25" spans="1:29" ht="42.75">
      <c r="A25" s="515"/>
      <c r="B25" s="259" t="s">
        <v>544</v>
      </c>
      <c r="C25" s="573" t="str">
        <f>估价对象房地状况!C19</f>
        <v>零星有其他用地，对本宗地无不利影响。</v>
      </c>
      <c r="D25" s="563">
        <v>100</v>
      </c>
      <c r="E25" s="3193" t="s">
        <v>3150</v>
      </c>
      <c r="F25" s="565">
        <f>SUMIF(98:98,E26,99:99)-SUMIF(98:98,C26,99:99)+100</f>
        <v>100</v>
      </c>
      <c r="G25" s="3194" t="s">
        <v>3151</v>
      </c>
      <c r="H25" s="559">
        <f>SUMIF(98:98,G26,99:99)-SUMIF(98:98,C26,99:99)+100</f>
        <v>100</v>
      </c>
      <c r="I25" s="3193" t="s">
        <v>3151</v>
      </c>
      <c r="J25" s="559">
        <f>SUMIF(98:98,I26,99:99)-SUMIF(98:98,C26,99:99)+100</f>
        <v>100</v>
      </c>
      <c r="K25" s="535">
        <v>2</v>
      </c>
      <c r="L25" s="2124"/>
      <c r="M25" s="2114"/>
      <c r="N25" s="2114"/>
      <c r="O25" s="2123"/>
      <c r="P25" s="3500"/>
      <c r="Q25" s="1557" t="str">
        <f t="shared" ref="Q25:Q39" si="8">B25</f>
        <v>区域土地利用方向</v>
      </c>
      <c r="R25" s="1558" t="s">
        <v>8</v>
      </c>
      <c r="S25" s="1559">
        <f>F25</f>
        <v>100</v>
      </c>
      <c r="T25" s="1558" t="s">
        <v>8</v>
      </c>
      <c r="U25" s="1559">
        <f>H25</f>
        <v>100</v>
      </c>
      <c r="V25" s="1558" t="s">
        <v>8</v>
      </c>
      <c r="W25" s="1559">
        <f>J25</f>
        <v>100</v>
      </c>
      <c r="X25" s="1552"/>
      <c r="Y25" s="3500"/>
      <c r="Z25" s="1560" t="str">
        <f>Q25</f>
        <v>区域土地利用方向</v>
      </c>
      <c r="AA25" s="1561">
        <f t="shared" si="3"/>
        <v>1</v>
      </c>
      <c r="AB25" s="1561">
        <f t="shared" si="4"/>
        <v>1</v>
      </c>
      <c r="AC25" s="1561">
        <f t="shared" si="5"/>
        <v>1</v>
      </c>
    </row>
    <row r="26" spans="1:29" ht="20.25">
      <c r="A26" s="515"/>
      <c r="B26" s="1006"/>
      <c r="C26" s="554" t="s">
        <v>3145</v>
      </c>
      <c r="D26" s="557"/>
      <c r="E26" s="558" t="s">
        <v>3145</v>
      </c>
      <c r="F26" s="555"/>
      <c r="G26" s="556" t="s">
        <v>3145</v>
      </c>
      <c r="H26" s="555"/>
      <c r="I26" s="558" t="s">
        <v>3145</v>
      </c>
      <c r="J26" s="555"/>
      <c r="K26" s="531"/>
      <c r="L26" s="2124"/>
      <c r="M26" s="2114"/>
      <c r="N26" s="2114"/>
      <c r="O26" s="2123"/>
      <c r="P26" s="3500"/>
      <c r="Q26" s="1557"/>
      <c r="R26" s="1558"/>
      <c r="S26" s="1559"/>
      <c r="T26" s="1558"/>
      <c r="U26" s="1559"/>
      <c r="V26" s="1558"/>
      <c r="W26" s="1559"/>
      <c r="X26" s="1552"/>
      <c r="Y26" s="3500"/>
      <c r="Z26" s="1560"/>
      <c r="AA26" s="1561"/>
      <c r="AB26" s="1561"/>
      <c r="AC26" s="1561"/>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3" t="s">
        <v>3152</v>
      </c>
      <c r="F27" s="559">
        <f>SUMIF(100:100,E28,101:101)-SUMIF(100:100,C28,101:101)+100</f>
        <v>98</v>
      </c>
      <c r="G27" s="3193"/>
      <c r="H27" s="559">
        <f>SUMIF(100:100,G28,101:101)-SUMIF(100:100,C28,101:101)+100</f>
        <v>100</v>
      </c>
      <c r="I27" s="3193"/>
      <c r="J27" s="559">
        <f>SUMIF(100:100,I28,101:101)-SUMIF(100:100,C28,101:101)+100</f>
        <v>100</v>
      </c>
      <c r="K27" s="535">
        <v>2</v>
      </c>
      <c r="L27" s="2124"/>
      <c r="M27" s="2114"/>
      <c r="N27" s="2114"/>
      <c r="O27" s="2123"/>
      <c r="P27" s="3500"/>
      <c r="Q27" s="1557" t="str">
        <f t="shared" si="8"/>
        <v>自然及人文环境状况</v>
      </c>
      <c r="R27" s="1558" t="s">
        <v>8</v>
      </c>
      <c r="S27" s="1559">
        <f>F27</f>
        <v>98</v>
      </c>
      <c r="T27" s="1558" t="s">
        <v>8</v>
      </c>
      <c r="U27" s="1559">
        <f>H27</f>
        <v>100</v>
      </c>
      <c r="V27" s="1558" t="s">
        <v>8</v>
      </c>
      <c r="W27" s="1559">
        <f>J27</f>
        <v>100</v>
      </c>
      <c r="X27" s="1552"/>
      <c r="Y27" s="3500"/>
      <c r="Z27" s="1560" t="str">
        <f>Q27</f>
        <v>自然及人文环境状况</v>
      </c>
      <c r="AA27" s="1561">
        <f t="shared" si="3"/>
        <v>1.0204081632653061</v>
      </c>
      <c r="AB27" s="1561">
        <f t="shared" si="4"/>
        <v>1</v>
      </c>
      <c r="AC27" s="1561">
        <f t="shared" si="5"/>
        <v>1</v>
      </c>
    </row>
    <row r="28" spans="1:29" ht="20.25">
      <c r="A28" s="515"/>
      <c r="B28" s="566"/>
      <c r="C28" s="554" t="s">
        <v>3143</v>
      </c>
      <c r="D28" s="557"/>
      <c r="E28" s="576" t="s">
        <v>3144</v>
      </c>
      <c r="F28" s="555"/>
      <c r="G28" s="554" t="s">
        <v>3143</v>
      </c>
      <c r="H28" s="555"/>
      <c r="I28" s="576" t="s">
        <v>3143</v>
      </c>
      <c r="J28" s="555"/>
      <c r="K28" s="531"/>
      <c r="L28" s="2124"/>
      <c r="M28" s="2114"/>
      <c r="N28" s="2114"/>
      <c r="O28" s="2123"/>
      <c r="P28" s="3500"/>
      <c r="Q28" s="1557"/>
      <c r="R28" s="1558"/>
      <c r="S28" s="1559"/>
      <c r="T28" s="1558"/>
      <c r="U28" s="1559"/>
      <c r="V28" s="1558"/>
      <c r="W28" s="1559"/>
      <c r="X28" s="1552"/>
      <c r="Y28" s="3500"/>
      <c r="Z28" s="1560"/>
      <c r="AA28" s="1561">
        <v>1</v>
      </c>
      <c r="AB28" s="1561">
        <v>1</v>
      </c>
      <c r="AC28" s="1561">
        <v>1</v>
      </c>
    </row>
    <row r="29" spans="1:29" s="1215" customFormat="1" ht="42.75">
      <c r="A29" s="577"/>
      <c r="B29" s="2550" t="s">
        <v>2545</v>
      </c>
      <c r="C29" s="573" t="str">
        <f>估价对象房地状况!C21</f>
        <v>估价对象所在区域公共配套设施齐备情况较好。</v>
      </c>
      <c r="D29" s="563">
        <v>100</v>
      </c>
      <c r="E29" s="3193" t="s">
        <v>3153</v>
      </c>
      <c r="F29" s="559">
        <f>SUMIF(102:102,E30,103:103)-SUMIF(102:102,C30,103:103)+100</f>
        <v>98</v>
      </c>
      <c r="G29" s="3193"/>
      <c r="H29" s="559">
        <f>SUMIF(102:102,G30,103:103)-SUMIF(102:102,C30,103:103)+100</f>
        <v>100</v>
      </c>
      <c r="I29" s="3193"/>
      <c r="J29" s="559">
        <f>SUMIF(102:102,I30,103:103)-SUMIF(102:102,C30,103:103)+100</f>
        <v>100</v>
      </c>
      <c r="K29" s="535">
        <v>2</v>
      </c>
      <c r="L29" s="2117"/>
      <c r="M29" s="2114"/>
      <c r="N29" s="2114"/>
      <c r="O29" s="2119"/>
      <c r="P29" s="3500"/>
      <c r="Q29" s="1146" t="str">
        <f t="shared" si="8"/>
        <v>公共配套设施</v>
      </c>
      <c r="R29" s="1553" t="s">
        <v>8</v>
      </c>
      <c r="S29" s="1554">
        <f>F29</f>
        <v>98</v>
      </c>
      <c r="T29" s="1553" t="s">
        <v>8</v>
      </c>
      <c r="U29" s="1554">
        <f>H29</f>
        <v>100</v>
      </c>
      <c r="V29" s="1553" t="s">
        <v>8</v>
      </c>
      <c r="W29" s="1554">
        <f>J29</f>
        <v>100</v>
      </c>
      <c r="X29" s="1555"/>
      <c r="Y29" s="3500"/>
      <c r="Z29" s="1145" t="str">
        <f>Q29</f>
        <v>公共配套设施</v>
      </c>
      <c r="AA29" s="1561">
        <f>D29/F29</f>
        <v>1.0204081632653061</v>
      </c>
      <c r="AB29" s="1561">
        <f>D29/H29</f>
        <v>1</v>
      </c>
      <c r="AC29" s="1561">
        <f>D29/J29</f>
        <v>1</v>
      </c>
    </row>
    <row r="30" spans="1:29" s="1215" customFormat="1" ht="20.25">
      <c r="A30" s="577"/>
      <c r="B30" s="566"/>
      <c r="C30" s="579" t="s">
        <v>3145</v>
      </c>
      <c r="D30" s="557"/>
      <c r="E30" s="576" t="s">
        <v>3143</v>
      </c>
      <c r="F30" s="555"/>
      <c r="G30" s="554" t="s">
        <v>3145</v>
      </c>
      <c r="H30" s="555"/>
      <c r="I30" s="576" t="s">
        <v>3145</v>
      </c>
      <c r="J30" s="555"/>
      <c r="K30" s="531"/>
      <c r="L30" s="2117"/>
      <c r="M30" s="2114"/>
      <c r="N30" s="2114"/>
      <c r="O30" s="2119"/>
      <c r="P30" s="3500"/>
      <c r="Q30" s="1146"/>
      <c r="R30" s="1553"/>
      <c r="S30" s="1554"/>
      <c r="T30" s="1553"/>
      <c r="U30" s="1554"/>
      <c r="V30" s="1553"/>
      <c r="W30" s="1554"/>
      <c r="X30" s="1555"/>
      <c r="Y30" s="3500"/>
      <c r="Z30" s="1145"/>
      <c r="AA30" s="1561">
        <v>1</v>
      </c>
      <c r="AB30" s="1561">
        <v>1</v>
      </c>
      <c r="AC30" s="1561">
        <v>1</v>
      </c>
    </row>
    <row r="31" spans="1:29" s="1215" customFormat="1" ht="42.75">
      <c r="A31" s="577"/>
      <c r="B31" s="2550" t="s">
        <v>2546</v>
      </c>
      <c r="C31" s="573" t="str">
        <f>估价对象房地状况!C22</f>
        <v>估价对象所在区域基础设施水平达“六通”。</v>
      </c>
      <c r="D31" s="563">
        <v>100</v>
      </c>
      <c r="E31" s="564" t="s">
        <v>3154</v>
      </c>
      <c r="F31" s="559">
        <f>SUMIF(104:104,E32,105:105)-SUMIF(104:104,C32,105:105)+100</f>
        <v>100</v>
      </c>
      <c r="G31" s="564" t="s">
        <v>3154</v>
      </c>
      <c r="H31" s="559">
        <f>SUMIF(104:104,G32,105:105)-SUMIF(104:104,C32,105:105)+100</f>
        <v>100</v>
      </c>
      <c r="I31" s="564" t="s">
        <v>3154</v>
      </c>
      <c r="J31" s="559">
        <f>SUMIF(104:104,I32,105:105)-SUMIF(104:104,C32,105:105)+100</f>
        <v>100</v>
      </c>
      <c r="K31" s="535">
        <v>2</v>
      </c>
      <c r="L31" s="2117"/>
      <c r="M31" s="2114"/>
      <c r="N31" s="2114"/>
      <c r="O31" s="2119"/>
      <c r="P31" s="3500"/>
      <c r="Q31" s="2537" t="str">
        <f t="shared" ref="Q31" si="9">B31</f>
        <v>基础设施水平</v>
      </c>
      <c r="R31" s="1553" t="s">
        <v>8</v>
      </c>
      <c r="S31" s="1554">
        <f>F31</f>
        <v>100</v>
      </c>
      <c r="T31" s="1553" t="s">
        <v>8</v>
      </c>
      <c r="U31" s="1554">
        <f>H31</f>
        <v>100</v>
      </c>
      <c r="V31" s="1553" t="s">
        <v>8</v>
      </c>
      <c r="W31" s="1554">
        <f>J31</f>
        <v>100</v>
      </c>
      <c r="X31" s="1555"/>
      <c r="Y31" s="3500"/>
      <c r="Z31" s="2534" t="str">
        <f>Q31</f>
        <v>基础设施水平</v>
      </c>
      <c r="AA31" s="1561">
        <f>D31/F31</f>
        <v>1</v>
      </c>
      <c r="AB31" s="1561">
        <f>D31/H31</f>
        <v>1</v>
      </c>
      <c r="AC31" s="1561">
        <f>D31/J31</f>
        <v>1</v>
      </c>
    </row>
    <row r="32" spans="1:29" s="1215" customFormat="1" ht="20.25">
      <c r="A32" s="577"/>
      <c r="B32" s="566"/>
      <c r="C32" s="579" t="s">
        <v>3146</v>
      </c>
      <c r="D32" s="557"/>
      <c r="E32" s="2551" t="s">
        <v>3146</v>
      </c>
      <c r="F32" s="555"/>
      <c r="G32" s="579" t="s">
        <v>3146</v>
      </c>
      <c r="H32" s="555"/>
      <c r="I32" s="579" t="s">
        <v>3146</v>
      </c>
      <c r="J32" s="555"/>
      <c r="K32" s="531"/>
      <c r="L32" s="2117"/>
      <c r="M32" s="2114"/>
      <c r="N32" s="2114"/>
      <c r="O32" s="2119"/>
      <c r="P32" s="3500"/>
      <c r="Q32" s="2537"/>
      <c r="R32" s="1553"/>
      <c r="S32" s="1554"/>
      <c r="T32" s="1553"/>
      <c r="U32" s="1554"/>
      <c r="V32" s="1553"/>
      <c r="W32" s="1554"/>
      <c r="X32" s="1555"/>
      <c r="Y32" s="3500"/>
      <c r="Z32" s="2534"/>
      <c r="AA32" s="1561">
        <v>1</v>
      </c>
      <c r="AB32" s="1561">
        <v>1</v>
      </c>
      <c r="AC32" s="1561">
        <v>1</v>
      </c>
    </row>
    <row r="33" spans="1:29" ht="20.25">
      <c r="A33" s="532"/>
      <c r="B33" s="566" t="s">
        <v>547</v>
      </c>
      <c r="C33" s="580" t="s">
        <v>3021</v>
      </c>
      <c r="D33" s="575">
        <v>100</v>
      </c>
      <c r="E33" s="583" t="s">
        <v>3021</v>
      </c>
      <c r="F33" s="540">
        <f>SUMIF(106:106,E33,107:107)-SUMIF(106:106,C33,107:107)+100</f>
        <v>100</v>
      </c>
      <c r="G33" s="580" t="s">
        <v>3021</v>
      </c>
      <c r="H33" s="540">
        <f>SUMIF(106:106,G33,107:107)-SUMIF(106:106,C33,107:107)+100</f>
        <v>100</v>
      </c>
      <c r="I33" s="580" t="s">
        <v>3021</v>
      </c>
      <c r="J33" s="540">
        <f>SUMIF(106:106,I33,107:107)-SUMIF(106:106,C33,107:107)+100</f>
        <v>100</v>
      </c>
      <c r="K33" s="3195">
        <v>2</v>
      </c>
      <c r="L33" s="2124"/>
      <c r="M33" s="2114"/>
      <c r="N33" s="2114"/>
      <c r="O33" s="2123"/>
      <c r="P33" s="350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00"/>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4"/>
      <c r="M34" s="2114"/>
      <c r="N34" s="2114"/>
      <c r="O34" s="2123"/>
      <c r="P34" s="3500"/>
      <c r="Q34" s="1557" t="str">
        <f t="shared" si="8"/>
        <v>毗邻道路的类型与等级</v>
      </c>
      <c r="R34" s="1558" t="s">
        <v>8</v>
      </c>
      <c r="S34" s="1559">
        <f t="shared" si="10"/>
        <v>100</v>
      </c>
      <c r="T34" s="1558" t="s">
        <v>8</v>
      </c>
      <c r="U34" s="1559">
        <f t="shared" si="11"/>
        <v>100</v>
      </c>
      <c r="V34" s="1558" t="s">
        <v>8</v>
      </c>
      <c r="W34" s="1559">
        <f t="shared" si="12"/>
        <v>100</v>
      </c>
      <c r="X34" s="1552"/>
      <c r="Y34" s="3500"/>
      <c r="Z34" s="1560" t="str">
        <f t="shared" si="13"/>
        <v>毗邻道路的类型与等级</v>
      </c>
      <c r="AA34" s="1561">
        <f t="shared" si="3"/>
        <v>1</v>
      </c>
      <c r="AB34" s="1561">
        <f t="shared" si="4"/>
        <v>1</v>
      </c>
      <c r="AC34" s="1561">
        <f t="shared" si="5"/>
        <v>1</v>
      </c>
    </row>
    <row r="35" spans="1:29" ht="20.25">
      <c r="A35" s="532"/>
      <c r="B35" s="566"/>
      <c r="C35" s="554" t="s">
        <v>3147</v>
      </c>
      <c r="D35" s="557"/>
      <c r="E35" s="576" t="s">
        <v>3147</v>
      </c>
      <c r="F35" s="555"/>
      <c r="G35" s="554" t="s">
        <v>3147</v>
      </c>
      <c r="H35" s="555"/>
      <c r="I35" s="576" t="s">
        <v>3147</v>
      </c>
      <c r="J35" s="555"/>
      <c r="K35" s="581"/>
      <c r="L35" s="2124"/>
      <c r="M35" s="2114"/>
      <c r="N35" s="2114"/>
      <c r="O35" s="2123"/>
      <c r="P35" s="3500"/>
      <c r="Q35" s="1557"/>
      <c r="R35" s="1558"/>
      <c r="S35" s="1559"/>
      <c r="T35" s="1558"/>
      <c r="U35" s="1559"/>
      <c r="V35" s="1558"/>
      <c r="W35" s="1559"/>
      <c r="X35" s="1552"/>
      <c r="Y35" s="3500"/>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00"/>
      <c r="Q36" s="1557" t="str">
        <f t="shared" si="8"/>
        <v>土地级别</v>
      </c>
      <c r="R36" s="1558" t="s">
        <v>8</v>
      </c>
      <c r="S36" s="1559">
        <f t="shared" si="10"/>
        <v>100</v>
      </c>
      <c r="T36" s="1558" t="s">
        <v>8</v>
      </c>
      <c r="U36" s="1559">
        <f t="shared" si="11"/>
        <v>100</v>
      </c>
      <c r="V36" s="1558" t="s">
        <v>8</v>
      </c>
      <c r="W36" s="1559">
        <f t="shared" si="12"/>
        <v>100</v>
      </c>
      <c r="X36" s="1552"/>
      <c r="Y36" s="3500"/>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00"/>
      <c r="Q37" s="1557">
        <f t="shared" si="8"/>
        <v>111</v>
      </c>
      <c r="R37" s="1558" t="s">
        <v>8</v>
      </c>
      <c r="S37" s="1559">
        <f t="shared" si="10"/>
        <v>100</v>
      </c>
      <c r="T37" s="1558" t="s">
        <v>8</v>
      </c>
      <c r="U37" s="1559">
        <f t="shared" si="11"/>
        <v>100</v>
      </c>
      <c r="V37" s="1558" t="s">
        <v>8</v>
      </c>
      <c r="W37" s="1559">
        <f t="shared" si="12"/>
        <v>100</v>
      </c>
      <c r="X37" s="1552"/>
      <c r="Y37" s="3500"/>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01" t="s">
        <v>550</v>
      </c>
      <c r="Q38" s="1557">
        <f t="shared" si="8"/>
        <v>111</v>
      </c>
      <c r="R38" s="1558" t="s">
        <v>8</v>
      </c>
      <c r="S38" s="1559">
        <f t="shared" si="10"/>
        <v>100</v>
      </c>
      <c r="T38" s="1558" t="s">
        <v>8</v>
      </c>
      <c r="U38" s="1559">
        <f t="shared" si="11"/>
        <v>100</v>
      </c>
      <c r="V38" s="1558" t="s">
        <v>8</v>
      </c>
      <c r="W38" s="1559">
        <f t="shared" si="12"/>
        <v>100</v>
      </c>
      <c r="X38" s="1552"/>
      <c r="Y38" s="3502" t="s">
        <v>550</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02"/>
      <c r="Q39" s="1557">
        <f t="shared" si="8"/>
        <v>111</v>
      </c>
      <c r="R39" s="1562" t="s">
        <v>8</v>
      </c>
      <c r="S39" s="1563">
        <f t="shared" si="10"/>
        <v>100</v>
      </c>
      <c r="T39" s="1562" t="s">
        <v>8</v>
      </c>
      <c r="U39" s="1563">
        <f t="shared" si="11"/>
        <v>100</v>
      </c>
      <c r="V39" s="1562" t="s">
        <v>8</v>
      </c>
      <c r="W39" s="1563">
        <f t="shared" si="12"/>
        <v>100</v>
      </c>
      <c r="X39" s="1564"/>
      <c r="Y39" s="3502"/>
      <c r="Z39" s="1565">
        <f t="shared" si="13"/>
        <v>111</v>
      </c>
      <c r="AA39" s="1561">
        <f t="shared" si="3"/>
        <v>1</v>
      </c>
      <c r="AB39" s="1561">
        <f t="shared" si="4"/>
        <v>1</v>
      </c>
      <c r="AC39" s="1561">
        <f t="shared" si="5"/>
        <v>1</v>
      </c>
    </row>
    <row r="40" spans="1:29" ht="20.25">
      <c r="A40" s="2857" t="s">
        <v>2751</v>
      </c>
      <c r="B40" s="595" t="s">
        <v>552</v>
      </c>
      <c r="C40" s="596">
        <f>'数据-基础表'!A3</f>
        <v>22838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4"/>
      <c r="M40" s="2114"/>
      <c r="N40" s="2114"/>
      <c r="O40" s="2123"/>
      <c r="P40" s="3502"/>
      <c r="Q40" s="1557" t="str">
        <f>B40</f>
        <v>宗地面积</v>
      </c>
      <c r="R40" s="1558" t="s">
        <v>8</v>
      </c>
      <c r="S40" s="1559">
        <f t="shared" si="10"/>
        <v>101</v>
      </c>
      <c r="T40" s="1558" t="s">
        <v>8</v>
      </c>
      <c r="U40" s="1559">
        <f t="shared" si="11"/>
        <v>99</v>
      </c>
      <c r="V40" s="1558" t="s">
        <v>8</v>
      </c>
      <c r="W40" s="1559">
        <f t="shared" si="12"/>
        <v>100</v>
      </c>
      <c r="X40" s="1552"/>
      <c r="Y40" s="3502"/>
      <c r="Z40" s="1560" t="str">
        <f t="shared" si="13"/>
        <v>宗地面积</v>
      </c>
      <c r="AA40" s="1561">
        <f t="shared" si="3"/>
        <v>0.99009900990099009</v>
      </c>
      <c r="AB40" s="1561">
        <f t="shared" si="4"/>
        <v>1.0101010101010102</v>
      </c>
      <c r="AC40" s="1561">
        <f t="shared" si="5"/>
        <v>1</v>
      </c>
    </row>
    <row r="41" spans="1:29" ht="20.25">
      <c r="A41" s="594"/>
      <c r="B41" s="527" t="s">
        <v>553</v>
      </c>
      <c r="C41" s="3279" t="s">
        <v>3155</v>
      </c>
      <c r="D41" s="540">
        <v>100</v>
      </c>
      <c r="E41" s="599" t="s">
        <v>3155</v>
      </c>
      <c r="F41" s="540">
        <f>SUMIF(121:121,E41,122:122)-SUMIF(121:121,C41,122:122)+100</f>
        <v>100</v>
      </c>
      <c r="G41" s="599" t="s">
        <v>3155</v>
      </c>
      <c r="H41" s="540">
        <f>SUMIF(121:121,G41,122:122)-SUMIF(121:121,C41,122:122)+100</f>
        <v>100</v>
      </c>
      <c r="I41" s="599" t="s">
        <v>3155</v>
      </c>
      <c r="J41" s="540">
        <f>SUMIF(121:121,I41,122:122)-SUMIF(121:121,C41,122:122)+100</f>
        <v>100</v>
      </c>
      <c r="K41" s="584">
        <v>0</v>
      </c>
      <c r="L41" s="2124"/>
      <c r="M41" s="2114"/>
      <c r="N41" s="2114"/>
      <c r="O41" s="2123"/>
      <c r="P41" s="3502"/>
      <c r="Q41" s="1557" t="str">
        <f t="shared" ref="Q41:Q47" si="14">B41</f>
        <v>宗地形状</v>
      </c>
      <c r="R41" s="1558" t="s">
        <v>8</v>
      </c>
      <c r="S41" s="1559">
        <f t="shared" si="10"/>
        <v>100</v>
      </c>
      <c r="T41" s="1558" t="s">
        <v>8</v>
      </c>
      <c r="U41" s="1559">
        <f t="shared" si="11"/>
        <v>100</v>
      </c>
      <c r="V41" s="1558" t="s">
        <v>8</v>
      </c>
      <c r="W41" s="1559">
        <f t="shared" si="12"/>
        <v>100</v>
      </c>
      <c r="X41" s="1552"/>
      <c r="Y41" s="3502"/>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4"/>
      <c r="M42" s="2114"/>
      <c r="N42" s="2114"/>
      <c r="O42" s="2123"/>
      <c r="P42" s="3502"/>
      <c r="Q42" s="1557" t="str">
        <f t="shared" si="14"/>
        <v>临街宽度及深度</v>
      </c>
      <c r="R42" s="1558" t="s">
        <v>8</v>
      </c>
      <c r="S42" s="1559">
        <f t="shared" si="10"/>
        <v>100</v>
      </c>
      <c r="T42" s="1558" t="s">
        <v>8</v>
      </c>
      <c r="U42" s="1559">
        <f t="shared" si="11"/>
        <v>100</v>
      </c>
      <c r="V42" s="1558" t="s">
        <v>8</v>
      </c>
      <c r="W42" s="1559">
        <f t="shared" si="12"/>
        <v>100</v>
      </c>
      <c r="X42" s="1552"/>
      <c r="Y42" s="3502"/>
      <c r="Z42" s="1560" t="str">
        <f t="shared" si="13"/>
        <v>临街宽度及深度</v>
      </c>
      <c r="AA42" s="1561">
        <f t="shared" si="3"/>
        <v>1</v>
      </c>
      <c r="AB42" s="1561">
        <f t="shared" si="4"/>
        <v>1</v>
      </c>
      <c r="AC42" s="1561">
        <f t="shared" si="5"/>
        <v>1</v>
      </c>
    </row>
    <row r="43" spans="1:29" s="1215" customFormat="1" ht="20.25">
      <c r="A43" s="600"/>
      <c r="B43" s="1877" t="s">
        <v>2421</v>
      </c>
      <c r="C43" s="601" t="s">
        <v>3156</v>
      </c>
      <c r="D43" s="255">
        <v>100</v>
      </c>
      <c r="E43" s="601" t="s">
        <v>3156</v>
      </c>
      <c r="F43" s="540">
        <f>SUMIF(125:125,E43,126:126)-SUMIF(125:125,C43,126:126)+100</f>
        <v>100</v>
      </c>
      <c r="G43" s="601" t="s">
        <v>3156</v>
      </c>
      <c r="H43" s="540">
        <f>SUMIF(125:125,G43,126:126)-SUMIF(125:125,C43,126:126)+100</f>
        <v>100</v>
      </c>
      <c r="I43" s="601" t="s">
        <v>3156</v>
      </c>
      <c r="J43" s="540">
        <f>SUMIF(125:125,I43,126:126)-SUMIF(125:125,C43,126:126)+100</f>
        <v>100</v>
      </c>
      <c r="K43" s="584">
        <v>2</v>
      </c>
      <c r="L43" s="2117"/>
      <c r="M43" s="2114"/>
      <c r="N43" s="2114"/>
      <c r="O43" s="2119"/>
      <c r="P43" s="3502"/>
      <c r="Q43" s="1557" t="str">
        <f t="shared" si="14"/>
        <v>宗地开发程度</v>
      </c>
      <c r="R43" s="1553" t="s">
        <v>8</v>
      </c>
      <c r="S43" s="1554">
        <f t="shared" si="10"/>
        <v>100</v>
      </c>
      <c r="T43" s="1553" t="s">
        <v>8</v>
      </c>
      <c r="U43" s="1554">
        <f t="shared" si="11"/>
        <v>100</v>
      </c>
      <c r="V43" s="1553" t="s">
        <v>8</v>
      </c>
      <c r="W43" s="1554">
        <f t="shared" si="12"/>
        <v>100</v>
      </c>
      <c r="X43" s="1555"/>
      <c r="Y43" s="3502"/>
      <c r="Z43" s="1145" t="str">
        <f t="shared" si="13"/>
        <v>宗地开发程度</v>
      </c>
      <c r="AA43" s="1556">
        <f t="shared" si="3"/>
        <v>1</v>
      </c>
      <c r="AB43" s="1556">
        <f t="shared" si="4"/>
        <v>1</v>
      </c>
      <c r="AC43" s="1556">
        <f t="shared" si="5"/>
        <v>1</v>
      </c>
    </row>
    <row r="44" spans="1:29" ht="20.25">
      <c r="A44" s="594"/>
      <c r="B44" s="527" t="s">
        <v>555</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4"/>
      <c r="M44" s="2114"/>
      <c r="N44" s="2114"/>
      <c r="O44" s="2123"/>
      <c r="P44" s="3502" t="s">
        <v>550</v>
      </c>
      <c r="Q44" s="1557" t="str">
        <f t="shared" si="14"/>
        <v>工程地质条件</v>
      </c>
      <c r="R44" s="1558" t="s">
        <v>8</v>
      </c>
      <c r="S44" s="1559">
        <f t="shared" si="10"/>
        <v>100</v>
      </c>
      <c r="T44" s="1558" t="s">
        <v>8</v>
      </c>
      <c r="U44" s="1559">
        <f t="shared" si="11"/>
        <v>100</v>
      </c>
      <c r="V44" s="1558" t="s">
        <v>8</v>
      </c>
      <c r="W44" s="1559">
        <f t="shared" si="12"/>
        <v>100</v>
      </c>
      <c r="X44" s="1552"/>
      <c r="Y44" s="3502" t="s">
        <v>550</v>
      </c>
      <c r="Z44" s="1560" t="str">
        <f t="shared" si="13"/>
        <v>工程地质条件</v>
      </c>
      <c r="AA44" s="1561">
        <f t="shared" si="3"/>
        <v>1</v>
      </c>
      <c r="AB44" s="1561">
        <f t="shared" si="4"/>
        <v>1</v>
      </c>
      <c r="AC44" s="1561">
        <f t="shared" si="5"/>
        <v>1</v>
      </c>
    </row>
    <row r="45" spans="1:29" ht="20.25">
      <c r="A45" s="594"/>
      <c r="B45" s="3283" t="s">
        <v>3493</v>
      </c>
      <c r="C45" s="3284" t="s">
        <v>3494</v>
      </c>
      <c r="D45" s="540">
        <v>100</v>
      </c>
      <c r="E45" s="3284" t="s">
        <v>3496</v>
      </c>
      <c r="F45" s="540">
        <f>SUMIF(129:129,E45,130:130)-SUMIF(129:129,C45,130:130)+100</f>
        <v>96</v>
      </c>
      <c r="G45" s="3284" t="s">
        <v>3496</v>
      </c>
      <c r="H45" s="540">
        <f>SUMIF(129:129,G45,130:130)-SUMIF(129:129,C45,130:130)+100</f>
        <v>96</v>
      </c>
      <c r="I45" s="3285" t="s">
        <v>3496</v>
      </c>
      <c r="J45" s="540">
        <f>SUMIF(129:129,I45,130:130)-SUMIF(129:129,C45,130:130)+100</f>
        <v>96</v>
      </c>
      <c r="K45" s="581"/>
      <c r="L45" s="2124"/>
      <c r="M45" s="2114"/>
      <c r="N45" s="2114"/>
      <c r="O45" s="2123"/>
      <c r="P45" s="3502"/>
      <c r="Q45" s="1557" t="str">
        <f t="shared" si="14"/>
        <v>是否临江</v>
      </c>
      <c r="R45" s="1558" t="s">
        <v>8</v>
      </c>
      <c r="S45" s="1559">
        <f t="shared" si="10"/>
        <v>96</v>
      </c>
      <c r="T45" s="1558" t="s">
        <v>8</v>
      </c>
      <c r="U45" s="1559">
        <f t="shared" si="11"/>
        <v>96</v>
      </c>
      <c r="V45" s="1558" t="s">
        <v>8</v>
      </c>
      <c r="W45" s="1559">
        <f t="shared" si="12"/>
        <v>96</v>
      </c>
      <c r="X45" s="1552"/>
      <c r="Y45" s="3502"/>
      <c r="Z45" s="1560" t="str">
        <f t="shared" si="13"/>
        <v>是否临江</v>
      </c>
      <c r="AA45" s="1561">
        <f t="shared" si="3"/>
        <v>1.0416666666666667</v>
      </c>
      <c r="AB45" s="1561">
        <f t="shared" si="4"/>
        <v>1.0416666666666667</v>
      </c>
      <c r="AC45" s="1561">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02"/>
      <c r="Q46" s="1557">
        <f t="shared" si="14"/>
        <v>111</v>
      </c>
      <c r="R46" s="1558" t="s">
        <v>8</v>
      </c>
      <c r="S46" s="1559">
        <f t="shared" si="10"/>
        <v>100</v>
      </c>
      <c r="T46" s="1558" t="s">
        <v>8</v>
      </c>
      <c r="U46" s="1559">
        <f t="shared" si="11"/>
        <v>100</v>
      </c>
      <c r="V46" s="1558" t="s">
        <v>8</v>
      </c>
      <c r="W46" s="1559">
        <f t="shared" si="12"/>
        <v>100</v>
      </c>
      <c r="X46" s="1552"/>
      <c r="Y46" s="3502"/>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02"/>
      <c r="Q47" s="1557">
        <f t="shared" si="14"/>
        <v>111</v>
      </c>
      <c r="R47" s="1562" t="s">
        <v>8</v>
      </c>
      <c r="S47" s="1563">
        <f t="shared" si="10"/>
        <v>100</v>
      </c>
      <c r="T47" s="1562" t="s">
        <v>8</v>
      </c>
      <c r="U47" s="1563">
        <f t="shared" si="11"/>
        <v>100</v>
      </c>
      <c r="V47" s="1562" t="s">
        <v>8</v>
      </c>
      <c r="W47" s="1563">
        <f t="shared" si="12"/>
        <v>100</v>
      </c>
      <c r="X47" s="1564"/>
      <c r="Y47" s="3502"/>
      <c r="Z47" s="1565">
        <f t="shared" si="13"/>
        <v>111</v>
      </c>
      <c r="AA47" s="1561">
        <f t="shared" si="3"/>
        <v>1</v>
      </c>
      <c r="AB47" s="1561">
        <f t="shared" si="4"/>
        <v>1</v>
      </c>
      <c r="AC47" s="1561">
        <f t="shared" si="5"/>
        <v>1</v>
      </c>
    </row>
    <row r="48" spans="1:29" ht="20.25">
      <c r="A48" s="607" t="s">
        <v>556</v>
      </c>
      <c r="B48" s="608" t="s">
        <v>3157</v>
      </c>
      <c r="C48" s="609" t="s">
        <v>1</v>
      </c>
      <c r="D48" s="610"/>
      <c r="E48" s="611">
        <f>ROUND(土地案例!K5*1.2*(100/112),0)</f>
        <v>9477</v>
      </c>
      <c r="F48" s="612"/>
      <c r="G48" s="613">
        <f>ROUND(土地案例!K4*1.2*(100/112),0)</f>
        <v>10656</v>
      </c>
      <c r="H48" s="614"/>
      <c r="I48" s="611">
        <f>ROUND(土地案例!K13*1.2*(100/112),0)</f>
        <v>10714</v>
      </c>
      <c r="J48" s="614"/>
      <c r="K48" s="1335"/>
      <c r="L48" s="2126"/>
      <c r="M48" s="2114"/>
      <c r="N48" s="2114"/>
      <c r="O48" s="2127"/>
      <c r="P48" s="3497" t="str">
        <f>A48</f>
        <v>成交单价</v>
      </c>
      <c r="Q48" s="3497"/>
      <c r="R48" s="3511">
        <f>E48</f>
        <v>9477</v>
      </c>
      <c r="S48" s="3511"/>
      <c r="T48" s="3511">
        <f>G48</f>
        <v>10656</v>
      </c>
      <c r="U48" s="3511"/>
      <c r="V48" s="3511">
        <f>I48</f>
        <v>10714</v>
      </c>
      <c r="W48" s="3511"/>
      <c r="X48" s="1544"/>
      <c r="Y48" s="1566"/>
      <c r="Z48" s="1544"/>
      <c r="AA48" s="1544"/>
      <c r="AB48" s="1544"/>
      <c r="AC48" s="1544"/>
    </row>
    <row r="49" spans="1:29" ht="21" thickBot="1">
      <c r="A49" s="615" t="s">
        <v>2689</v>
      </c>
      <c r="B49" s="616"/>
      <c r="C49" s="617">
        <f>R50</f>
        <v>9444</v>
      </c>
      <c r="D49" s="618"/>
      <c r="E49" s="617">
        <f>R49</f>
        <v>9319</v>
      </c>
      <c r="F49" s="619"/>
      <c r="G49" s="620">
        <f>T49</f>
        <v>9182</v>
      </c>
      <c r="H49" s="618"/>
      <c r="I49" s="617">
        <f>V49</f>
        <v>9832</v>
      </c>
      <c r="J49" s="618"/>
      <c r="K49" s="1336"/>
      <c r="L49" s="2126"/>
      <c r="M49" s="2114"/>
      <c r="N49" s="2114"/>
      <c r="O49" s="2127"/>
      <c r="P49" s="3497" t="str">
        <f>A49</f>
        <v>比较价格（元/平方米）</v>
      </c>
      <c r="Q49" s="3497"/>
      <c r="R49" s="3521">
        <f>ROUND(PRODUCT(R48,AA9:AA47),0)</f>
        <v>9319</v>
      </c>
      <c r="S49" s="3521"/>
      <c r="T49" s="3521">
        <f>ROUND(PRODUCT(T48,AB9:AB47),0)</f>
        <v>9182</v>
      </c>
      <c r="U49" s="3521"/>
      <c r="V49" s="3521">
        <f>ROUND(PRODUCT(V48,AC9:AC47),0)</f>
        <v>9832</v>
      </c>
      <c r="W49" s="3521"/>
      <c r="X49" s="1544"/>
      <c r="Y49" s="1544"/>
      <c r="Z49" s="1544"/>
      <c r="AA49" s="1544"/>
      <c r="AB49" s="1544"/>
      <c r="AC49" s="1544"/>
    </row>
    <row r="50" spans="1:29" ht="21" thickBot="1">
      <c r="A50" s="621" t="s">
        <v>2926</v>
      </c>
      <c r="B50" s="622"/>
      <c r="C50" s="623">
        <f>R50</f>
        <v>9444</v>
      </c>
      <c r="D50" s="623"/>
      <c r="E50" s="623"/>
      <c r="F50" s="623"/>
      <c r="G50" s="623"/>
      <c r="H50" s="623"/>
      <c r="I50" s="623"/>
      <c r="J50" s="623"/>
      <c r="K50" s="1337"/>
      <c r="L50" s="2126"/>
      <c r="M50" s="2114"/>
      <c r="N50" s="2114"/>
      <c r="O50" s="2127"/>
      <c r="P50" s="3518" t="str">
        <f>A50</f>
        <v>估价对象XX用房的比较价格（楼面单价，元/平方米）</v>
      </c>
      <c r="Q50" s="3519"/>
      <c r="R50" s="3520">
        <f>ROUND(AVERAGE(R49:V49),0)</f>
        <v>9444</v>
      </c>
      <c r="S50" s="3520"/>
      <c r="T50" s="3520"/>
      <c r="U50" s="3520"/>
      <c r="V50" s="3520"/>
      <c r="W50" s="3520"/>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1.6954608863611886E-2</v>
      </c>
      <c r="F53" s="627" t="str">
        <f>IF(OR(E53&gt;=0.3,E53&lt;=-0.3),"超过30%","")</f>
        <v/>
      </c>
      <c r="G53" s="626">
        <f>IF(G48&lt;G49,G49/G48-1,G48/G49-1)</f>
        <v>0.16053147462426476</v>
      </c>
      <c r="H53" s="627" t="str">
        <f>IF(OR(G53&gt;=0.3,G53&lt;=-0.3),"超过30%","")</f>
        <v/>
      </c>
      <c r="I53" s="626">
        <f>IF(I48&lt;I49,I49/I48-1,I48/I49-1)</f>
        <v>8.9707078925955974E-2</v>
      </c>
      <c r="J53" s="627"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1.4920496623829216E-2</v>
      </c>
      <c r="F54" s="627" t="str">
        <f>IF(OR(E54&gt;=0.2,E54&lt;=-0.2),"超过20%","")</f>
        <v/>
      </c>
      <c r="G54" s="626">
        <f>IF(G49&lt;I49,I49/G49-1,G49/I49-1)</f>
        <v>7.0790677412328362E-2</v>
      </c>
      <c r="H54" s="627" t="str">
        <f>IF(OR(G54&gt;=0.2,G54&lt;=-0.2),"超过20%","")</f>
        <v/>
      </c>
      <c r="I54" s="626">
        <f>IF(I49&lt;E49,E49/I49-1,I49/E49-1)</f>
        <v>5.5048824981221101E-2</v>
      </c>
      <c r="J54" s="627"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0.12440645773979098</v>
      </c>
      <c r="F55" s="627" t="str">
        <f>IF(OR(E55&gt;=0.3,E55&lt;=-0.3),"超过30%","")</f>
        <v/>
      </c>
      <c r="G55" s="626">
        <f>IF(G48&lt;I48,I48/G48-1,G48/I48-1)</f>
        <v>5.4429429429430076E-3</v>
      </c>
      <c r="H55" s="627" t="str">
        <f>IF(OR(G55&gt;=0.3,G55&lt;=-0.3),"超过30%","")</f>
        <v/>
      </c>
      <c r="I55" s="626">
        <f>IF(I48&lt;E48,E48/I48-1,I48/E48-1)</f>
        <v>0.13052653793394531</v>
      </c>
      <c r="J55" s="627"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9" t="s">
        <v>560</v>
      </c>
      <c r="B57" s="630" t="s">
        <v>561</v>
      </c>
      <c r="C57" s="1545" t="s">
        <v>1723</v>
      </c>
      <c r="D57" s="2209" t="s">
        <v>2290</v>
      </c>
      <c r="E57" s="631" t="s">
        <v>562</v>
      </c>
      <c r="F57" s="632" t="s">
        <v>563</v>
      </c>
      <c r="G57" s="3481" t="s">
        <v>2278</v>
      </c>
      <c r="H57" s="3482"/>
      <c r="I57" s="1540" t="s">
        <v>1721</v>
      </c>
      <c r="J57" s="1540" t="str">
        <f>项目基本情况!F41</f>
        <v>重庆市</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9444</v>
      </c>
      <c r="C58" s="635">
        <v>1</v>
      </c>
      <c r="D58" s="2210">
        <v>1</v>
      </c>
      <c r="E58" s="635">
        <f>'数据-汇总表'!E8+'数据-汇总表'!E9</f>
        <v>316754</v>
      </c>
      <c r="F58" s="636">
        <f t="shared" ref="F58:F67" si="15">ROUND(B58*E58/10000,0)</f>
        <v>299142</v>
      </c>
      <c r="G58" s="3483"/>
      <c r="H58" s="3484"/>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485" t="s">
        <v>2279</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485"/>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485"/>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485"/>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1" t="s">
        <v>2325</v>
      </c>
      <c r="B63" s="638">
        <f t="shared" si="17"/>
        <v>0</v>
      </c>
      <c r="C63" s="378">
        <f t="shared" si="16"/>
        <v>0</v>
      </c>
      <c r="D63" s="2211">
        <v>0.25</v>
      </c>
      <c r="E63" s="641">
        <f>'数据-汇总表'!E11</f>
        <v>0</v>
      </c>
      <c r="F63" s="636">
        <f t="shared" si="15"/>
        <v>0</v>
      </c>
      <c r="G63" s="1927" t="s">
        <v>2280</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1676</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52000</v>
      </c>
      <c r="F65" s="636">
        <f t="shared" si="15"/>
        <v>0</v>
      </c>
      <c r="G65" s="1928" t="s">
        <v>922</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2279</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2280</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2291</v>
      </c>
      <c r="E68" s="643">
        <f>IF(B48="楼面地价",SUM(E58:E67),'数据-汇总表'!D3)</f>
        <v>368754</v>
      </c>
      <c r="F68" s="644">
        <f>IF(B48="楼面地价",SUM(F58:F67),ROUND(C50*E68/10000,0))</f>
        <v>299142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49" t="str">
        <f>YEAR(C9)&amp;"-"&amp;MONTH(C9)&amp;"-1"</f>
        <v>2019-5-1</v>
      </c>
      <c r="D70" s="2749">
        <f>EDATE(C70,-3)</f>
        <v>43497</v>
      </c>
      <c r="E70" s="2749">
        <f t="shared" ref="E70:N70" si="18">EDATE(D70,-3)</f>
        <v>43405</v>
      </c>
      <c r="F70" s="2749">
        <f t="shared" si="18"/>
        <v>43313</v>
      </c>
      <c r="G70" s="2749">
        <f t="shared" si="18"/>
        <v>43221</v>
      </c>
      <c r="H70" s="2749">
        <f t="shared" si="18"/>
        <v>43132</v>
      </c>
      <c r="I70" s="2749">
        <f t="shared" si="18"/>
        <v>43040</v>
      </c>
      <c r="J70" s="2749">
        <f t="shared" si="18"/>
        <v>42948</v>
      </c>
      <c r="K70" s="2749">
        <f t="shared" si="18"/>
        <v>42856</v>
      </c>
      <c r="L70" s="2749">
        <f t="shared" si="18"/>
        <v>42767</v>
      </c>
      <c r="M70" s="2749">
        <f t="shared" si="18"/>
        <v>42675</v>
      </c>
      <c r="N70" s="2749">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7" t="s">
        <v>2529</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6" t="s">
        <v>922</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v>91</v>
      </c>
      <c r="M73" s="730">
        <v>90</v>
      </c>
      <c r="N73" s="73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7" t="s">
        <v>2643</v>
      </c>
      <c r="B74" s="2755"/>
      <c r="C74" s="2741"/>
      <c r="D74" s="2742"/>
      <c r="E74" s="2742"/>
      <c r="F74" s="2742"/>
      <c r="G74" s="2742"/>
      <c r="H74" s="2742"/>
      <c r="I74" s="2742"/>
      <c r="J74" s="2742"/>
      <c r="K74" s="2742"/>
      <c r="L74" s="2742"/>
      <c r="M74" s="2742"/>
      <c r="N74" s="2742"/>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3281" t="s">
        <v>3492</v>
      </c>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v>103</v>
      </c>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6" t="s">
        <v>3022</v>
      </c>
      <c r="D77" s="3186" t="s">
        <v>3023</v>
      </c>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v>103</v>
      </c>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v>4</v>
      </c>
      <c r="H82" s="541">
        <v>5</v>
      </c>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6" t="s">
        <v>2547</v>
      </c>
      <c r="C104" s="2557" t="s">
        <v>2548</v>
      </c>
      <c r="D104" s="2557" t="s">
        <v>2549</v>
      </c>
      <c r="E104" s="2557" t="s">
        <v>2550</v>
      </c>
      <c r="F104" s="2557" t="s">
        <v>2551</v>
      </c>
      <c r="G104" s="2557"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7" t="s">
        <v>3024</v>
      </c>
      <c r="D108" s="3187" t="s">
        <v>3025</v>
      </c>
      <c r="E108" s="3187" t="s">
        <v>3026</v>
      </c>
      <c r="F108" s="3187" t="s">
        <v>3027</v>
      </c>
      <c r="G108" s="3187" t="s">
        <v>3028</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20000</v>
      </c>
      <c r="E119" s="730">
        <v>40000</v>
      </c>
      <c r="F119" s="730">
        <v>60000</v>
      </c>
      <c r="G119" s="730">
        <v>80000</v>
      </c>
      <c r="H119" s="730">
        <v>100000</v>
      </c>
      <c r="I119" s="730"/>
      <c r="J119" s="2326"/>
      <c r="K119" s="2326"/>
      <c r="L119" s="2327"/>
      <c r="M119" s="2328"/>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101</v>
      </c>
      <c r="E120" s="726">
        <v>102</v>
      </c>
      <c r="F120" s="700">
        <v>103</v>
      </c>
      <c r="G120" s="726">
        <v>104</v>
      </c>
      <c r="H120" s="726">
        <v>105</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8" t="s">
        <v>3029</v>
      </c>
      <c r="D121" s="3188" t="s">
        <v>3030</v>
      </c>
      <c r="E121" s="3188" t="s">
        <v>3031</v>
      </c>
      <c r="F121" s="3188" t="s">
        <v>3032</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3187" t="s">
        <v>3033</v>
      </c>
      <c r="D123" s="3187" t="s">
        <v>3034</v>
      </c>
      <c r="E123" s="3187" t="s">
        <v>3035</v>
      </c>
      <c r="F123" s="3188" t="s">
        <v>3036</v>
      </c>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t="s">
        <v>3037</v>
      </c>
      <c r="D125" s="1370" t="s">
        <v>3038</v>
      </c>
      <c r="E125" s="1370" t="s">
        <v>3039</v>
      </c>
      <c r="F125" s="1370" t="s">
        <v>3040</v>
      </c>
      <c r="G125" s="1370" t="s">
        <v>3041</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187" t="s">
        <v>3042</v>
      </c>
      <c r="D127" s="3187" t="s">
        <v>3043</v>
      </c>
      <c r="E127" s="3188" t="s">
        <v>3044</v>
      </c>
      <c r="F127" s="3188" t="s">
        <v>3045</v>
      </c>
      <c r="G127" s="3188" t="s">
        <v>3046</v>
      </c>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t="str">
        <f>B45</f>
        <v>是否临江</v>
      </c>
      <c r="C129" s="3187" t="s">
        <v>3494</v>
      </c>
      <c r="D129" s="3187" t="s">
        <v>3495</v>
      </c>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v>100</v>
      </c>
      <c r="D130" s="692">
        <v>96</v>
      </c>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1684</v>
      </c>
      <c r="B3" s="510"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8"/>
    </row>
    <row r="6" spans="1:29" ht="15">
      <c r="A6" s="512" t="s">
        <v>521</v>
      </c>
      <c r="B6" s="513"/>
      <c r="C6" s="3503" t="s">
        <v>522</v>
      </c>
      <c r="D6" s="3504"/>
      <c r="E6" s="3527" t="s">
        <v>523</v>
      </c>
      <c r="F6" s="3528"/>
      <c r="G6" s="3503" t="s">
        <v>524</v>
      </c>
      <c r="H6" s="3504"/>
      <c r="I6" s="3503" t="s">
        <v>525</v>
      </c>
      <c r="J6" s="3504"/>
      <c r="K6" s="514" t="s">
        <v>526</v>
      </c>
      <c r="L6" s="2115"/>
      <c r="M6" s="2116"/>
      <c r="N6" s="2116"/>
      <c r="O6" s="2116"/>
      <c r="P6" s="3505" t="s">
        <v>527</v>
      </c>
      <c r="Q6" s="3506"/>
      <c r="R6" s="3491" t="s">
        <v>523</v>
      </c>
      <c r="S6" s="3492"/>
      <c r="T6" s="3491" t="s">
        <v>524</v>
      </c>
      <c r="U6" s="3492"/>
      <c r="V6" s="3511" t="s">
        <v>525</v>
      </c>
      <c r="W6" s="3511"/>
      <c r="X6" s="1552"/>
      <c r="Y6" s="3491" t="s">
        <v>527</v>
      </c>
      <c r="Z6" s="3492"/>
      <c r="AA6" s="3486" t="s">
        <v>523</v>
      </c>
      <c r="AB6" s="3487" t="s">
        <v>524</v>
      </c>
      <c r="AC6" s="3486" t="s">
        <v>525</v>
      </c>
    </row>
    <row r="7" spans="1:29" ht="15">
      <c r="A7" s="515"/>
      <c r="B7" s="516"/>
      <c r="C7" s="3514" t="s">
        <v>2920</v>
      </c>
      <c r="D7" s="3515"/>
      <c r="E7" s="3529" t="s">
        <v>2921</v>
      </c>
      <c r="F7" s="3530"/>
      <c r="G7" s="3514" t="s">
        <v>2922</v>
      </c>
      <c r="H7" s="3515"/>
      <c r="I7" s="3514" t="s">
        <v>2923</v>
      </c>
      <c r="J7" s="3515"/>
      <c r="K7" s="514"/>
      <c r="L7" s="2115"/>
      <c r="M7" s="2116"/>
      <c r="N7" s="2116"/>
      <c r="O7" s="2116"/>
      <c r="P7" s="3507"/>
      <c r="Q7" s="3508"/>
      <c r="R7" s="3493"/>
      <c r="S7" s="3494"/>
      <c r="T7" s="3493"/>
      <c r="U7" s="3494"/>
      <c r="V7" s="3511"/>
      <c r="W7" s="3511"/>
      <c r="X7" s="1552"/>
      <c r="Y7" s="3493"/>
      <c r="Z7" s="3494"/>
      <c r="AA7" s="3487"/>
      <c r="AB7" s="3487"/>
      <c r="AC7" s="3487"/>
    </row>
    <row r="8" spans="1:29" ht="15.75" thickBot="1">
      <c r="A8" s="517"/>
      <c r="B8" s="518"/>
      <c r="C8" s="3512" t="s">
        <v>2924</v>
      </c>
      <c r="D8" s="3513"/>
      <c r="E8" s="3531" t="s">
        <v>2924</v>
      </c>
      <c r="F8" s="3532"/>
      <c r="G8" s="3512" t="s">
        <v>2924</v>
      </c>
      <c r="H8" s="3513"/>
      <c r="I8" s="3512" t="s">
        <v>2924</v>
      </c>
      <c r="J8" s="3513"/>
      <c r="K8" s="514" t="s">
        <v>528</v>
      </c>
      <c r="L8" s="2115"/>
      <c r="M8" s="2116"/>
      <c r="N8" s="2116"/>
      <c r="O8" s="2116"/>
      <c r="P8" s="3509"/>
      <c r="Q8" s="3510"/>
      <c r="R8" s="3493"/>
      <c r="S8" s="3494"/>
      <c r="T8" s="3495"/>
      <c r="U8" s="3496"/>
      <c r="V8" s="3511"/>
      <c r="W8" s="3511"/>
      <c r="X8" s="1552"/>
      <c r="Y8" s="3495"/>
      <c r="Z8" s="3496"/>
      <c r="AA8" s="3488"/>
      <c r="AB8" s="3488"/>
      <c r="AC8" s="3488"/>
    </row>
    <row r="9" spans="1:29" s="1215" customFormat="1" ht="15.75" thickBot="1">
      <c r="A9" s="2861"/>
      <c r="B9" s="2868" t="s">
        <v>529</v>
      </c>
      <c r="C9" s="519">
        <f>'数据-取费表'!B2</f>
        <v>43602</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89" t="s">
        <v>530</v>
      </c>
      <c r="Q9" s="3498"/>
      <c r="R9" s="1553" t="s">
        <v>8</v>
      </c>
      <c r="S9" s="1554">
        <f t="shared" ref="S9:S17" si="0">F9</f>
        <v>0</v>
      </c>
      <c r="T9" s="1553" t="s">
        <v>8</v>
      </c>
      <c r="U9" s="1554">
        <f t="shared" ref="U9:U17" si="1">H9</f>
        <v>0</v>
      </c>
      <c r="V9" s="1553" t="s">
        <v>8</v>
      </c>
      <c r="W9" s="1554">
        <f t="shared" ref="W9:W17" si="2">J9</f>
        <v>0</v>
      </c>
      <c r="X9" s="1555"/>
      <c r="Y9" s="3489" t="s">
        <v>530</v>
      </c>
      <c r="Z9" s="3490"/>
      <c r="AA9" s="1556" t="e">
        <f>D9/F9</f>
        <v>#DIV/0!</v>
      </c>
      <c r="AB9" s="1556" t="e">
        <f>D9/H9</f>
        <v>#DIV/0!</v>
      </c>
      <c r="AC9" s="1556" t="e">
        <f>D9/J9</f>
        <v>#DIV/0!</v>
      </c>
    </row>
    <row r="10" spans="1:29" s="1215" customFormat="1" ht="15.75" thickBot="1">
      <c r="A10" s="2862"/>
      <c r="B10" s="286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89" t="s">
        <v>533</v>
      </c>
      <c r="Q10" s="3490"/>
      <c r="R10" s="1553" t="s">
        <v>8</v>
      </c>
      <c r="S10" s="1554">
        <f t="shared" si="0"/>
        <v>0</v>
      </c>
      <c r="T10" s="1553" t="s">
        <v>8</v>
      </c>
      <c r="U10" s="1554">
        <f t="shared" si="1"/>
        <v>0</v>
      </c>
      <c r="V10" s="1553" t="s">
        <v>8</v>
      </c>
      <c r="W10" s="1554">
        <f t="shared" si="2"/>
        <v>0</v>
      </c>
      <c r="X10" s="1555"/>
      <c r="Y10" s="3489" t="s">
        <v>533</v>
      </c>
      <c r="Z10" s="3490"/>
      <c r="AA10" s="1556" t="e">
        <f t="shared" ref="AA10:AA42" si="3">D10/F10</f>
        <v>#DIV/0!</v>
      </c>
      <c r="AB10" s="1556" t="e">
        <f t="shared" ref="AB10:AB42" si="4">D10/H10</f>
        <v>#DIV/0!</v>
      </c>
      <c r="AC10" s="1556" t="e">
        <f t="shared" ref="AC10:AC42" si="5">D10/J10</f>
        <v>#DIV/0!</v>
      </c>
    </row>
    <row r="11" spans="1:29" s="1215" customFormat="1" ht="15">
      <c r="A11" s="2863"/>
      <c r="B11" s="2870"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497" t="s">
        <v>535</v>
      </c>
      <c r="Q11" s="1146" t="str">
        <f t="shared" ref="Q11:Q17" si="6">B11</f>
        <v>用途</v>
      </c>
      <c r="R11" s="1553" t="s">
        <v>8</v>
      </c>
      <c r="S11" s="1554">
        <f t="shared" si="0"/>
        <v>100</v>
      </c>
      <c r="T11" s="1553" t="s">
        <v>8</v>
      </c>
      <c r="U11" s="1554">
        <f t="shared" si="1"/>
        <v>100</v>
      </c>
      <c r="V11" s="1553" t="s">
        <v>8</v>
      </c>
      <c r="W11" s="1554">
        <f t="shared" si="2"/>
        <v>100</v>
      </c>
      <c r="X11" s="1555"/>
      <c r="Y11" s="3454" t="s">
        <v>536</v>
      </c>
      <c r="Z11" s="1145" t="str">
        <f t="shared" ref="Z11:Z17" si="7">Q11</f>
        <v>用途</v>
      </c>
      <c r="AA11" s="1556">
        <f t="shared" si="3"/>
        <v>1</v>
      </c>
      <c r="AB11" s="1556">
        <f t="shared" si="4"/>
        <v>1</v>
      </c>
      <c r="AC11" s="1556">
        <f t="shared" si="5"/>
        <v>1</v>
      </c>
    </row>
    <row r="12" spans="1:29" s="1333" customFormat="1" ht="27">
      <c r="A12" s="2864"/>
      <c r="B12" s="2869" t="s">
        <v>2753</v>
      </c>
      <c r="C12" s="528"/>
      <c r="D12" s="255">
        <v>100</v>
      </c>
      <c r="E12" s="528"/>
      <c r="F12" s="255">
        <f>ROUND(100/'数据-取费表'!G16,0)</f>
        <v>120</v>
      </c>
      <c r="G12" s="528"/>
      <c r="H12" s="255">
        <f>ROUND(100/'数据-取费表'!G16,0)</f>
        <v>120</v>
      </c>
      <c r="I12" s="528"/>
      <c r="J12" s="255">
        <f>ROUND(100/'数据-取费表'!G16,0)</f>
        <v>120</v>
      </c>
      <c r="K12" s="531"/>
      <c r="L12" s="2120"/>
      <c r="M12" s="2160"/>
      <c r="N12" s="2160"/>
      <c r="O12" s="2121"/>
      <c r="P12" s="3497"/>
      <c r="Q12" s="1146" t="str">
        <f t="shared" si="6"/>
        <v>土地使用年限（年）</v>
      </c>
      <c r="R12" s="1553" t="s">
        <v>8</v>
      </c>
      <c r="S12" s="1554">
        <f t="shared" si="0"/>
        <v>120</v>
      </c>
      <c r="T12" s="1553" t="s">
        <v>8</v>
      </c>
      <c r="U12" s="1554">
        <f t="shared" si="1"/>
        <v>120</v>
      </c>
      <c r="V12" s="1553" t="s">
        <v>8</v>
      </c>
      <c r="W12" s="1554">
        <f t="shared" si="2"/>
        <v>120</v>
      </c>
      <c r="X12" s="1555"/>
      <c r="Y12" s="3454"/>
      <c r="Z12" s="1145" t="str">
        <f t="shared" si="7"/>
        <v>土地使用年限（年）</v>
      </c>
      <c r="AA12" s="1556">
        <f t="shared" si="3"/>
        <v>0.83333333333333337</v>
      </c>
      <c r="AB12" s="1556">
        <f t="shared" si="4"/>
        <v>0.83333333333333337</v>
      </c>
      <c r="AC12" s="1556">
        <f t="shared" si="5"/>
        <v>0.83333333333333337</v>
      </c>
    </row>
    <row r="13" spans="1:29" ht="15">
      <c r="A13" s="2865"/>
      <c r="B13" s="2869"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497"/>
      <c r="Q13" s="1146" t="str">
        <f t="shared" si="6"/>
        <v>容积率</v>
      </c>
      <c r="R13" s="1553" t="s">
        <v>8</v>
      </c>
      <c r="S13" s="1554" t="e">
        <f t="shared" si="0"/>
        <v>#N/A</v>
      </c>
      <c r="T13" s="1553" t="s">
        <v>8</v>
      </c>
      <c r="U13" s="1554" t="e">
        <f t="shared" si="1"/>
        <v>#N/A</v>
      </c>
      <c r="V13" s="1553" t="s">
        <v>8</v>
      </c>
      <c r="W13" s="1554" t="e">
        <f t="shared" si="2"/>
        <v>#N/A</v>
      </c>
      <c r="X13" s="1555"/>
      <c r="Y13" s="3454"/>
      <c r="Z13" s="1145" t="str">
        <f t="shared" si="7"/>
        <v>容积率</v>
      </c>
      <c r="AA13" s="1556" t="e">
        <f t="shared" si="3"/>
        <v>#N/A</v>
      </c>
      <c r="AB13" s="1556" t="e">
        <f t="shared" si="4"/>
        <v>#N/A</v>
      </c>
      <c r="AC13" s="1556" t="e">
        <f t="shared" si="5"/>
        <v>#N/A</v>
      </c>
    </row>
    <row r="14" spans="1:29" s="1215" customFormat="1" ht="15">
      <c r="A14" s="2866"/>
      <c r="B14" s="2872">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497"/>
      <c r="Q14" s="1146">
        <f t="shared" si="6"/>
        <v>111</v>
      </c>
      <c r="R14" s="1553" t="s">
        <v>8</v>
      </c>
      <c r="S14" s="1554">
        <f t="shared" si="0"/>
        <v>100</v>
      </c>
      <c r="T14" s="1553" t="s">
        <v>8</v>
      </c>
      <c r="U14" s="1554">
        <f t="shared" si="1"/>
        <v>100</v>
      </c>
      <c r="V14" s="1553" t="s">
        <v>8</v>
      </c>
      <c r="W14" s="1554">
        <f t="shared" si="2"/>
        <v>100</v>
      </c>
      <c r="X14" s="1555"/>
      <c r="Y14" s="3454"/>
      <c r="Z14" s="1145">
        <f t="shared" si="7"/>
        <v>111</v>
      </c>
      <c r="AA14" s="1556">
        <f>D14/F14</f>
        <v>1</v>
      </c>
      <c r="AB14" s="1556">
        <f>D14/H14</f>
        <v>1</v>
      </c>
      <c r="AC14" s="1556">
        <f>D14/J14</f>
        <v>1</v>
      </c>
    </row>
    <row r="15" spans="1:29" ht="15">
      <c r="A15" s="2866"/>
      <c r="B15" s="2872">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497"/>
      <c r="Q15" s="1146">
        <f t="shared" si="6"/>
        <v>111</v>
      </c>
      <c r="R15" s="1553" t="s">
        <v>8</v>
      </c>
      <c r="S15" s="1554">
        <f t="shared" si="0"/>
        <v>100</v>
      </c>
      <c r="T15" s="1553" t="s">
        <v>8</v>
      </c>
      <c r="U15" s="1554">
        <f t="shared" si="1"/>
        <v>100</v>
      </c>
      <c r="V15" s="1553" t="s">
        <v>8</v>
      </c>
      <c r="W15" s="1554">
        <f t="shared" si="2"/>
        <v>100</v>
      </c>
      <c r="X15" s="1555"/>
      <c r="Y15" s="3454"/>
      <c r="Z15" s="1145">
        <f t="shared" si="7"/>
        <v>111</v>
      </c>
      <c r="AA15" s="1556">
        <f t="shared" si="3"/>
        <v>1</v>
      </c>
      <c r="AB15" s="1556">
        <f t="shared" si="4"/>
        <v>1</v>
      </c>
      <c r="AC15" s="1556">
        <f t="shared" si="5"/>
        <v>1</v>
      </c>
    </row>
    <row r="16" spans="1:29" ht="15.75" thickBot="1">
      <c r="A16" s="2867"/>
      <c r="B16" s="2873">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497"/>
      <c r="Q16" s="1146">
        <f t="shared" si="6"/>
        <v>111</v>
      </c>
      <c r="R16" s="1553" t="s">
        <v>8</v>
      </c>
      <c r="S16" s="1554">
        <f t="shared" si="0"/>
        <v>100</v>
      </c>
      <c r="T16" s="1553" t="s">
        <v>8</v>
      </c>
      <c r="U16" s="1554">
        <f t="shared" si="1"/>
        <v>100</v>
      </c>
      <c r="V16" s="1553" t="s">
        <v>8</v>
      </c>
      <c r="W16" s="1554">
        <f t="shared" si="2"/>
        <v>100</v>
      </c>
      <c r="X16" s="1555"/>
      <c r="Y16" s="3454"/>
      <c r="Z16" s="1145">
        <f t="shared" si="7"/>
        <v>111</v>
      </c>
      <c r="AA16" s="1556">
        <f t="shared" si="3"/>
        <v>1</v>
      </c>
      <c r="AB16" s="1556">
        <f t="shared" si="4"/>
        <v>1</v>
      </c>
      <c r="AC16" s="1556">
        <f t="shared" si="5"/>
        <v>1</v>
      </c>
    </row>
    <row r="17" spans="1:29" ht="57">
      <c r="A17" s="2859"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99" t="s">
        <v>540</v>
      </c>
      <c r="Q17" s="1557" t="str">
        <f t="shared" si="6"/>
        <v>产业集聚程度</v>
      </c>
      <c r="R17" s="1558" t="s">
        <v>8</v>
      </c>
      <c r="S17" s="1559">
        <f t="shared" si="0"/>
        <v>100</v>
      </c>
      <c r="T17" s="1558" t="s">
        <v>8</v>
      </c>
      <c r="U17" s="1559">
        <f t="shared" si="1"/>
        <v>100</v>
      </c>
      <c r="V17" s="1558" t="s">
        <v>8</v>
      </c>
      <c r="W17" s="1559">
        <f t="shared" si="2"/>
        <v>100</v>
      </c>
      <c r="X17" s="1552"/>
      <c r="Y17" s="349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4"/>
      <c r="M18" s="2116"/>
      <c r="N18" s="2116"/>
      <c r="O18" s="2123"/>
      <c r="P18" s="3500"/>
      <c r="Q18" s="1557"/>
      <c r="R18" s="1558"/>
      <c r="S18" s="1559"/>
      <c r="T18" s="1558"/>
      <c r="U18" s="1559"/>
      <c r="V18" s="1558"/>
      <c r="W18" s="1559"/>
      <c r="X18" s="1552"/>
      <c r="Y18" s="3500"/>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00"/>
      <c r="Q19" s="1557" t="str">
        <f>B19</f>
        <v>交通便捷度</v>
      </c>
      <c r="R19" s="1558" t="s">
        <v>8</v>
      </c>
      <c r="S19" s="1559">
        <f>F19</f>
        <v>100</v>
      </c>
      <c r="T19" s="1558" t="s">
        <v>8</v>
      </c>
      <c r="U19" s="1559">
        <f>H19</f>
        <v>100</v>
      </c>
      <c r="V19" s="1558" t="s">
        <v>8</v>
      </c>
      <c r="W19" s="1559">
        <f>J19</f>
        <v>100</v>
      </c>
      <c r="X19" s="1552"/>
      <c r="Y19" s="3500"/>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4"/>
      <c r="M20" s="2116"/>
      <c r="N20" s="2116"/>
      <c r="O20" s="2123"/>
      <c r="P20" s="3500"/>
      <c r="Q20" s="1557"/>
      <c r="R20" s="1558"/>
      <c r="S20" s="1559"/>
      <c r="T20" s="1558"/>
      <c r="U20" s="1559"/>
      <c r="V20" s="1558"/>
      <c r="W20" s="1559"/>
      <c r="X20" s="1552"/>
      <c r="Y20" s="3500"/>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00"/>
      <c r="Q21" s="1557" t="str">
        <f t="shared" ref="Q21:Q35" si="8">B21</f>
        <v>区域土地利用方向</v>
      </c>
      <c r="R21" s="1558" t="s">
        <v>8</v>
      </c>
      <c r="S21" s="1559">
        <f>F21</f>
        <v>100</v>
      </c>
      <c r="T21" s="1558" t="s">
        <v>8</v>
      </c>
      <c r="U21" s="1559">
        <f>H21</f>
        <v>100</v>
      </c>
      <c r="V21" s="1558" t="s">
        <v>8</v>
      </c>
      <c r="W21" s="1559">
        <f>J21</f>
        <v>100</v>
      </c>
      <c r="X21" s="1552"/>
      <c r="Y21" s="350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4"/>
      <c r="M22" s="2116"/>
      <c r="N22" s="2116"/>
      <c r="O22" s="2123"/>
      <c r="P22" s="3500"/>
      <c r="Q22" s="1557"/>
      <c r="R22" s="1558"/>
      <c r="S22" s="1559"/>
      <c r="T22" s="1558"/>
      <c r="U22" s="1559"/>
      <c r="V22" s="1558"/>
      <c r="W22" s="1559"/>
      <c r="X22" s="1552"/>
      <c r="Y22" s="3500"/>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00"/>
      <c r="Q23" s="1557" t="str">
        <f t="shared" si="8"/>
        <v>环境状况</v>
      </c>
      <c r="R23" s="1558" t="s">
        <v>8</v>
      </c>
      <c r="S23" s="1559">
        <f>F23</f>
        <v>100</v>
      </c>
      <c r="T23" s="1558" t="s">
        <v>8</v>
      </c>
      <c r="U23" s="1559">
        <f>H23</f>
        <v>100</v>
      </c>
      <c r="V23" s="1558" t="s">
        <v>8</v>
      </c>
      <c r="W23" s="1559">
        <f>J23</f>
        <v>100</v>
      </c>
      <c r="X23" s="1552"/>
      <c r="Y23" s="350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4"/>
      <c r="M24" s="2116"/>
      <c r="N24" s="2116"/>
      <c r="O24" s="2123"/>
      <c r="P24" s="3500"/>
      <c r="Q24" s="1557"/>
      <c r="R24" s="1558"/>
      <c r="S24" s="1559"/>
      <c r="T24" s="1558"/>
      <c r="U24" s="1559"/>
      <c r="V24" s="1558"/>
      <c r="W24" s="1559"/>
      <c r="X24" s="1552"/>
      <c r="Y24" s="3500"/>
      <c r="Z24" s="1560"/>
      <c r="AA24" s="1561">
        <v>1</v>
      </c>
      <c r="AB24" s="1561">
        <v>1</v>
      </c>
      <c r="AC24" s="1561">
        <v>1</v>
      </c>
    </row>
    <row r="25" spans="1:29" s="1215" customFormat="1" ht="42.75">
      <c r="A25" s="577"/>
      <c r="B25" s="255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00"/>
      <c r="Q25" s="1146" t="str">
        <f t="shared" si="8"/>
        <v>公共配套设施</v>
      </c>
      <c r="R25" s="1553" t="s">
        <v>8</v>
      </c>
      <c r="S25" s="1554">
        <f>F25</f>
        <v>100</v>
      </c>
      <c r="T25" s="1553" t="s">
        <v>8</v>
      </c>
      <c r="U25" s="1554">
        <f>H25</f>
        <v>100</v>
      </c>
      <c r="V25" s="1553" t="s">
        <v>8</v>
      </c>
      <c r="W25" s="1554">
        <f>J25</f>
        <v>100</v>
      </c>
      <c r="X25" s="1555"/>
      <c r="Y25" s="3500"/>
      <c r="Z25" s="1145" t="str">
        <f>Q25</f>
        <v>公共配套设施</v>
      </c>
      <c r="AA25" s="1561">
        <f>D25/F25</f>
        <v>1</v>
      </c>
      <c r="AB25" s="1561">
        <f>D25/H25</f>
        <v>1</v>
      </c>
      <c r="AC25" s="1561">
        <f>D25/J25</f>
        <v>1</v>
      </c>
    </row>
    <row r="26" spans="1:29" s="1215" customFormat="1" ht="15">
      <c r="A26" s="577"/>
      <c r="B26" s="595"/>
      <c r="C26" s="2551"/>
      <c r="D26" s="555"/>
      <c r="E26" s="554"/>
      <c r="F26" s="555"/>
      <c r="G26" s="554"/>
      <c r="H26" s="555"/>
      <c r="I26" s="576"/>
      <c r="J26" s="555"/>
      <c r="K26" s="531"/>
      <c r="L26" s="2117"/>
      <c r="M26" s="2118"/>
      <c r="N26" s="2118"/>
      <c r="O26" s="2119"/>
      <c r="P26" s="3500"/>
      <c r="Q26" s="1146"/>
      <c r="R26" s="1553"/>
      <c r="S26" s="1554"/>
      <c r="T26" s="1553"/>
      <c r="U26" s="1554"/>
      <c r="V26" s="1553"/>
      <c r="W26" s="1554"/>
      <c r="X26" s="1555"/>
      <c r="Y26" s="3500"/>
      <c r="Z26" s="1145"/>
      <c r="AA26" s="1556">
        <v>1</v>
      </c>
      <c r="AB26" s="1556">
        <v>1</v>
      </c>
      <c r="AC26" s="1556">
        <v>1</v>
      </c>
    </row>
    <row r="27" spans="1:29" s="1215" customFormat="1" ht="28.5">
      <c r="A27" s="577"/>
      <c r="B27" s="255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00"/>
      <c r="Q27" s="2537" t="str">
        <f t="shared" ref="Q27" si="9">B27</f>
        <v>基础设施水平</v>
      </c>
      <c r="R27" s="1553" t="s">
        <v>8</v>
      </c>
      <c r="S27" s="1554">
        <f>F27</f>
        <v>100</v>
      </c>
      <c r="T27" s="1553" t="s">
        <v>8</v>
      </c>
      <c r="U27" s="1554">
        <f>H27</f>
        <v>100</v>
      </c>
      <c r="V27" s="1553" t="s">
        <v>8</v>
      </c>
      <c r="W27" s="1554">
        <f>J27</f>
        <v>100</v>
      </c>
      <c r="X27" s="1555"/>
      <c r="Y27" s="3500"/>
      <c r="Z27" s="2534" t="str">
        <f>Q27</f>
        <v>基础设施水平</v>
      </c>
      <c r="AA27" s="1561">
        <f>D27/F27</f>
        <v>1</v>
      </c>
      <c r="AB27" s="1561">
        <f>D27/H27</f>
        <v>1</v>
      </c>
      <c r="AC27" s="1561">
        <f>D27/J27</f>
        <v>1</v>
      </c>
    </row>
    <row r="28" spans="1:29" s="1215" customFormat="1" ht="15">
      <c r="A28" s="577"/>
      <c r="B28" s="595"/>
      <c r="C28" s="2551"/>
      <c r="D28" s="555"/>
      <c r="E28" s="579"/>
      <c r="F28" s="555"/>
      <c r="G28" s="579"/>
      <c r="H28" s="555"/>
      <c r="I28" s="579"/>
      <c r="J28" s="555"/>
      <c r="K28" s="531"/>
      <c r="L28" s="2117"/>
      <c r="M28" s="2118"/>
      <c r="N28" s="2118"/>
      <c r="O28" s="2119"/>
      <c r="P28" s="3500"/>
      <c r="Q28" s="2537"/>
      <c r="R28" s="1553"/>
      <c r="S28" s="1554"/>
      <c r="T28" s="1553"/>
      <c r="U28" s="1554"/>
      <c r="V28" s="1553"/>
      <c r="W28" s="1554"/>
      <c r="X28" s="1555"/>
      <c r="Y28" s="3500"/>
      <c r="Z28" s="2534"/>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0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00"/>
      <c r="Z29" s="1560" t="str">
        <f t="shared" ref="Z29:Z42" si="13">Q29</f>
        <v>临街状况</v>
      </c>
      <c r="AA29" s="1561">
        <f t="shared" si="3"/>
        <v>1</v>
      </c>
      <c r="AB29" s="1561">
        <f t="shared" si="4"/>
        <v>1</v>
      </c>
      <c r="AC29" s="1561">
        <f t="shared" si="5"/>
        <v>1</v>
      </c>
    </row>
    <row r="30" spans="1:29" ht="27">
      <c r="A30" s="532"/>
      <c r="B30" s="922" t="s">
        <v>548</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00"/>
      <c r="Q30" s="1557" t="str">
        <f t="shared" si="8"/>
        <v>毗邻道路的类型与等级</v>
      </c>
      <c r="R30" s="1558" t="s">
        <v>8</v>
      </c>
      <c r="S30" s="1559">
        <f t="shared" si="10"/>
        <v>100</v>
      </c>
      <c r="T30" s="1558" t="s">
        <v>8</v>
      </c>
      <c r="U30" s="1559">
        <f t="shared" si="11"/>
        <v>100</v>
      </c>
      <c r="V30" s="1558" t="s">
        <v>8</v>
      </c>
      <c r="W30" s="1559">
        <f t="shared" si="12"/>
        <v>100</v>
      </c>
      <c r="X30" s="1552"/>
      <c r="Y30" s="350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4"/>
      <c r="M31" s="2116"/>
      <c r="N31" s="2116"/>
      <c r="O31" s="2123"/>
      <c r="P31" s="3500"/>
      <c r="Q31" s="1557"/>
      <c r="R31" s="1558"/>
      <c r="S31" s="1559"/>
      <c r="T31" s="1558"/>
      <c r="U31" s="1559"/>
      <c r="V31" s="1558"/>
      <c r="W31" s="1559"/>
      <c r="X31" s="1552"/>
      <c r="Y31" s="3500"/>
      <c r="Z31" s="1560"/>
      <c r="AA31" s="1561">
        <v>1</v>
      </c>
      <c r="AB31" s="1561">
        <v>1</v>
      </c>
      <c r="AC31" s="1561">
        <v>1</v>
      </c>
    </row>
    <row r="32" spans="1:29" ht="15">
      <c r="A32" s="532"/>
      <c r="B32" s="527" t="s">
        <v>549</v>
      </c>
      <c r="C32" s="255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00"/>
      <c r="Q32" s="1557" t="str">
        <f t="shared" si="8"/>
        <v>土地级别</v>
      </c>
      <c r="R32" s="1558" t="s">
        <v>8</v>
      </c>
      <c r="S32" s="1559">
        <f t="shared" si="10"/>
        <v>100</v>
      </c>
      <c r="T32" s="1558" t="s">
        <v>8</v>
      </c>
      <c r="U32" s="1559">
        <f t="shared" si="11"/>
        <v>100</v>
      </c>
      <c r="V32" s="1558" t="s">
        <v>8</v>
      </c>
      <c r="W32" s="1559">
        <f t="shared" si="12"/>
        <v>100</v>
      </c>
      <c r="X32" s="1552"/>
      <c r="Y32" s="350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00"/>
      <c r="Q33" s="1557">
        <f t="shared" si="8"/>
        <v>111</v>
      </c>
      <c r="R33" s="1558" t="s">
        <v>8</v>
      </c>
      <c r="S33" s="1559">
        <f t="shared" si="10"/>
        <v>100</v>
      </c>
      <c r="T33" s="1558" t="s">
        <v>8</v>
      </c>
      <c r="U33" s="1559">
        <f t="shared" si="11"/>
        <v>100</v>
      </c>
      <c r="V33" s="1558" t="s">
        <v>8</v>
      </c>
      <c r="W33" s="1559">
        <f t="shared" si="12"/>
        <v>100</v>
      </c>
      <c r="X33" s="1552"/>
      <c r="Y33" s="350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01" t="s">
        <v>550</v>
      </c>
      <c r="Q34" s="1557">
        <f t="shared" si="8"/>
        <v>111</v>
      </c>
      <c r="R34" s="1558" t="s">
        <v>8</v>
      </c>
      <c r="S34" s="1559">
        <f t="shared" si="10"/>
        <v>100</v>
      </c>
      <c r="T34" s="1558" t="s">
        <v>8</v>
      </c>
      <c r="U34" s="1559">
        <f t="shared" si="11"/>
        <v>100</v>
      </c>
      <c r="V34" s="1558" t="s">
        <v>8</v>
      </c>
      <c r="W34" s="1559">
        <f t="shared" si="12"/>
        <v>100</v>
      </c>
      <c r="X34" s="1552"/>
      <c r="Y34" s="3502" t="s">
        <v>550</v>
      </c>
      <c r="Z34" s="1560">
        <f t="shared" si="13"/>
        <v>111</v>
      </c>
      <c r="AA34" s="1561">
        <f t="shared" si="3"/>
        <v>1</v>
      </c>
      <c r="AB34" s="1561">
        <f t="shared" si="4"/>
        <v>1</v>
      </c>
      <c r="AC34" s="1561">
        <f t="shared" si="5"/>
        <v>1</v>
      </c>
    </row>
    <row r="35" spans="1:29" s="1334" customFormat="1" ht="15.75" thickBot="1">
      <c r="A35" s="589"/>
      <c r="B35" s="255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02"/>
      <c r="Q35" s="1557">
        <f t="shared" si="8"/>
        <v>111</v>
      </c>
      <c r="R35" s="1562" t="s">
        <v>8</v>
      </c>
      <c r="S35" s="1563">
        <f t="shared" si="10"/>
        <v>100</v>
      </c>
      <c r="T35" s="1562" t="s">
        <v>8</v>
      </c>
      <c r="U35" s="1563">
        <f t="shared" si="11"/>
        <v>100</v>
      </c>
      <c r="V35" s="1562" t="s">
        <v>8</v>
      </c>
      <c r="W35" s="1563">
        <f t="shared" si="12"/>
        <v>100</v>
      </c>
      <c r="X35" s="1564"/>
      <c r="Y35" s="3502"/>
      <c r="Z35" s="1565">
        <f t="shared" si="13"/>
        <v>111</v>
      </c>
      <c r="AA35" s="1561">
        <f t="shared" si="3"/>
        <v>1</v>
      </c>
      <c r="AB35" s="1561">
        <f t="shared" si="4"/>
        <v>1</v>
      </c>
      <c r="AC35" s="1561">
        <f t="shared" si="5"/>
        <v>1</v>
      </c>
    </row>
    <row r="36" spans="1:29" ht="15">
      <c r="A36" s="2857"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02"/>
      <c r="Q36" s="1557" t="str">
        <f>B36</f>
        <v>宗地面积</v>
      </c>
      <c r="R36" s="1558" t="s">
        <v>8</v>
      </c>
      <c r="S36" s="1559" t="e">
        <f t="shared" si="10"/>
        <v>#N/A</v>
      </c>
      <c r="T36" s="1558" t="s">
        <v>8</v>
      </c>
      <c r="U36" s="1559" t="e">
        <f t="shared" si="11"/>
        <v>#N/A</v>
      </c>
      <c r="V36" s="1558" t="s">
        <v>8</v>
      </c>
      <c r="W36" s="1559" t="e">
        <f t="shared" si="12"/>
        <v>#N/A</v>
      </c>
      <c r="X36" s="1552"/>
      <c r="Y36" s="350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02"/>
      <c r="Q37" s="1557" t="str">
        <f t="shared" ref="Q37:Q42" si="14">B37</f>
        <v>宗地形状</v>
      </c>
      <c r="R37" s="1558" t="s">
        <v>8</v>
      </c>
      <c r="S37" s="1559">
        <f t="shared" si="10"/>
        <v>100</v>
      </c>
      <c r="T37" s="1558" t="s">
        <v>8</v>
      </c>
      <c r="U37" s="1559">
        <f t="shared" si="11"/>
        <v>100</v>
      </c>
      <c r="V37" s="1558" t="s">
        <v>8</v>
      </c>
      <c r="W37" s="1559">
        <f t="shared" si="12"/>
        <v>100</v>
      </c>
      <c r="X37" s="1552"/>
      <c r="Y37" s="3502"/>
      <c r="Z37" s="1560" t="str">
        <f t="shared" si="13"/>
        <v>宗地形状</v>
      </c>
      <c r="AA37" s="1561">
        <f t="shared" si="3"/>
        <v>1</v>
      </c>
      <c r="AB37" s="1561">
        <f t="shared" si="4"/>
        <v>1</v>
      </c>
      <c r="AC37" s="1561">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02"/>
      <c r="Q38" s="1557" t="str">
        <f t="shared" si="14"/>
        <v>宗地开发程度</v>
      </c>
      <c r="R38" s="1553" t="s">
        <v>8</v>
      </c>
      <c r="S38" s="1554">
        <f t="shared" si="10"/>
        <v>100</v>
      </c>
      <c r="T38" s="1553" t="s">
        <v>8</v>
      </c>
      <c r="U38" s="1554">
        <f t="shared" si="11"/>
        <v>100</v>
      </c>
      <c r="V38" s="1553" t="s">
        <v>8</v>
      </c>
      <c r="W38" s="1554">
        <f t="shared" si="12"/>
        <v>100</v>
      </c>
      <c r="X38" s="1555"/>
      <c r="Y38" s="3502"/>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02" t="s">
        <v>601</v>
      </c>
      <c r="Q39" s="1557" t="str">
        <f t="shared" si="14"/>
        <v>工程地质条件</v>
      </c>
      <c r="R39" s="1558" t="s">
        <v>8</v>
      </c>
      <c r="S39" s="1559">
        <f t="shared" si="10"/>
        <v>100</v>
      </c>
      <c r="T39" s="1558" t="s">
        <v>8</v>
      </c>
      <c r="U39" s="1559">
        <f t="shared" si="11"/>
        <v>100</v>
      </c>
      <c r="V39" s="1558" t="s">
        <v>8</v>
      </c>
      <c r="W39" s="1559">
        <f t="shared" si="12"/>
        <v>100</v>
      </c>
      <c r="X39" s="1552"/>
      <c r="Y39" s="350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02"/>
      <c r="Q40" s="1557">
        <f t="shared" si="14"/>
        <v>111</v>
      </c>
      <c r="R40" s="1558" t="s">
        <v>8</v>
      </c>
      <c r="S40" s="1559">
        <f t="shared" si="10"/>
        <v>100</v>
      </c>
      <c r="T40" s="1558" t="s">
        <v>8</v>
      </c>
      <c r="U40" s="1559">
        <f t="shared" si="11"/>
        <v>100</v>
      </c>
      <c r="V40" s="1558" t="s">
        <v>8</v>
      </c>
      <c r="W40" s="1559">
        <f t="shared" si="12"/>
        <v>100</v>
      </c>
      <c r="X40" s="1552"/>
      <c r="Y40" s="350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02"/>
      <c r="Q41" s="1557">
        <f t="shared" si="14"/>
        <v>111</v>
      </c>
      <c r="R41" s="1558" t="s">
        <v>8</v>
      </c>
      <c r="S41" s="1559">
        <f t="shared" si="10"/>
        <v>100</v>
      </c>
      <c r="T41" s="1558" t="s">
        <v>8</v>
      </c>
      <c r="U41" s="1559">
        <f t="shared" si="11"/>
        <v>100</v>
      </c>
      <c r="V41" s="1558" t="s">
        <v>8</v>
      </c>
      <c r="W41" s="1559">
        <f t="shared" si="12"/>
        <v>100</v>
      </c>
      <c r="X41" s="1552"/>
      <c r="Y41" s="3502"/>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02"/>
      <c r="Q42" s="1557">
        <f t="shared" si="14"/>
        <v>111</v>
      </c>
      <c r="R42" s="1562" t="s">
        <v>8</v>
      </c>
      <c r="S42" s="1563">
        <f t="shared" si="10"/>
        <v>100</v>
      </c>
      <c r="T42" s="1562" t="s">
        <v>8</v>
      </c>
      <c r="U42" s="1563">
        <f t="shared" si="11"/>
        <v>100</v>
      </c>
      <c r="V42" s="1562" t="s">
        <v>8</v>
      </c>
      <c r="W42" s="1563">
        <f t="shared" si="12"/>
        <v>100</v>
      </c>
      <c r="X42" s="1564"/>
      <c r="Y42" s="3502"/>
      <c r="Z42" s="1565">
        <f t="shared" si="13"/>
        <v>111</v>
      </c>
      <c r="AA42" s="1561">
        <f t="shared" si="3"/>
        <v>1</v>
      </c>
      <c r="AB42" s="1561">
        <f t="shared" si="4"/>
        <v>1</v>
      </c>
      <c r="AC42" s="1561">
        <f t="shared" si="5"/>
        <v>1</v>
      </c>
    </row>
    <row r="43" spans="1:29" ht="15">
      <c r="A43" s="607" t="s">
        <v>556</v>
      </c>
      <c r="B43" s="608" t="s">
        <v>2925</v>
      </c>
      <c r="C43" s="609" t="s">
        <v>1</v>
      </c>
      <c r="D43" s="610"/>
      <c r="E43" s="611"/>
      <c r="F43" s="612"/>
      <c r="G43" s="613"/>
      <c r="H43" s="614"/>
      <c r="I43" s="611"/>
      <c r="J43" s="614"/>
      <c r="K43" s="1335"/>
      <c r="L43" s="2126"/>
      <c r="M43" s="2116"/>
      <c r="N43" s="2116"/>
      <c r="O43" s="2127"/>
      <c r="P43" s="3497" t="str">
        <f>A43</f>
        <v>成交单价</v>
      </c>
      <c r="Q43" s="3497"/>
      <c r="R43" s="3511">
        <f>E43</f>
        <v>0</v>
      </c>
      <c r="S43" s="3511"/>
      <c r="T43" s="3511">
        <f>G43</f>
        <v>0</v>
      </c>
      <c r="U43" s="3511"/>
      <c r="V43" s="3511">
        <f>I43</f>
        <v>0</v>
      </c>
      <c r="W43" s="3511"/>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497" t="str">
        <f>A44</f>
        <v>比较价格（元/平方米）</v>
      </c>
      <c r="Q44" s="3497"/>
      <c r="R44" s="3521" t="e">
        <f>ROUND(PRODUCT(R43,AA9:AA42),0)</f>
        <v>#DIV/0!</v>
      </c>
      <c r="S44" s="3521"/>
      <c r="T44" s="3521" t="e">
        <f>ROUND(PRODUCT(T43,AB9:AB42),0)</f>
        <v>#DIV/0!</v>
      </c>
      <c r="U44" s="3521"/>
      <c r="V44" s="3521" t="e">
        <f>ROUND(PRODUCT(V43,AC9:AC42),0)</f>
        <v>#DIV/0!</v>
      </c>
      <c r="W44" s="3521"/>
      <c r="X44" s="1544"/>
      <c r="Y44" s="1544"/>
      <c r="Z44" s="1544"/>
      <c r="AA44" s="1544"/>
      <c r="AB44" s="1544"/>
      <c r="AC44" s="1544"/>
    </row>
    <row r="45" spans="1:29" ht="15.75" thickBot="1">
      <c r="A45" s="621" t="s">
        <v>2926</v>
      </c>
      <c r="B45" s="622"/>
      <c r="C45" s="623" t="e">
        <f>R45</f>
        <v>#DIV/0!</v>
      </c>
      <c r="D45" s="623"/>
      <c r="E45" s="623"/>
      <c r="F45" s="623"/>
      <c r="G45" s="623"/>
      <c r="H45" s="623"/>
      <c r="I45" s="623"/>
      <c r="J45" s="623"/>
      <c r="K45" s="1337"/>
      <c r="L45" s="2126"/>
      <c r="M45" s="2116"/>
      <c r="N45" s="2116"/>
      <c r="O45" s="2127"/>
      <c r="P45" s="3518" t="str">
        <f>A45</f>
        <v>估价对象XX用房的比较价格（楼面单价，元/平方米）</v>
      </c>
      <c r="Q45" s="3519"/>
      <c r="R45" s="3520" t="e">
        <f>ROUND(AVERAGE(R44:V44),0)</f>
        <v>#DIV/0!</v>
      </c>
      <c r="S45" s="3520"/>
      <c r="T45" s="3520"/>
      <c r="U45" s="3520"/>
      <c r="V45" s="3520"/>
      <c r="W45" s="3520"/>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5" t="s">
        <v>1723</v>
      </c>
      <c r="D52" s="2209" t="s">
        <v>2290</v>
      </c>
      <c r="E52" s="631" t="s">
        <v>562</v>
      </c>
      <c r="F52" s="1933" t="s">
        <v>563</v>
      </c>
      <c r="G52" s="3522" t="s">
        <v>2281</v>
      </c>
      <c r="H52" s="3523"/>
      <c r="I52" s="1934" t="s">
        <v>1944</v>
      </c>
      <c r="J52" s="1540" t="str">
        <f>项目基本情况!F41</f>
        <v>重庆市</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316754</v>
      </c>
      <c r="F53" s="1932" t="e">
        <f t="shared" ref="F53:F62" si="15">ROUND(B53*E53/10000,0)</f>
        <v>#DIV/0!</v>
      </c>
      <c r="G53" s="3524"/>
      <c r="H53" s="3525"/>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526" t="s">
        <v>2282</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526"/>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526"/>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526"/>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1" t="s">
        <v>2325</v>
      </c>
      <c r="B58" s="638" t="e">
        <f t="shared" si="17"/>
        <v>#DIV/0!</v>
      </c>
      <c r="C58" s="378">
        <f t="shared" si="16"/>
        <v>0</v>
      </c>
      <c r="D58" s="2211">
        <v>0.25</v>
      </c>
      <c r="E58" s="641">
        <f>'数据-汇总表'!E11</f>
        <v>0</v>
      </c>
      <c r="F58" s="1932" t="e">
        <f t="shared" si="15"/>
        <v>#DIV/0!</v>
      </c>
      <c r="G58" s="1938" t="s">
        <v>2283</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52000</v>
      </c>
      <c r="F60" s="1932" t="e">
        <f t="shared" si="15"/>
        <v>#DIV/0!</v>
      </c>
      <c r="G60" s="1928" t="s">
        <v>922</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2282</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2283</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2291</v>
      </c>
      <c r="E63" s="643">
        <f>IF(B43="楼面地价",SUM(E53:E62),'数据-汇总表'!D3)</f>
        <v>22838</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0" t="str">
        <f>YEAR(C9)&amp;"-"&amp;MONTH(C9)&amp;"-1"</f>
        <v>2019-5-1</v>
      </c>
      <c r="D65" s="2749">
        <f>EDATE(C65,-3)</f>
        <v>43497</v>
      </c>
      <c r="E65" s="2749">
        <f t="shared" ref="E65:N65" si="18">EDATE(D65,-3)</f>
        <v>43405</v>
      </c>
      <c r="F65" s="2749">
        <f t="shared" si="18"/>
        <v>43313</v>
      </c>
      <c r="G65" s="2749">
        <f t="shared" si="18"/>
        <v>43221</v>
      </c>
      <c r="H65" s="2749">
        <f t="shared" si="18"/>
        <v>43132</v>
      </c>
      <c r="I65" s="2749">
        <f t="shared" si="18"/>
        <v>43040</v>
      </c>
      <c r="J65" s="2749">
        <f t="shared" si="18"/>
        <v>42948</v>
      </c>
      <c r="K65" s="2749">
        <f t="shared" si="18"/>
        <v>42856</v>
      </c>
      <c r="L65" s="2749">
        <f t="shared" si="18"/>
        <v>42767</v>
      </c>
      <c r="M65" s="2749">
        <f t="shared" si="18"/>
        <v>42675</v>
      </c>
      <c r="N65" s="2749">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7" t="s">
        <v>2530</v>
      </c>
      <c r="B67" s="646"/>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8" t="s">
        <v>2645</v>
      </c>
      <c r="B68" s="479" t="str">
        <f>"北京市平均增长率"&amp;TEXT(基准地价!P24,"0.00%")</f>
        <v>北京市平均增长率1.40%</v>
      </c>
      <c r="C68" s="894">
        <v>100</v>
      </c>
      <c r="D68" s="730"/>
      <c r="E68" s="730"/>
      <c r="F68" s="730"/>
      <c r="G68" s="730"/>
      <c r="H68" s="730"/>
      <c r="I68" s="730"/>
      <c r="J68" s="730"/>
      <c r="K68" s="730"/>
      <c r="L68" s="730"/>
      <c r="M68" s="2743"/>
      <c r="N68" s="2744"/>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1"/>
      <c r="D69" s="2742"/>
      <c r="E69" s="2742"/>
      <c r="F69" s="2742"/>
      <c r="G69" s="2742"/>
      <c r="H69" s="2742"/>
      <c r="I69" s="2742"/>
      <c r="J69" s="2742"/>
      <c r="K69" s="2742"/>
      <c r="L69" s="2742"/>
      <c r="M69" s="2742"/>
      <c r="N69" s="2742"/>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6" t="s">
        <v>2547</v>
      </c>
      <c r="C95" s="2557" t="s">
        <v>2548</v>
      </c>
      <c r="D95" s="2557" t="s">
        <v>2549</v>
      </c>
      <c r="E95" s="2557" t="s">
        <v>2550</v>
      </c>
      <c r="F95" s="2557" t="s">
        <v>2551</v>
      </c>
      <c r="G95" s="2557"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49"/>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2423</v>
      </c>
      <c r="D1" s="1507">
        <f>SUM(D29:D30,D33:D39)</f>
        <v>0</v>
      </c>
      <c r="E1" s="1401" t="s">
        <v>2424</v>
      </c>
      <c r="F1" s="2411"/>
      <c r="G1" s="1396"/>
      <c r="H1" s="1396"/>
      <c r="I1" s="1396"/>
      <c r="J1" s="1396"/>
      <c r="K1" s="1396"/>
      <c r="L1" s="1864" t="s">
        <v>2235</v>
      </c>
      <c r="M1" s="1865">
        <f>SUMPRODUCT((区片价!B5:B9=I2)*(区片价!C3:F3=E2)*(区片价!C5:F9))</f>
        <v>0</v>
      </c>
      <c r="N1" s="1866">
        <f>SUMPRODUCT((因素修正幅度!B5:B9=I2)*(因素修正幅度!C3:F3=E2)*(因素修正幅度!C5:F9))</f>
        <v>0</v>
      </c>
      <c r="O1" s="1396"/>
      <c r="P1" s="1396"/>
      <c r="Q1" s="2171"/>
      <c r="R1" s="2885" t="s">
        <v>2758</v>
      </c>
      <c r="S1" s="2885" t="s">
        <v>2759</v>
      </c>
      <c r="T1" s="2885" t="s">
        <v>2780</v>
      </c>
      <c r="U1" s="2885" t="s">
        <v>2781</v>
      </c>
      <c r="V1" s="2885" t="s">
        <v>2782</v>
      </c>
      <c r="W1" s="2171"/>
      <c r="X1" s="2171"/>
      <c r="Y1" s="2171"/>
      <c r="Z1" s="2171"/>
      <c r="AA1" s="2171"/>
      <c r="AB1" s="2171"/>
      <c r="AC1" s="2172"/>
    </row>
    <row r="2" spans="1:39" ht="15.75">
      <c r="A2" s="1401" t="s">
        <v>919</v>
      </c>
      <c r="B2" s="1037"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7" t="s">
        <v>2236</v>
      </c>
      <c r="M2" s="1868">
        <f>SUMPRODUCT((区片价!B10:B28=I2)*(区片价!C3:F3=E2)*(区片价!C10:F28))</f>
        <v>0</v>
      </c>
      <c r="N2" s="1869">
        <f>SUMPRODUCT((因素修正幅度!B10:B28=I2)*(因素修正幅度!C3:F3=E2)*(因素修正幅度!C10:F28))</f>
        <v>0</v>
      </c>
      <c r="O2" s="1405"/>
      <c r="P2" s="1396"/>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6" t="s">
        <v>1686</v>
      </c>
      <c r="B3" s="1037" t="e">
        <f>ROUND(B2*10000/D1,0)</f>
        <v>#DIV/0!</v>
      </c>
      <c r="C3" s="1402" t="s">
        <v>926</v>
      </c>
      <c r="D3" s="1403" t="s">
        <v>927</v>
      </c>
      <c r="E3" s="1407"/>
      <c r="F3" s="1408"/>
      <c r="G3" s="1038">
        <f>IF(F3="宗地容积率",'数据-汇总表'!I4,IF(F3="估价对象容积率",'数据-汇总表'!I6,'数据-汇总表'!I7))</f>
        <v>3.07</v>
      </c>
      <c r="H3" s="1409" t="s">
        <v>928</v>
      </c>
      <c r="I3" s="1039">
        <v>8</v>
      </c>
      <c r="J3" s="1405" t="s">
        <v>929</v>
      </c>
      <c r="K3" s="1405"/>
      <c r="L3" s="1867" t="s">
        <v>2237</v>
      </c>
      <c r="M3" s="1868">
        <f>SUMPRODUCT((区片价!B29:B48=I2)*(区片价!C3:F3=E2)*(区片价!C29:F48))</f>
        <v>0</v>
      </c>
      <c r="N3" s="1869">
        <f>SUMPRODUCT((因素修正幅度!B29:B48=I2)*(因素修正幅度!C3:F3=E2)*(因素修正幅度!C29:F48))</f>
        <v>0</v>
      </c>
      <c r="O3" s="1405"/>
      <c r="P3" s="1396"/>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2"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6"/>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6" customFormat="1" ht="15.75" thickBot="1">
      <c r="A5" s="1622" t="s">
        <v>1822</v>
      </c>
      <c r="B5" s="1410" t="s">
        <v>930</v>
      </c>
      <c r="C5" s="1040" t="e">
        <f>ROUND(IF(E2="商业",C6*C7+C16,(IF(E2="住宅",C6*C12+C16,C6+C16))),0)</f>
        <v>#DIV/0!</v>
      </c>
      <c r="D5" s="3063" t="e">
        <f>ROUND(C6+C16,0)</f>
        <v>#DIV/0!</v>
      </c>
      <c r="E5" s="3063"/>
      <c r="F5" s="1411"/>
      <c r="G5" s="1412"/>
      <c r="H5" s="1412"/>
      <c r="I5" s="1412"/>
      <c r="J5" s="1413"/>
      <c r="K5" s="3145"/>
      <c r="L5" s="1867" t="s">
        <v>2239</v>
      </c>
      <c r="M5" s="1868">
        <f>SUMPRODUCT((区片价!B76:B109=I2)*(区片价!C3:F3=E2)*(区片价!C76:F109))</f>
        <v>0</v>
      </c>
      <c r="N5" s="1869">
        <f>SUMPRODUCT((因素修正幅度!B76:B109=I2)*(因素修正幅度!C3:F3=E2)*(因素修正幅度!C76:F109))</f>
        <v>0</v>
      </c>
      <c r="O5" s="3145"/>
      <c r="P5" s="1579"/>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1869</v>
      </c>
      <c r="B6" s="1417" t="s">
        <v>930</v>
      </c>
      <c r="C6" s="1041">
        <f>SUMIF(L1:L12,基准地价!G2,M1:M12)</f>
        <v>0</v>
      </c>
      <c r="D6" s="1418" t="s">
        <v>1694</v>
      </c>
      <c r="E6" s="1419"/>
      <c r="F6" s="1419"/>
      <c r="G6" s="1420"/>
      <c r="H6" s="1420"/>
      <c r="I6" s="1420"/>
      <c r="J6" s="1421"/>
      <c r="K6" s="1451"/>
      <c r="L6" s="1867" t="s">
        <v>2240</v>
      </c>
      <c r="M6" s="1868">
        <f>SUMPRODUCT((区片价!B110:B157=I2)*(区片价!C3:F3=E2)*(区片价!C110:F157))</f>
        <v>0</v>
      </c>
      <c r="N6" s="1869">
        <f>SUMPRODUCT((因素修正幅度!B110:B157=I2)*(因素修正幅度!C3:F3=E2)*(因素修正幅度!C110:F157))</f>
        <v>0</v>
      </c>
      <c r="O6" s="1451"/>
      <c r="P6" s="1580"/>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4"/>
      <c r="AE6" s="1414"/>
      <c r="AF6" s="1414"/>
      <c r="AG6" s="1414"/>
      <c r="AH6" s="1414"/>
      <c r="AI6" s="1414"/>
      <c r="AJ6" s="1415"/>
    </row>
    <row r="7" spans="1:39" ht="24">
      <c r="A7" s="3534" t="str">
        <f>IF(E2="商业",IF(C8="不临58条商业街","",2),"")</f>
        <v/>
      </c>
      <c r="B7" s="1422" t="s">
        <v>931</v>
      </c>
      <c r="C7" s="1042" t="e">
        <f>IF(C8="不临58条商业街",1,ROUND(1+(1.6*E8+1.2*E9+0.8*E10+0.4*E11)*C9,4))</f>
        <v>#DIV/0!</v>
      </c>
      <c r="D7" s="1423" t="s">
        <v>932</v>
      </c>
      <c r="E7" s="1043"/>
      <c r="F7" s="1424"/>
      <c r="G7" s="1425"/>
      <c r="H7" s="1425"/>
      <c r="I7" s="1425"/>
      <c r="J7" s="1426"/>
      <c r="K7" s="1451"/>
      <c r="L7" s="1867" t="s">
        <v>2241</v>
      </c>
      <c r="M7" s="1868">
        <f>SUMPRODUCT((区片价!B158:B205=I2)*(区片价!C3:F3=E2)*(区片价!C158:F205))</f>
        <v>0</v>
      </c>
      <c r="N7" s="1869">
        <f>SUMPRODUCT((因素修正幅度!B158:B205=I2)*(因素修正幅度!C3:F3=E2)*(因素修正幅度!C158:F205))</f>
        <v>0</v>
      </c>
      <c r="O7" s="1451"/>
      <c r="P7" s="1580"/>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2761</v>
      </c>
      <c r="X7" s="2876">
        <f>G2</f>
        <v>0</v>
      </c>
      <c r="Y7" s="2876" t="s">
        <v>2762</v>
      </c>
      <c r="Z7" s="2877">
        <f>G3</f>
        <v>3.07</v>
      </c>
      <c r="AA7" s="2174"/>
      <c r="AB7" s="2174"/>
      <c r="AC7" s="2175"/>
      <c r="AD7" s="2878"/>
      <c r="AE7" s="2878"/>
      <c r="AF7" s="2878"/>
      <c r="AG7" s="2878"/>
      <c r="AH7" s="2878"/>
      <c r="AI7" s="2878"/>
      <c r="AJ7" s="2879"/>
    </row>
    <row r="8" spans="1:39" ht="15">
      <c r="A8" s="3535"/>
      <c r="B8" s="1409" t="s">
        <v>933</v>
      </c>
      <c r="C8" s="1515"/>
      <c r="D8" s="1044" t="s">
        <v>934</v>
      </c>
      <c r="E8" s="1045" t="e">
        <f>ROUND(C11/E7,4)</f>
        <v>#DIV/0!</v>
      </c>
      <c r="F8" s="1427" t="s">
        <v>935</v>
      </c>
      <c r="G8" s="1428"/>
      <c r="H8" s="1428"/>
      <c r="I8" s="1428"/>
      <c r="J8" s="1429"/>
      <c r="K8" s="1451"/>
      <c r="L8" s="1867" t="s">
        <v>2242</v>
      </c>
      <c r="M8" s="1868">
        <f>SUMPRODUCT((区片价!B206:B244=I2)*(区片价!C3:F3=E2)*(区片价!C206:F244))</f>
        <v>0</v>
      </c>
      <c r="N8" s="1869">
        <f>SUMPRODUCT((因素修正幅度!B206:B244=I2)*(因素修正幅度!C3:F3=E2)*(因素修正幅度!C206:F244))</f>
        <v>0</v>
      </c>
      <c r="O8" s="1451"/>
      <c r="P8" s="1396"/>
      <c r="Q8" s="2171"/>
      <c r="R8" s="2886">
        <v>7</v>
      </c>
      <c r="S8" s="2875"/>
      <c r="T8" s="2886" t="e">
        <f t="shared" si="0"/>
        <v>#DIV/0!</v>
      </c>
      <c r="U8" s="2875"/>
      <c r="V8" s="2886" t="e">
        <f t="shared" si="1"/>
        <v>#DIV/0!</v>
      </c>
      <c r="W8" s="3545" t="s">
        <v>2779</v>
      </c>
      <c r="X8" s="3546"/>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535"/>
      <c r="B9" s="1409" t="s">
        <v>936</v>
      </c>
      <c r="C9" s="1046">
        <f>SUMIF(修正!C59:C119,C8,修正!E59:E119)</f>
        <v>0</v>
      </c>
      <c r="D9" s="1047" t="s">
        <v>937</v>
      </c>
      <c r="E9" s="1047" t="e">
        <f>ROUND(C11/E7,4)</f>
        <v>#DIV/0!</v>
      </c>
      <c r="F9" s="1427" t="s">
        <v>938</v>
      </c>
      <c r="G9" s="1428"/>
      <c r="H9" s="1428"/>
      <c r="I9" s="1428"/>
      <c r="J9" s="1429"/>
      <c r="K9" s="1451"/>
      <c r="L9" s="1867" t="s">
        <v>2243</v>
      </c>
      <c r="M9" s="1868">
        <f>SUMPRODUCT((区片价!B245:B289=I2)*(区片价!C3:F3=E2)*(区片价!C245:F289))</f>
        <v>0</v>
      </c>
      <c r="N9" s="1869">
        <f>SUMPRODUCT((因素修正幅度!B245:B289=I2)*(因素修正幅度!C3:F3=E2)*(因素修正幅度!C245:F289))</f>
        <v>0</v>
      </c>
      <c r="O9" s="1451"/>
      <c r="P9" s="1396"/>
      <c r="Q9" s="2171"/>
      <c r="R9" s="2886">
        <v>8</v>
      </c>
      <c r="S9" s="2875"/>
      <c r="T9" s="2886" t="e">
        <f t="shared" si="0"/>
        <v>#DIV/0!</v>
      </c>
      <c r="U9" s="2875"/>
      <c r="V9" s="2886" t="e">
        <f t="shared" si="1"/>
        <v>#DIV/0!</v>
      </c>
      <c r="W9" s="3544"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535"/>
      <c r="B10" s="1409" t="s">
        <v>939</v>
      </c>
      <c r="C10" s="1047">
        <f>SUMIF(修正!C59:C119,C8,修正!F59:F119)</f>
        <v>0</v>
      </c>
      <c r="D10" s="1047" t="s">
        <v>940</v>
      </c>
      <c r="E10" s="1047" t="e">
        <f>ROUND(C11/E7,4)</f>
        <v>#DIV/0!</v>
      </c>
      <c r="F10" s="1427" t="s">
        <v>941</v>
      </c>
      <c r="G10" s="1428"/>
      <c r="H10" s="1428"/>
      <c r="I10" s="1428"/>
      <c r="J10" s="1429"/>
      <c r="K10" s="1451"/>
      <c r="L10" s="1867" t="s">
        <v>2244</v>
      </c>
      <c r="M10" s="1868">
        <f>SUMPRODUCT((区片价!B290:B316=I2)*(区片价!C3:F3=E2)*(区片价!C290:F316))</f>
        <v>0</v>
      </c>
      <c r="N10" s="1869">
        <f>SUMPRODUCT((因素修正幅度!B290:B316=I2)*(因素修正幅度!C3:F3=E2)*(因素修正幅度!C290:F316))</f>
        <v>0</v>
      </c>
      <c r="O10" s="1451"/>
      <c r="P10" s="1396"/>
      <c r="Q10" s="2171"/>
      <c r="R10" s="2886">
        <v>9</v>
      </c>
      <c r="S10" s="2875"/>
      <c r="T10" s="2886" t="e">
        <f t="shared" si="0"/>
        <v>#DIV/0!</v>
      </c>
      <c r="U10" s="2875"/>
      <c r="V10" s="2886" t="e">
        <f t="shared" si="1"/>
        <v>#DIV/0!</v>
      </c>
      <c r="W10" s="3544"/>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535"/>
      <c r="B11" s="1430" t="s">
        <v>942</v>
      </c>
      <c r="C11" s="1048">
        <f>C10/4</f>
        <v>0</v>
      </c>
      <c r="D11" s="1048" t="s">
        <v>943</v>
      </c>
      <c r="E11" s="1048" t="e">
        <f>ROUND(C11/E7,4)</f>
        <v>#DIV/0!</v>
      </c>
      <c r="F11" s="1431" t="s">
        <v>944</v>
      </c>
      <c r="G11" s="1432"/>
      <c r="H11" s="1432"/>
      <c r="I11" s="1432"/>
      <c r="J11" s="1433"/>
      <c r="K11" s="1451"/>
      <c r="L11" s="1867" t="s">
        <v>2245</v>
      </c>
      <c r="M11" s="1868">
        <f>SUMPRODUCT((区片价!B317:B337=I2)*(区片价!C3:F3=E2)*(区片价!C317:F337))</f>
        <v>0</v>
      </c>
      <c r="N11" s="1869">
        <f>SUMPRODUCT((因素修正幅度!B317:B337=I2)*(因素修正幅度!C3:F3=E2)*(因素修正幅度!C317:F337))</f>
        <v>0</v>
      </c>
      <c r="O11" s="1451"/>
      <c r="P11" s="1396"/>
      <c r="Q11" s="2171"/>
      <c r="R11" s="2886">
        <v>10</v>
      </c>
      <c r="S11" s="2875"/>
      <c r="T11" s="2886" t="e">
        <f t="shared" si="0"/>
        <v>#DIV/0!</v>
      </c>
      <c r="U11" s="2875"/>
      <c r="V11" s="2886" t="e">
        <f t="shared" si="1"/>
        <v>#DIV/0!</v>
      </c>
      <c r="W11" s="3544" t="s">
        <v>2777</v>
      </c>
      <c r="X11" s="1047" t="s">
        <v>2762</v>
      </c>
      <c r="Y11" s="1637">
        <f>$G$3</f>
        <v>3.07</v>
      </c>
      <c r="Z11" s="1637">
        <f t="shared" ref="Z11:AJ11" si="3">$G$3</f>
        <v>3.07</v>
      </c>
      <c r="AA11" s="1637">
        <f t="shared" si="3"/>
        <v>3.07</v>
      </c>
      <c r="AB11" s="1637">
        <f t="shared" si="3"/>
        <v>3.07</v>
      </c>
      <c r="AC11" s="1637">
        <f t="shared" si="3"/>
        <v>3.07</v>
      </c>
      <c r="AD11" s="1637">
        <f t="shared" si="3"/>
        <v>3.07</v>
      </c>
      <c r="AE11" s="1637">
        <f t="shared" si="3"/>
        <v>3.07</v>
      </c>
      <c r="AF11" s="1637">
        <f t="shared" si="3"/>
        <v>3.07</v>
      </c>
      <c r="AG11" s="1637">
        <f t="shared" si="3"/>
        <v>3.07</v>
      </c>
      <c r="AH11" s="1637">
        <f t="shared" si="3"/>
        <v>3.07</v>
      </c>
      <c r="AI11" s="1637">
        <f t="shared" si="3"/>
        <v>3.07</v>
      </c>
      <c r="AJ11" s="1637">
        <f t="shared" si="3"/>
        <v>3.07</v>
      </c>
    </row>
    <row r="12" spans="1:39" ht="25.5" thickBot="1">
      <c r="A12" s="3534" t="s">
        <v>1870</v>
      </c>
      <c r="B12" s="1434" t="s">
        <v>945</v>
      </c>
      <c r="C12" s="1042">
        <f>ROUND(C15*D15*E15*F15*G15*H15*I15*J15,4)</f>
        <v>1</v>
      </c>
      <c r="D12" s="1435" t="s">
        <v>946</v>
      </c>
      <c r="E12" s="1436"/>
      <c r="F12" s="1436"/>
      <c r="G12" s="1437"/>
      <c r="H12" s="1437"/>
      <c r="I12" s="1437"/>
      <c r="J12" s="1438"/>
      <c r="K12" s="1451"/>
      <c r="L12" s="1870" t="s">
        <v>2246</v>
      </c>
      <c r="M12" s="1871">
        <f>SUMPRODUCT((区片价!B338:B344=I2)*(区片价!C3:F3=E2)*(区片价!C338:F344))</f>
        <v>0</v>
      </c>
      <c r="N12" s="1872">
        <f>SUMPRODUCT((因素修正幅度!B338:B344=I2)*(因素修正幅度!C3:F3=E2)*(因素修正幅度!C338:F344))</f>
        <v>0</v>
      </c>
      <c r="O12" s="1451"/>
      <c r="P12" s="1396"/>
      <c r="Q12" s="2171"/>
      <c r="R12" s="2886">
        <v>11</v>
      </c>
      <c r="S12" s="2875"/>
      <c r="T12" s="2886" t="e">
        <f t="shared" si="0"/>
        <v>#DIV/0!</v>
      </c>
      <c r="U12" s="2875"/>
      <c r="V12" s="2886" t="e">
        <f t="shared" si="1"/>
        <v>#DIV/0!</v>
      </c>
      <c r="W12" s="3544"/>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536"/>
      <c r="B13" s="1439" t="s">
        <v>1695</v>
      </c>
      <c r="C13" s="1440" t="s">
        <v>1696</v>
      </c>
      <c r="D13" s="1084" t="s">
        <v>1697</v>
      </c>
      <c r="E13" s="1084" t="s">
        <v>1698</v>
      </c>
      <c r="F13" s="1441" t="s">
        <v>947</v>
      </c>
      <c r="G13" s="1442" t="s">
        <v>1641</v>
      </c>
      <c r="H13" s="1443" t="s">
        <v>1641</v>
      </c>
      <c r="I13" s="1444" t="s">
        <v>1641</v>
      </c>
      <c r="J13" s="1445" t="s">
        <v>1641</v>
      </c>
      <c r="K13" s="3160"/>
      <c r="L13" s="3160"/>
      <c r="M13" s="3160"/>
      <c r="N13" s="3160"/>
      <c r="O13" s="3160"/>
      <c r="P13" s="1396"/>
      <c r="Q13" s="2171"/>
      <c r="R13" s="2886">
        <v>12</v>
      </c>
      <c r="S13" s="2875"/>
      <c r="T13" s="2886" t="e">
        <f t="shared" si="0"/>
        <v>#DIV/0!</v>
      </c>
      <c r="U13" s="2875"/>
      <c r="V13" s="2886" t="e">
        <f t="shared" si="1"/>
        <v>#DIV/0!</v>
      </c>
      <c r="W13" s="3544"/>
      <c r="X13" s="2883"/>
      <c r="Y13" s="2882">
        <f>(-0.163*(Y12^2)-0.59*Y12+7617)*(10^(-4))/Y11</f>
        <v>0.24811074918566778</v>
      </c>
      <c r="Z13" s="2882">
        <f t="shared" ref="Z13:AJ13" si="5">(-0.163*(Z12^2)-0.59*Z12+7617)*(10^(-4))/Z11</f>
        <v>0.24811074918566778</v>
      </c>
      <c r="AA13" s="2882">
        <f t="shared" si="5"/>
        <v>0.24811074918566778</v>
      </c>
      <c r="AB13" s="2882">
        <f t="shared" si="5"/>
        <v>0.24811074918566778</v>
      </c>
      <c r="AC13" s="2882">
        <f t="shared" si="5"/>
        <v>0.24811074918566778</v>
      </c>
      <c r="AD13" s="2882">
        <f t="shared" si="5"/>
        <v>0.24811074918566778</v>
      </c>
      <c r="AE13" s="2882">
        <f t="shared" si="5"/>
        <v>0.24811074918566778</v>
      </c>
      <c r="AF13" s="2882">
        <f t="shared" si="5"/>
        <v>0.24811074918566778</v>
      </c>
      <c r="AG13" s="2882">
        <f t="shared" si="5"/>
        <v>0.24811074918566778</v>
      </c>
      <c r="AH13" s="2882">
        <f t="shared" si="5"/>
        <v>0.24811074918566778</v>
      </c>
      <c r="AI13" s="2882">
        <f t="shared" si="5"/>
        <v>0.24811074918566778</v>
      </c>
      <c r="AJ13" s="2882">
        <f t="shared" si="5"/>
        <v>0.24811074918566778</v>
      </c>
    </row>
    <row r="14" spans="1:39" ht="12.75" customHeight="1">
      <c r="A14" s="3536"/>
      <c r="B14" s="1446"/>
      <c r="C14" s="1447"/>
      <c r="D14" s="1448"/>
      <c r="E14" s="1448"/>
      <c r="F14" s="1449"/>
      <c r="G14" s="1450" t="s">
        <v>948</v>
      </c>
      <c r="H14" s="1451"/>
      <c r="I14" s="1452"/>
      <c r="J14" s="1453"/>
      <c r="K14" s="3146"/>
      <c r="L14" s="3146"/>
      <c r="M14" s="3146"/>
      <c r="N14" s="3146"/>
      <c r="O14" s="3146"/>
      <c r="P14" s="1396"/>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537"/>
      <c r="B15" s="3165" t="s">
        <v>1699</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534" t="s">
        <v>1837</v>
      </c>
      <c r="B16" s="1422" t="s">
        <v>949</v>
      </c>
      <c r="C16" s="1051" t="e">
        <f>ROUND(IF(F17="与级别开发程度一致",0,(G17-E17)/C17),0)</f>
        <v>#DIV/0!</v>
      </c>
      <c r="D16" s="3552" t="s">
        <v>953</v>
      </c>
      <c r="E16" s="3553"/>
      <c r="F16" s="3552" t="s">
        <v>950</v>
      </c>
      <c r="G16" s="3553"/>
      <c r="H16" s="1454"/>
      <c r="I16" s="1454"/>
      <c r="J16" s="1454"/>
      <c r="K16" s="1454"/>
      <c r="L16" s="1454"/>
      <c r="M16" s="1454"/>
      <c r="N16" s="1454"/>
      <c r="O16" s="3170"/>
      <c r="P16" s="1396"/>
      <c r="Q16" s="2174"/>
      <c r="R16" s="2886">
        <v>15</v>
      </c>
      <c r="S16" s="2875"/>
      <c r="T16" s="2886" t="e">
        <f t="shared" si="0"/>
        <v>#DIV/0!</v>
      </c>
      <c r="U16" s="2875"/>
      <c r="V16" s="2886" t="e">
        <f t="shared" si="1"/>
        <v>#DIV/0!</v>
      </c>
      <c r="W16" s="2174"/>
      <c r="X16" s="2174"/>
      <c r="Y16" s="2174"/>
      <c r="Z16" s="2174"/>
      <c r="AA16" s="2174"/>
      <c r="AB16" s="2174"/>
      <c r="AC16" s="2175"/>
    </row>
    <row r="17" spans="1:40" ht="13.5" thickBot="1">
      <c r="A17" s="3538"/>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29" t="s">
        <v>1828</v>
      </c>
      <c r="B18" s="3166" t="s">
        <v>954</v>
      </c>
      <c r="C18" s="3167">
        <f>SUMIF(修正!C18:C39,E3,修正!E18:E39)</f>
        <v>0</v>
      </c>
      <c r="D18" s="3168"/>
      <c r="E18" s="3169"/>
      <c r="F18" s="3151"/>
      <c r="G18" s="3145"/>
      <c r="H18" s="3145"/>
      <c r="I18" s="3145"/>
      <c r="J18" s="3159"/>
      <c r="K18" s="3145"/>
      <c r="L18" s="3145"/>
      <c r="M18" s="3145"/>
      <c r="N18" s="3145"/>
      <c r="O18" s="3145"/>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1834</v>
      </c>
      <c r="B19" s="1457" t="s">
        <v>955</v>
      </c>
      <c r="C19" s="1052" t="e">
        <f>ROUND(IF(H19="按公示增长率计算",SUMPRODUCT((地价!A3:A26=YEAR(G19)&amp;"-"&amp;ROUNDUP(MONTH(G19)/3,0))*(地价!X2:AB2=E2)*(地价!X3:AB26)),IF(H19="地价指数",M20/M19,(1+I19)^O19)),4)</f>
        <v>#VALUE!</v>
      </c>
      <c r="D19" s="1461" t="s">
        <v>956</v>
      </c>
      <c r="E19" s="1053">
        <v>41640</v>
      </c>
      <c r="F19" s="1461" t="s">
        <v>957</v>
      </c>
      <c r="G19" s="1054">
        <f>'数据-取费表'!B2</f>
        <v>43602</v>
      </c>
      <c r="H19" s="1462"/>
      <c r="I19" s="2735" t="str">
        <f>IF(H19="季度增幅（自定义）",SUMIF(N21:N24,E2,O21:O24),"")</f>
        <v/>
      </c>
      <c r="J19" s="1458"/>
      <c r="K19" s="3145"/>
      <c r="L19" s="2986" t="s">
        <v>2837</v>
      </c>
      <c r="M19" s="2987">
        <f>ROUND(SUMIF(地价!B2:F2,E2,地价!B26:F26),0)</f>
        <v>0</v>
      </c>
      <c r="N19" s="2737" t="s">
        <v>1675</v>
      </c>
      <c r="O19" s="2736">
        <f>ROUNDDOWN(DATEDIF(E19,G19,"M")/3,0)</f>
        <v>21</v>
      </c>
      <c r="P19" s="1581"/>
      <c r="Q19" s="2874"/>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29" t="s">
        <v>1835</v>
      </c>
      <c r="B20" s="2730" t="s">
        <v>970</v>
      </c>
      <c r="C20" s="2731" t="e">
        <f>ROUND(POWER(1+G20,J20-I20)*(POWER(1+G20,I20)-1)/(POWER(1+G20,J20)-1),4)</f>
        <v>#DIV/0!</v>
      </c>
      <c r="D20" s="2732" t="s">
        <v>971</v>
      </c>
      <c r="E20" s="3038">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7"/>
      <c r="L20" s="2988" t="s">
        <v>2838</v>
      </c>
      <c r="M20" s="3154">
        <f>ROUND(SUMPRODUCT((地价!A4:A26=YEAR(G19)&amp;"-"&amp;ROUNDUP(MONTH(G19)/3,0))*(地价!B2:F2=E2)*(地价!B4:F26)),0)</f>
        <v>0</v>
      </c>
      <c r="N20" s="2740" t="s">
        <v>2642</v>
      </c>
      <c r="O20" s="2738" t="s">
        <v>2641</v>
      </c>
      <c r="P20" s="2739" t="s">
        <v>2646</v>
      </c>
      <c r="Q20" s="2874"/>
      <c r="R20" s="2177"/>
      <c r="S20" s="2177"/>
      <c r="T20" s="2177"/>
      <c r="U20" s="2177"/>
      <c r="V20" s="2177"/>
      <c r="W20" s="2177"/>
      <c r="X20" s="2177"/>
      <c r="Y20" s="1459"/>
      <c r="Z20" s="1459"/>
      <c r="AA20" s="1459"/>
      <c r="AB20" s="1459"/>
      <c r="AC20" s="1459"/>
      <c r="AD20" s="1459"/>
    </row>
    <row r="21" spans="1:40" s="1416" customFormat="1" ht="14.25">
      <c r="A21" s="1626" t="s">
        <v>1836</v>
      </c>
      <c r="B21" s="1467" t="s">
        <v>2757</v>
      </c>
      <c r="C21" s="1153">
        <f>IF(B21="容积率修正",IF(G3&lt;=10,D22,J22),C23)</f>
        <v>0</v>
      </c>
      <c r="D21" s="1468"/>
      <c r="E21" s="1468"/>
      <c r="F21" s="1468"/>
      <c r="G21" s="1468"/>
      <c r="H21" s="1468"/>
      <c r="I21" s="1468"/>
      <c r="J21" s="1469"/>
      <c r="K21" s="3145"/>
      <c r="L21" s="1468"/>
      <c r="M21" s="1468"/>
      <c r="N21" s="1465" t="s">
        <v>974</v>
      </c>
      <c r="O21" s="1528"/>
      <c r="P21" s="2727">
        <f>SUMPRODUCT((地价!A3:A26=YEAR(G19)&amp;"-"&amp;ROUNDUP(MONTH(G19)/3,0))*(地价!AD2:AH2=N21)*(地价!AD3:AH26))</f>
        <v>1.46E-2</v>
      </c>
      <c r="Q21" s="2874"/>
      <c r="R21" s="2177"/>
      <c r="S21" s="2177"/>
      <c r="T21" s="2177"/>
      <c r="U21" s="2177"/>
      <c r="V21" s="2177"/>
      <c r="W21" s="2177"/>
      <c r="X21" s="2177"/>
      <c r="Y21" s="1398"/>
      <c r="Z21" s="1398"/>
      <c r="AA21" s="1398"/>
      <c r="AB21" s="1398"/>
      <c r="AC21" s="1459"/>
      <c r="AD21" s="1459"/>
    </row>
    <row r="22" spans="1:40" s="1416" customFormat="1" ht="14.25">
      <c r="A22" s="1627" t="s">
        <v>1869</v>
      </c>
      <c r="B22" s="1470" t="s">
        <v>975</v>
      </c>
      <c r="C22" s="1055" t="s">
        <v>1701</v>
      </c>
      <c r="D22" s="1055">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48"/>
      <c r="L22" s="1468"/>
      <c r="M22" s="1468"/>
      <c r="N22" s="1465" t="s">
        <v>977</v>
      </c>
      <c r="O22" s="1528"/>
      <c r="P22" s="2727">
        <f>SUMPRODUCT((地价!A3:A26=YEAR(G19)&amp;"-"&amp;ROUNDUP(MONTH(G19)/3,0))*(地价!AD2:AH2=N22)*(地价!AD3:AH26))</f>
        <v>1.46E-2</v>
      </c>
      <c r="Q22" s="2874"/>
      <c r="R22" s="2177"/>
      <c r="S22" s="2177"/>
      <c r="T22" s="2177"/>
      <c r="U22" s="2177"/>
      <c r="V22" s="2177"/>
      <c r="W22" s="2177"/>
      <c r="X22" s="2177"/>
      <c r="Y22" s="1459"/>
      <c r="Z22" s="1459"/>
      <c r="AA22" s="1459"/>
      <c r="AB22" s="1459"/>
      <c r="AC22" s="1459"/>
      <c r="AD22" s="1459"/>
    </row>
    <row r="23" spans="1:40" ht="15.75" thickBot="1">
      <c r="A23" s="1627" t="s">
        <v>1870</v>
      </c>
      <c r="B23" s="1470" t="s">
        <v>978</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922</v>
      </c>
      <c r="O23" s="1528"/>
      <c r="P23" s="2727">
        <f>SUMPRODUCT((地价!A3:A26=YEAR(G19)&amp;"-"&amp;ROUNDUP(MONTH(G19)/3,0))*(地价!AD2:AH2=N23)*(地价!AD3:AH26))</f>
        <v>2.2599999999999999E-2</v>
      </c>
      <c r="Q23" s="2874"/>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7">
        <f>SUMIF(A44:A87,E2,B44:B87)</f>
        <v>0</v>
      </c>
      <c r="D24" s="1521"/>
      <c r="E24" s="1522"/>
      <c r="F24" s="1522"/>
      <c r="G24" s="1522"/>
      <c r="H24" s="1522"/>
      <c r="I24" s="1522"/>
      <c r="J24" s="1522"/>
      <c r="K24" s="3149"/>
      <c r="L24" s="1468"/>
      <c r="M24" s="1468"/>
      <c r="N24" s="1465" t="s">
        <v>980</v>
      </c>
      <c r="O24" s="3153"/>
      <c r="P24" s="2727">
        <f>SUMPRODUCT((地价!A3:A26=YEAR(G19)&amp;"-"&amp;ROUNDUP(MONTH(G19)/3,0))*(地价!AD2:AH2=N24)*(地价!AD3:AH26))</f>
        <v>1.4E-2</v>
      </c>
      <c r="Q24" s="2874"/>
      <c r="R24" s="2177"/>
      <c r="S24" s="2177"/>
      <c r="T24" s="2177"/>
      <c r="U24" s="2177"/>
      <c r="V24" s="2177"/>
      <c r="W24" s="2177"/>
      <c r="X24" s="2177"/>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7"/>
      <c r="M25" s="2177"/>
      <c r="N25" s="3155" t="s">
        <v>2644</v>
      </c>
      <c r="O25" s="3156"/>
      <c r="P25" s="2406">
        <f>SUMPRODUCT((地价!A3:A26=YEAR(G19)&amp;"-"&amp;ROUNDUP(MONTH(G19)/3,0))*(地价!AD2:AH2=N25)*(地价!AD3:AH26))</f>
        <v>2.06E-2</v>
      </c>
      <c r="Q25" s="2874"/>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985</v>
      </c>
      <c r="C26" s="1058" t="e">
        <f>E29+SUM(E33:E39)</f>
        <v>#DIV/0!</v>
      </c>
      <c r="D26" s="1476"/>
      <c r="E26" s="1451"/>
      <c r="F26" s="1477"/>
      <c r="G26" s="1451"/>
      <c r="H26" s="1451"/>
      <c r="I26" s="1451"/>
      <c r="J26" s="1478"/>
      <c r="K26" s="1451"/>
      <c r="L26" s="1582" t="s">
        <v>897</v>
      </c>
      <c r="M26" s="1423" t="s">
        <v>982</v>
      </c>
      <c r="N26" s="1423" t="s">
        <v>983</v>
      </c>
      <c r="O26" s="1423" t="s">
        <v>901</v>
      </c>
      <c r="P26" s="1463" t="s">
        <v>984</v>
      </c>
      <c r="Q26" s="2874"/>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987</v>
      </c>
      <c r="C27" s="1059" t="e">
        <f>E30+SUM(I33:I39)</f>
        <v>#DIV/0!</v>
      </c>
      <c r="D27" s="1480"/>
      <c r="E27" s="1481"/>
      <c r="F27" s="1482"/>
      <c r="G27" s="1481"/>
      <c r="H27" s="1481"/>
      <c r="I27" s="1481"/>
      <c r="J27" s="1483"/>
      <c r="K27" s="1451"/>
      <c r="L27" s="1455" t="s">
        <v>986</v>
      </c>
      <c r="M27" s="1046">
        <v>0.25</v>
      </c>
      <c r="N27" s="1046">
        <v>0.2</v>
      </c>
      <c r="O27" s="1046">
        <v>0.15</v>
      </c>
      <c r="P27" s="1525">
        <v>0.1</v>
      </c>
      <c r="Q27" s="2177"/>
      <c r="R27" s="2874"/>
      <c r="S27" s="2874"/>
      <c r="T27" s="2874"/>
      <c r="U27" s="2874"/>
      <c r="V27" s="2874"/>
      <c r="W27" s="2177"/>
      <c r="X27" s="2177"/>
      <c r="Y27" s="2177"/>
      <c r="Z27" s="2177"/>
      <c r="AA27" s="2177"/>
      <c r="AB27" s="2177"/>
      <c r="AC27" s="2177"/>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7"/>
      <c r="R28" s="2874"/>
      <c r="S28" s="2874"/>
      <c r="T28" s="2874"/>
      <c r="U28" s="2874"/>
      <c r="V28" s="2874"/>
      <c r="W28" s="2177"/>
      <c r="X28" s="2177"/>
      <c r="Y28" s="2177"/>
      <c r="Z28" s="2177"/>
      <c r="AA28" s="2177"/>
      <c r="AB28" s="2177"/>
      <c r="AC28" s="2177"/>
      <c r="AD28" s="1459"/>
      <c r="AE28" s="1459"/>
      <c r="AF28" s="1459"/>
      <c r="AG28" s="1459"/>
    </row>
    <row r="29" spans="1:40" ht="14.25">
      <c r="A29" s="1488"/>
      <c r="B29" s="1489" t="s">
        <v>992</v>
      </c>
      <c r="C29" s="1058" t="e">
        <f>ROUND(C5*C18*C19*C20*C21*C24,0)</f>
        <v>#DIV/0!</v>
      </c>
      <c r="D29" s="1490"/>
      <c r="E29" s="1831" t="e">
        <f>ROUND(C29*D29/10000,0)</f>
        <v>#DIV/0!</v>
      </c>
      <c r="F29" s="1491" t="s">
        <v>1700</v>
      </c>
      <c r="G29" s="1492"/>
      <c r="H29" s="1492"/>
      <c r="I29" s="1492"/>
      <c r="J29" s="1493"/>
      <c r="K29" s="3150"/>
      <c r="L29" s="3150"/>
      <c r="M29" s="3150"/>
      <c r="N29" s="3150"/>
      <c r="O29" s="3150"/>
      <c r="P29" s="1396"/>
      <c r="Q29" s="2177"/>
      <c r="R29" s="2177"/>
      <c r="S29" s="2177"/>
      <c r="T29" s="2177"/>
      <c r="U29" s="2177"/>
      <c r="V29" s="2177"/>
      <c r="W29" s="2874"/>
      <c r="X29" s="2874"/>
      <c r="Y29" s="2874"/>
      <c r="Z29" s="2874"/>
      <c r="AA29" s="2874"/>
      <c r="AB29" s="2177"/>
      <c r="AC29" s="2177"/>
      <c r="AD29" s="2177"/>
      <c r="AE29" s="2177"/>
      <c r="AF29" s="2177"/>
      <c r="AG29" s="2177"/>
      <c r="AH29" s="2177"/>
      <c r="AJ29" s="1398"/>
      <c r="AK29" s="1398"/>
      <c r="AL29" s="1398"/>
      <c r="AM29" s="1397"/>
      <c r="AN29" s="1397"/>
    </row>
    <row r="30" spans="1:40" ht="24.75" thickBot="1">
      <c r="A30" s="1494"/>
      <c r="B30" s="1495" t="s">
        <v>993</v>
      </c>
      <c r="C30" s="1050" t="e">
        <f>ROUND(IF(E2="工业",C29*M39,C29*M38),0)</f>
        <v>#DIV/0!</v>
      </c>
      <c r="D30" s="1496"/>
      <c r="E30" s="1831" t="e">
        <f>ROUND(C30*D30/10000,0)</f>
        <v>#DIV/0!</v>
      </c>
      <c r="F30" s="1497" t="s">
        <v>994</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1"/>
      <c r="L32" s="3151"/>
      <c r="M32" s="3151"/>
      <c r="N32" s="3151"/>
      <c r="O32" s="3151"/>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541" t="s">
        <v>2952</v>
      </c>
      <c r="B33" s="1510" t="s">
        <v>998</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542"/>
      <c r="B34" s="1440" t="s">
        <v>999</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542"/>
      <c r="B35" s="1440" t="s">
        <v>1000</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543"/>
      <c r="B36" s="1440" t="s">
        <v>1001</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1002</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1702</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1003</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1704</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1004</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1703</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1" t="s">
        <v>2979</v>
      </c>
      <c r="C41" s="839" t="e">
        <f>ROUND(POWER(1+E41,H41-G41)*(POWER(1+E41,G41)-1)/(POWER(1+E41,H41)-1),4)</f>
        <v>#DIV/0!</v>
      </c>
      <c r="D41" s="378" t="s">
        <v>2977</v>
      </c>
      <c r="E41" s="3140">
        <f>G20</f>
        <v>0</v>
      </c>
      <c r="F41" s="378" t="s">
        <v>2978</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78" t="s">
        <v>1005</v>
      </c>
      <c r="B44" s="2379"/>
      <c r="C44" s="2380"/>
      <c r="D44" s="2381"/>
      <c r="E44" s="2381"/>
      <c r="F44" s="2382"/>
      <c r="G44" s="1061"/>
      <c r="H44" s="2382"/>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3" t="s">
        <v>1006</v>
      </c>
      <c r="B45" s="2384">
        <f>1+E47</f>
        <v>1</v>
      </c>
      <c r="C45" s="2385"/>
      <c r="D45" s="2386"/>
      <c r="E45" s="2387"/>
      <c r="F45" s="2388"/>
      <c r="G45" s="2382"/>
      <c r="H45" s="2382"/>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1007</v>
      </c>
      <c r="B46" s="2367" t="s">
        <v>1008</v>
      </c>
      <c r="C46" s="2389" t="s">
        <v>1009</v>
      </c>
      <c r="D46" s="2390" t="s">
        <v>1010</v>
      </c>
      <c r="E46" s="2391" t="s">
        <v>1012</v>
      </c>
      <c r="F46" s="2392" t="s">
        <v>2247</v>
      </c>
      <c r="G46" s="2390" t="s">
        <v>1013</v>
      </c>
      <c r="H46" s="2373" t="s">
        <v>2415</v>
      </c>
      <c r="I46" s="2390" t="s">
        <v>1011</v>
      </c>
      <c r="J46" s="2393" t="s">
        <v>1014</v>
      </c>
      <c r="K46" s="2393" t="s">
        <v>1015</v>
      </c>
      <c r="L46" s="2393" t="s">
        <v>1016</v>
      </c>
      <c r="M46" s="2393" t="s">
        <v>1017</v>
      </c>
      <c r="N46" s="2393" t="s">
        <v>1018</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60">
      <c r="A47" s="1062" t="s">
        <v>1019</v>
      </c>
      <c r="B47" s="2370" t="str">
        <f>估价对象房地状况!C16</f>
        <v>估价对象周边有长嘉汇购物公园、重庆来福士广场，周边商业氛围成熟度一般，人流量一般，商业繁华度一般。</v>
      </c>
      <c r="C47" s="1049"/>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60">
      <c r="A48" s="1062" t="s">
        <v>1020</v>
      </c>
      <c r="B48" s="2367" t="str">
        <f>估价对象房地状况!C18</f>
        <v>估价对象周边有338路、373路、375路等多条公交线路、路网密集度一般、停车便捷程度较好，综合评价交通便捷度较好。</v>
      </c>
      <c r="C48" s="1049"/>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1021</v>
      </c>
      <c r="B49" s="2367" t="str">
        <f>估价对象房地状况!C19</f>
        <v>零星有其他用地，对本宗地无不利影响。</v>
      </c>
      <c r="C49" s="1049"/>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1022</v>
      </c>
      <c r="B50" s="3040" t="s">
        <v>2928</v>
      </c>
      <c r="C50" s="1049"/>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1023</v>
      </c>
      <c r="B51" s="2367" t="str">
        <f>估价对象房地状况!C24</f>
        <v>城市支路—下石浩路</v>
      </c>
      <c r="C51" s="1049"/>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1024</v>
      </c>
      <c r="B52" s="3039" t="s">
        <v>2927</v>
      </c>
      <c r="C52" s="1049"/>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399" t="s">
        <v>1025</v>
      </c>
      <c r="B53" s="2368" t="str">
        <f>估价对象房地状况!C21</f>
        <v>估价对象所在区域公共配套设施齐备情况较好。</v>
      </c>
      <c r="C53" s="1049"/>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399" t="s">
        <v>1026</v>
      </c>
      <c r="B54" s="2367" t="str">
        <f>估价对象房地状况!C22</f>
        <v>估价对象所在区域基础设施水平达“六通”。</v>
      </c>
      <c r="C54" s="1049"/>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72.75" thickBot="1">
      <c r="A55" s="2400" t="s">
        <v>1027</v>
      </c>
      <c r="B55" s="2371" t="str">
        <f>估价对象房地状况!C20</f>
        <v>估价对象邻近长江，绿化一般，自然环境一般；周边有慈云寺、长江艺术广场，无博物馆、体育场等人文设施，自然环境一般；综合评价环境状况一般。</v>
      </c>
      <c r="C55" s="1049"/>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3" t="s">
        <v>1028</v>
      </c>
      <c r="B56" s="2384">
        <f>1+E58</f>
        <v>1</v>
      </c>
      <c r="C56" s="2403"/>
      <c r="D56" s="2386"/>
      <c r="E56" s="2387"/>
      <c r="F56" s="2388"/>
      <c r="G56" s="2382"/>
      <c r="H56" s="2382"/>
      <c r="I56" s="2382"/>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1007</v>
      </c>
      <c r="B57" s="2367"/>
      <c r="C57" s="2389" t="s">
        <v>1009</v>
      </c>
      <c r="D57" s="2390" t="s">
        <v>1010</v>
      </c>
      <c r="E57" s="2391" t="s">
        <v>1012</v>
      </c>
      <c r="F57" s="2392" t="s">
        <v>2248</v>
      </c>
      <c r="G57" s="2390" t="s">
        <v>1013</v>
      </c>
      <c r="H57" s="2373" t="s">
        <v>2415</v>
      </c>
      <c r="I57" s="2390" t="s">
        <v>1011</v>
      </c>
      <c r="J57" s="2393" t="s">
        <v>1014</v>
      </c>
      <c r="K57" s="2393" t="s">
        <v>1015</v>
      </c>
      <c r="L57" s="2393" t="s">
        <v>1016</v>
      </c>
      <c r="M57" s="2393" t="s">
        <v>1017</v>
      </c>
      <c r="N57" s="2393" t="s">
        <v>1018</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1029</v>
      </c>
      <c r="B58" s="2370" t="str">
        <f>估价对象房地状况!C17</f>
        <v>估价对周边办公楼项目较少，入驻率较差，办公集聚程度较差。</v>
      </c>
      <c r="C58" s="1049"/>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60">
      <c r="A59" s="1062" t="s">
        <v>1020</v>
      </c>
      <c r="B59" s="2367" t="str">
        <f>估价对象房地状况!C18</f>
        <v>估价对象周边有338路、373路、375路等多条公交线路、路网密集度一般、停车便捷程度较好，综合评价交通便捷度较好。</v>
      </c>
      <c r="C59" s="1049"/>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1021</v>
      </c>
      <c r="B60" s="2367" t="str">
        <f>估价对象房地状况!C19</f>
        <v>零星有其他用地，对本宗地无不利影响。</v>
      </c>
      <c r="C60" s="1049"/>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1022</v>
      </c>
      <c r="B61" s="3040" t="s">
        <v>2929</v>
      </c>
      <c r="C61" s="1049"/>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1023</v>
      </c>
      <c r="B62" s="2367" t="str">
        <f>估价对象房地状况!C24</f>
        <v>城市支路—下石浩路</v>
      </c>
      <c r="C62" s="1049"/>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1024</v>
      </c>
      <c r="B63" s="3039" t="s">
        <v>2927</v>
      </c>
      <c r="C63" s="1049"/>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1025</v>
      </c>
      <c r="B64" s="2368" t="str">
        <f>估价对象房地状况!C21</f>
        <v>估价对象所在区域公共配套设施齐备情况较好。</v>
      </c>
      <c r="C64" s="1049"/>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1026</v>
      </c>
      <c r="B65" s="2368" t="str">
        <f>估价对象房地状况!C22</f>
        <v>估价对象所在区域基础设施水平达“六通”。</v>
      </c>
      <c r="C65" s="1049"/>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72.75" thickBot="1">
      <c r="A66" s="2400" t="s">
        <v>1027</v>
      </c>
      <c r="B66" s="2372" t="str">
        <f>估价对象房地状况!C20</f>
        <v>估价对象邻近长江，绿化一般，自然环境一般；周边有慈云寺、长江艺术广场，无博物馆、体育场等人文设施，自然环境一般；综合评价环境状况一般。</v>
      </c>
      <c r="C66" s="1049"/>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3" t="s">
        <v>1030</v>
      </c>
      <c r="B67" s="2384">
        <f>1+E69</f>
        <v>1</v>
      </c>
      <c r="C67" s="2403"/>
      <c r="D67" s="2386"/>
      <c r="E67" s="2387"/>
      <c r="F67" s="2388"/>
      <c r="G67" s="2382"/>
      <c r="H67" s="2382"/>
      <c r="I67" s="2382"/>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1007</v>
      </c>
      <c r="B68" s="2367"/>
      <c r="C68" s="2389" t="s">
        <v>1009</v>
      </c>
      <c r="D68" s="2390" t="s">
        <v>1010</v>
      </c>
      <c r="E68" s="2391" t="s">
        <v>1012</v>
      </c>
      <c r="F68" s="2392" t="s">
        <v>2249</v>
      </c>
      <c r="G68" s="2390" t="s">
        <v>1013</v>
      </c>
      <c r="H68" s="2373" t="s">
        <v>2415</v>
      </c>
      <c r="I68" s="2390" t="s">
        <v>1011</v>
      </c>
      <c r="J68" s="2393" t="s">
        <v>1014</v>
      </c>
      <c r="K68" s="2393" t="s">
        <v>1015</v>
      </c>
      <c r="L68" s="2393" t="s">
        <v>1016</v>
      </c>
      <c r="M68" s="2393" t="s">
        <v>1017</v>
      </c>
      <c r="N68" s="2393" t="s">
        <v>1018</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60">
      <c r="A69" s="1062" t="s">
        <v>1031</v>
      </c>
      <c r="B69" s="2370" t="str">
        <f>估价对象房地状况!C15</f>
        <v>估价对象周边有怡景园、汇丰江山汇等住宅社区，分布密度一般，规模一般，入住率一般，综合评价居住社区成熟度一般。</v>
      </c>
      <c r="C69" s="1154"/>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60">
      <c r="A70" s="1062" t="s">
        <v>1032</v>
      </c>
      <c r="B70" s="2367" t="str">
        <f>估价对象房地状况!C18</f>
        <v>估价对象周边有338路、373路、375路等多条公交线路、路网密集度一般、停车便捷程度较好，综合评价交通便捷度较好。</v>
      </c>
      <c r="C70" s="1154"/>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1021</v>
      </c>
      <c r="B71" s="2367" t="str">
        <f>估价对象房地状况!C19</f>
        <v>零星有其他用地，对本宗地无不利影响。</v>
      </c>
      <c r="C71" s="1154"/>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1033</v>
      </c>
      <c r="B72" s="2367" t="str">
        <f>估价对象房地状况!C24</f>
        <v>城市支路—下石浩路</v>
      </c>
      <c r="C72" s="1154"/>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1025</v>
      </c>
      <c r="B73" s="2368" t="str">
        <f>估价对象房地状况!C21</f>
        <v>估价对象所在区域公共配套设施齐备情况较好。</v>
      </c>
      <c r="C73" s="1154"/>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1026</v>
      </c>
      <c r="B74" s="2368" t="str">
        <f>估价对象房地状况!C22</f>
        <v>估价对象所在区域基础设施水平达“六通”。</v>
      </c>
      <c r="C74" s="1154"/>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1024</v>
      </c>
      <c r="B75" s="3039" t="s">
        <v>2927</v>
      </c>
      <c r="C75" s="1154"/>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72">
      <c r="A76" s="1062" t="s">
        <v>1027</v>
      </c>
      <c r="B76" s="2370" t="str">
        <f>估价对象房地状况!C20</f>
        <v>估价对象邻近长江，绿化一般，自然环境一般；周边有慈云寺、长江艺术广场，无博物馆、体育场等人文设施，自然环境一般；综合评价环境状况一般。</v>
      </c>
      <c r="C76" s="1154"/>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0" t="s">
        <v>1034</v>
      </c>
      <c r="B77" s="1832"/>
      <c r="C77" s="1154"/>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400"/>
      <c r="AD77" s="1399"/>
      <c r="AJ77" s="1398"/>
      <c r="AN77" s="1399"/>
    </row>
    <row r="78" spans="1:40" ht="15">
      <c r="A78" s="2383" t="s">
        <v>1035</v>
      </c>
      <c r="B78" s="2384">
        <f>1+E80</f>
        <v>1</v>
      </c>
      <c r="C78" s="2403"/>
      <c r="D78" s="2386"/>
      <c r="E78" s="2387"/>
      <c r="F78" s="2388"/>
      <c r="G78" s="2382"/>
      <c r="H78" s="2382"/>
      <c r="I78" s="2382"/>
      <c r="J78" s="1061"/>
      <c r="K78" s="1061"/>
      <c r="L78" s="1061"/>
      <c r="M78" s="1061"/>
      <c r="N78" s="1061"/>
      <c r="AC78" s="1400"/>
      <c r="AD78" s="1399"/>
      <c r="AJ78" s="1398"/>
      <c r="AN78" s="1399"/>
    </row>
    <row r="79" spans="1:40" ht="24">
      <c r="A79" s="1062" t="s">
        <v>1007</v>
      </c>
      <c r="B79" s="2367"/>
      <c r="C79" s="2389" t="s">
        <v>1009</v>
      </c>
      <c r="D79" s="2390" t="s">
        <v>1010</v>
      </c>
      <c r="E79" s="2391" t="s">
        <v>1012</v>
      </c>
      <c r="F79" s="2392" t="s">
        <v>2250</v>
      </c>
      <c r="G79" s="2390" t="s">
        <v>1013</v>
      </c>
      <c r="H79" s="2373" t="s">
        <v>2415</v>
      </c>
      <c r="I79" s="2390" t="s">
        <v>1011</v>
      </c>
      <c r="J79" s="2393" t="s">
        <v>1014</v>
      </c>
      <c r="K79" s="2393" t="s">
        <v>1015</v>
      </c>
      <c r="L79" s="2393" t="s">
        <v>1016</v>
      </c>
      <c r="M79" s="2393" t="s">
        <v>1017</v>
      </c>
      <c r="N79" s="2393" t="s">
        <v>1018</v>
      </c>
      <c r="AC79" s="1400"/>
      <c r="AD79" s="1399"/>
      <c r="AJ79" s="1398"/>
      <c r="AN79" s="1399"/>
    </row>
    <row r="80" spans="1:40" ht="36">
      <c r="A80" s="1062" t="s">
        <v>1036</v>
      </c>
      <c r="B80" s="2367" t="str">
        <f>估价对象房地状况!G15</f>
        <v>估价对象位于XX开发区，园区建设成熟度XX，产业集聚程度XX</v>
      </c>
      <c r="C80" s="1049"/>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400"/>
      <c r="AD80" s="1399"/>
      <c r="AJ80" s="1398"/>
      <c r="AN80" s="1399"/>
    </row>
    <row r="81" spans="1:40" ht="48">
      <c r="A81" s="1062" t="s">
        <v>1032</v>
      </c>
      <c r="B81" s="2367" t="str">
        <f>估价对象房地状况!G16</f>
        <v>估价对象周边道路状况、公共交通通达情况、停车便捷程度，综合评价交通便捷度较好</v>
      </c>
      <c r="C81" s="1049"/>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400"/>
      <c r="AD81" s="1399"/>
      <c r="AJ81" s="1398"/>
      <c r="AN81" s="1399"/>
    </row>
    <row r="82" spans="1:40" ht="24">
      <c r="A82" s="1062" t="s">
        <v>1021</v>
      </c>
      <c r="B82" s="2367">
        <f>估价对象房地状况!G17</f>
        <v>0</v>
      </c>
      <c r="C82" s="1049"/>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400"/>
      <c r="AD82" s="1399"/>
      <c r="AJ82" s="1398"/>
      <c r="AN82" s="1399"/>
    </row>
    <row r="83" spans="1:40" ht="14.25">
      <c r="A83" s="1062" t="s">
        <v>1033</v>
      </c>
      <c r="B83" s="2367">
        <f>估价对象房地状况!G22</f>
        <v>0</v>
      </c>
      <c r="C83" s="1049"/>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400"/>
      <c r="AD83" s="1399"/>
      <c r="AJ83" s="1398"/>
      <c r="AN83" s="1399"/>
    </row>
    <row r="84" spans="1:40" ht="24">
      <c r="A84" s="1062" t="s">
        <v>1025</v>
      </c>
      <c r="B84" s="2368" t="str">
        <f>估价对象房地状况!G19</f>
        <v>估价对象所在区域公共配套设施齐备情况</v>
      </c>
      <c r="C84" s="1049"/>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400"/>
      <c r="AD84" s="1399"/>
      <c r="AJ84" s="1398"/>
      <c r="AN84" s="1399"/>
    </row>
    <row r="85" spans="1:40" ht="24">
      <c r="A85" s="1062" t="s">
        <v>1026</v>
      </c>
      <c r="B85" s="2368" t="str">
        <f>估价对象房地状况!G20</f>
        <v>估价对象所在区域基础设施水平</v>
      </c>
      <c r="C85" s="1049"/>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400"/>
      <c r="AD85" s="1399"/>
      <c r="AJ85" s="1398"/>
      <c r="AN85" s="1399"/>
    </row>
    <row r="86" spans="1:40" ht="24">
      <c r="A86" s="1062" t="s">
        <v>1024</v>
      </c>
      <c r="B86" s="3039" t="s">
        <v>2927</v>
      </c>
      <c r="C86" s="1049"/>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400"/>
      <c r="AD86" s="1399"/>
      <c r="AJ86" s="1398"/>
      <c r="AN86" s="1399"/>
    </row>
    <row r="87" spans="1:40" ht="36.75" thickBot="1">
      <c r="A87" s="2400" t="s">
        <v>1037</v>
      </c>
      <c r="B87" s="2369" t="str">
        <f>估价对象房地状况!G18</f>
        <v>该园区内是否有污染型企业，绿化情况，卫生条件，整体环境状况判断</v>
      </c>
      <c r="C87" s="1049"/>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400"/>
      <c r="AD87" s="1399"/>
      <c r="AJ87" s="1398"/>
      <c r="AN87" s="1399"/>
    </row>
    <row r="90" spans="1:40">
      <c r="A90" s="3539" t="s">
        <v>1632</v>
      </c>
      <c r="B90" s="3539"/>
      <c r="C90" s="3539"/>
      <c r="D90" s="3539"/>
      <c r="E90" s="3539"/>
      <c r="F90" s="3539"/>
      <c r="G90" s="3539"/>
      <c r="H90" s="3539"/>
      <c r="I90" s="3539"/>
      <c r="J90" s="3539"/>
      <c r="K90" s="2409"/>
      <c r="L90" s="2409"/>
      <c r="M90" s="2409"/>
      <c r="N90" s="2409"/>
    </row>
    <row r="91" spans="1:40">
      <c r="A91" s="3540" t="s">
        <v>1442</v>
      </c>
      <c r="B91" s="3540" t="s">
        <v>1633</v>
      </c>
      <c r="C91" s="1135" t="s">
        <v>1634</v>
      </c>
      <c r="D91" s="1136"/>
      <c r="E91" s="1136"/>
      <c r="F91" s="1136"/>
      <c r="G91" s="1136"/>
      <c r="H91" s="1136"/>
      <c r="I91" s="1136"/>
      <c r="J91" s="1137"/>
      <c r="K91" s="1129"/>
      <c r="L91" s="1129"/>
      <c r="M91" s="1129"/>
      <c r="N91" s="1129"/>
    </row>
    <row r="92" spans="1:40">
      <c r="A92" s="3540"/>
      <c r="B92" s="3540"/>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547"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4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4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4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4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4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48"/>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4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47" t="s">
        <v>1636</v>
      </c>
      <c r="B101" s="1142" t="s">
        <v>905</v>
      </c>
      <c r="C101" s="1143">
        <f>$G$3</f>
        <v>3.07</v>
      </c>
      <c r="D101" s="1143">
        <f t="shared" ref="D101:N101" si="31">$G$3</f>
        <v>3.07</v>
      </c>
      <c r="E101" s="1143">
        <f t="shared" si="31"/>
        <v>3.07</v>
      </c>
      <c r="F101" s="1143">
        <f t="shared" si="31"/>
        <v>3.07</v>
      </c>
      <c r="G101" s="1143">
        <f t="shared" si="31"/>
        <v>3.07</v>
      </c>
      <c r="H101" s="1143">
        <f t="shared" si="31"/>
        <v>3.07</v>
      </c>
      <c r="I101" s="1143">
        <f t="shared" si="31"/>
        <v>3.07</v>
      </c>
      <c r="J101" s="1143">
        <f t="shared" si="31"/>
        <v>3.07</v>
      </c>
      <c r="K101" s="1143">
        <f t="shared" si="31"/>
        <v>3.07</v>
      </c>
      <c r="L101" s="1143">
        <f t="shared" si="31"/>
        <v>3.07</v>
      </c>
      <c r="M101" s="1143">
        <f t="shared" si="31"/>
        <v>3.07</v>
      </c>
      <c r="N101" s="1143">
        <f t="shared" si="31"/>
        <v>3.07</v>
      </c>
    </row>
    <row r="102" spans="1:14">
      <c r="A102" s="3548"/>
      <c r="B102" s="1138">
        <v>1</v>
      </c>
      <c r="C102" s="1139">
        <f>1.9362/C101</f>
        <v>0.6306840390879479</v>
      </c>
      <c r="D102" s="1139">
        <f>1.9362/D101</f>
        <v>0.6306840390879479</v>
      </c>
      <c r="E102" s="1139">
        <f>1.8629/E101</f>
        <v>0.60680781758957658</v>
      </c>
      <c r="F102" s="1139">
        <f>1.8629/F101</f>
        <v>0.60680781758957658</v>
      </c>
      <c r="G102" s="1139">
        <f>1.8629/G101</f>
        <v>0.60680781758957658</v>
      </c>
      <c r="H102" s="1139">
        <f>1.8629/H101</f>
        <v>0.60680781758957658</v>
      </c>
      <c r="I102" s="1139">
        <f>1.8629/I101</f>
        <v>0.60680781758957658</v>
      </c>
      <c r="J102" s="1139">
        <f>1.942/J101</f>
        <v>0.63257328990228012</v>
      </c>
      <c r="K102" s="1139">
        <f>1.942/K101</f>
        <v>0.63257328990228012</v>
      </c>
      <c r="L102" s="1139">
        <f>1.942/L101</f>
        <v>0.63257328990228012</v>
      </c>
      <c r="M102" s="1139">
        <f>1.942/M101</f>
        <v>0.63257328990228012</v>
      </c>
      <c r="N102" s="1139">
        <f>1.942/N101</f>
        <v>0.63257328990228012</v>
      </c>
    </row>
    <row r="103" spans="1:14">
      <c r="A103" s="3548"/>
      <c r="B103" s="1138">
        <v>2</v>
      </c>
      <c r="C103" s="1139">
        <f>1.4198/C101</f>
        <v>0.46247557003257328</v>
      </c>
      <c r="D103" s="1139">
        <f>1.4198/D101</f>
        <v>0.46247557003257328</v>
      </c>
      <c r="E103" s="1139">
        <f>1.3372/E101</f>
        <v>0.43557003257328991</v>
      </c>
      <c r="F103" s="1139">
        <f>1.3372/F101</f>
        <v>0.43557003257328991</v>
      </c>
      <c r="G103" s="1139">
        <f>1.3372/G101</f>
        <v>0.43557003257328991</v>
      </c>
      <c r="H103" s="1139">
        <f>1.3372/H101</f>
        <v>0.43557003257328991</v>
      </c>
      <c r="I103" s="1139">
        <f>1.3372/I101</f>
        <v>0.43557003257328991</v>
      </c>
      <c r="J103" s="1139">
        <f>1.2799/J101</f>
        <v>0.41690553745928344</v>
      </c>
      <c r="K103" s="1139">
        <f>1.2799/K101</f>
        <v>0.41690553745928344</v>
      </c>
      <c r="L103" s="1139">
        <f>1.2799/L101</f>
        <v>0.41690553745928344</v>
      </c>
      <c r="M103" s="1139">
        <f>1.2799/M101</f>
        <v>0.41690553745928344</v>
      </c>
      <c r="N103" s="1139">
        <f>1.2799/N101</f>
        <v>0.41690553745928344</v>
      </c>
    </row>
    <row r="104" spans="1:14">
      <c r="A104" s="3548"/>
      <c r="B104" s="1138">
        <v>3</v>
      </c>
      <c r="C104" s="1139">
        <f>1.1594/C101</f>
        <v>0.37765472312703585</v>
      </c>
      <c r="D104" s="1139">
        <f>1.1594/D101</f>
        <v>0.37765472312703585</v>
      </c>
      <c r="E104" s="1139">
        <f>1.0788/E101</f>
        <v>0.35140065146579808</v>
      </c>
      <c r="F104" s="1139">
        <f>1.0788/F101</f>
        <v>0.35140065146579808</v>
      </c>
      <c r="G104" s="1139">
        <f>1.0788/G101</f>
        <v>0.35140065146579808</v>
      </c>
      <c r="H104" s="1139">
        <f>1.0788/H101</f>
        <v>0.35140065146579808</v>
      </c>
      <c r="I104" s="1139">
        <f>1.0788/I101</f>
        <v>0.35140065146579808</v>
      </c>
      <c r="J104" s="1139">
        <f>1.0072/J101</f>
        <v>0.32807817589576554</v>
      </c>
      <c r="K104" s="1139">
        <f>1.0072/K101</f>
        <v>0.32807817589576554</v>
      </c>
      <c r="L104" s="1139">
        <f>1.0072/L101</f>
        <v>0.32807817589576554</v>
      </c>
      <c r="M104" s="1139">
        <f>1.0072/M101</f>
        <v>0.32807817589576554</v>
      </c>
      <c r="N104" s="1139">
        <f>1.0072/N101</f>
        <v>0.32807817589576554</v>
      </c>
    </row>
    <row r="105" spans="1:14">
      <c r="A105" s="3548"/>
      <c r="B105" s="1138">
        <v>4</v>
      </c>
      <c r="C105" s="1139">
        <f>0.9622/C101</f>
        <v>0.31342019543973942</v>
      </c>
      <c r="D105" s="1139">
        <f>0.9622/D101</f>
        <v>0.31342019543973942</v>
      </c>
      <c r="E105" s="1139">
        <f>0.8656/E101</f>
        <v>0.28195439739413686</v>
      </c>
      <c r="F105" s="1139">
        <f>0.8656/F101</f>
        <v>0.28195439739413686</v>
      </c>
      <c r="G105" s="1139">
        <f>0.8656/G101</f>
        <v>0.28195439739413686</v>
      </c>
      <c r="H105" s="1139">
        <f>0.8656/H101</f>
        <v>0.28195439739413686</v>
      </c>
      <c r="I105" s="1139">
        <f>0.8656/I101</f>
        <v>0.28195439739413686</v>
      </c>
      <c r="J105" s="1139">
        <f>0.7525/J101</f>
        <v>0.24511400651465798</v>
      </c>
      <c r="K105" s="1139">
        <f>0.7525/K101</f>
        <v>0.24511400651465798</v>
      </c>
      <c r="L105" s="1139">
        <f>0.7525/L101</f>
        <v>0.24511400651465798</v>
      </c>
      <c r="M105" s="1139">
        <f>0.7525/M101</f>
        <v>0.24511400651465798</v>
      </c>
      <c r="N105" s="1139">
        <f>0.7525/N101</f>
        <v>0.24511400651465798</v>
      </c>
    </row>
    <row r="106" spans="1:14">
      <c r="A106" s="3548"/>
      <c r="B106" s="1138">
        <v>5</v>
      </c>
      <c r="C106" s="1139">
        <f>0.8417/C101</f>
        <v>0.27416938110749189</v>
      </c>
      <c r="D106" s="1139">
        <f>0.8417/D101</f>
        <v>0.27416938110749189</v>
      </c>
      <c r="E106" s="1139">
        <f>0.7371/E101</f>
        <v>0.24009771986970685</v>
      </c>
      <c r="F106" s="1139">
        <f>0.7371/F101</f>
        <v>0.24009771986970685</v>
      </c>
      <c r="G106" s="1139">
        <f>0.7371/G101</f>
        <v>0.24009771986970685</v>
      </c>
      <c r="H106" s="1139">
        <f>0.7371/H101</f>
        <v>0.24009771986970685</v>
      </c>
      <c r="I106" s="1139">
        <f>0.7371/I101</f>
        <v>0.24009771986970685</v>
      </c>
      <c r="J106" s="1139">
        <f>0.5659/J101</f>
        <v>0.18433224755700325</v>
      </c>
      <c r="K106" s="1139">
        <f>0.5659/K101</f>
        <v>0.18433224755700325</v>
      </c>
      <c r="L106" s="1139">
        <f>0.5659/L101</f>
        <v>0.18433224755700325</v>
      </c>
      <c r="M106" s="1139">
        <f>0.5659/M101</f>
        <v>0.18433224755700325</v>
      </c>
      <c r="N106" s="1139">
        <f>0.5659/N101</f>
        <v>0.18433224755700325</v>
      </c>
    </row>
    <row r="107" spans="1:14">
      <c r="A107" s="3548"/>
      <c r="B107" s="1138">
        <v>6</v>
      </c>
      <c r="C107" s="1139">
        <f>0.7608/C101</f>
        <v>0.24781758957654726</v>
      </c>
      <c r="D107" s="1139">
        <f>0.7608/D101</f>
        <v>0.24781758957654726</v>
      </c>
      <c r="E107" s="1139">
        <f>0.6482/E101</f>
        <v>0.21114006514657982</v>
      </c>
      <c r="F107" s="1139">
        <f>0.6482/F101</f>
        <v>0.21114006514657982</v>
      </c>
      <c r="G107" s="1139">
        <f>0.6482/G101</f>
        <v>0.21114006514657982</v>
      </c>
      <c r="H107" s="1139">
        <f>0.6482/H101</f>
        <v>0.21114006514657982</v>
      </c>
      <c r="I107" s="1139">
        <f>0.6482/I101</f>
        <v>0.21114006514657982</v>
      </c>
      <c r="J107" s="1139">
        <f>0.4525/J101</f>
        <v>0.1473941368078176</v>
      </c>
      <c r="K107" s="1139">
        <f>0.4525/K101</f>
        <v>0.1473941368078176</v>
      </c>
      <c r="L107" s="1139">
        <f>0.4525/L101</f>
        <v>0.1473941368078176</v>
      </c>
      <c r="M107" s="1139">
        <f>0.4525/M101</f>
        <v>0.1473941368078176</v>
      </c>
      <c r="N107" s="1139">
        <f>0.4525/N101</f>
        <v>0.1473941368078176</v>
      </c>
    </row>
    <row r="108" spans="1:14">
      <c r="A108" s="3548"/>
      <c r="B108" s="3550"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49"/>
      <c r="B109" s="3551"/>
      <c r="C109" s="1141">
        <f>(-0.163*(C108^2)-0.59*C108+7617)*(10^(-4))/C101</f>
        <v>0.24761719869706841</v>
      </c>
      <c r="D109" s="1141">
        <f>(-0.163*(D108^2)-0.59*D108+7617)*(10^(-4))/D101</f>
        <v>0.24761719869706841</v>
      </c>
      <c r="E109" s="1141">
        <f>(-0.161*(E108^2)-7.509*E108+6533)*(10^(-4))/E101</f>
        <v>0.21050892508143323</v>
      </c>
      <c r="F109" s="1141">
        <f>(-0.161*(F108^2)-7.509*F108+6533)*(10^(-4))/F101</f>
        <v>0.21050892508143323</v>
      </c>
      <c r="G109" s="1141">
        <f>(-0.161*(G108^2)-7.509*G108+6533)*(10^(-4))/G101</f>
        <v>0.21050892508143323</v>
      </c>
      <c r="H109" s="1141">
        <f>(-0.161*(H108^2)-7.509*H108+6533)*(10^(-4))/H101</f>
        <v>0.21050892508143323</v>
      </c>
      <c r="I109" s="1141">
        <f>(-0.161*(I108^2)-7.509*I108+6533)*(10^(-4))/I101</f>
        <v>0.21050892508143323</v>
      </c>
      <c r="J109" s="1141">
        <f>(-0.214*(J108^2)-21.991*J108+4665)*(10^(-4))/J101</f>
        <v>0.14577771986970686</v>
      </c>
      <c r="K109" s="1141">
        <f>(-0.214*(K108^2)-21.991*K108+4665)*(10^(-4))/K101</f>
        <v>0.14577771986970686</v>
      </c>
      <c r="L109" s="1141">
        <f>(-0.214*(L108^2)-21.991*L108+4665)*(10^(-4))/L101</f>
        <v>0.14577771986970686</v>
      </c>
      <c r="M109" s="1141">
        <f>(-0.214*(M108^2)-21.991*M108+4665)*(10^(-4))/M101</f>
        <v>0.14577771986970686</v>
      </c>
      <c r="N109" s="1141">
        <f>(-0.214*(N108^2)-21.991*N108+4665)*(10^(-4))/N101</f>
        <v>0.14577771986970686</v>
      </c>
    </row>
    <row r="110" spans="1:14">
      <c r="A110" s="3533" t="s">
        <v>1638</v>
      </c>
      <c r="B110" s="3533"/>
      <c r="C110" s="3533"/>
      <c r="D110" s="3533"/>
      <c r="E110" s="3533"/>
      <c r="F110" s="3533"/>
      <c r="G110" s="3533"/>
      <c r="H110" s="3533"/>
      <c r="I110" s="3533"/>
      <c r="J110" s="3533"/>
      <c r="K110" s="2407"/>
      <c r="L110" s="2407"/>
      <c r="M110" s="2407"/>
      <c r="N110" s="2407"/>
    </row>
    <row r="112" spans="1:14" ht="12.75" thickBot="1"/>
    <row r="113" spans="1:13" ht="25.5" thickBot="1">
      <c r="A113" s="1015" t="s">
        <v>895</v>
      </c>
      <c r="B113" s="2410">
        <f>G3</f>
        <v>3.07</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0.90459999999999996</v>
      </c>
      <c r="C115" s="1029">
        <f>B115</f>
        <v>0.90459999999999996</v>
      </c>
      <c r="D115" s="1029">
        <f>ROUND(0.8331-0.0109*B113,4)</f>
        <v>0.79959999999999998</v>
      </c>
      <c r="E115" s="1029">
        <f>D115</f>
        <v>0.79959999999999998</v>
      </c>
      <c r="F115" s="1029">
        <f>E115</f>
        <v>0.79959999999999998</v>
      </c>
      <c r="G115" s="1029">
        <f>F115</f>
        <v>0.79959999999999998</v>
      </c>
      <c r="H115" s="1029">
        <f>G115</f>
        <v>0.79959999999999998</v>
      </c>
      <c r="I115" s="1029">
        <f>ROUND(0.689-0.0155*B113,4)</f>
        <v>0.64139999999999997</v>
      </c>
      <c r="J115" s="1029">
        <f t="shared" ref="J115:M118" si="33">I115</f>
        <v>0.64139999999999997</v>
      </c>
      <c r="K115" s="1029">
        <f t="shared" si="33"/>
        <v>0.64139999999999997</v>
      </c>
      <c r="L115" s="1029">
        <f t="shared" si="33"/>
        <v>0.64139999999999997</v>
      </c>
      <c r="M115" s="1030">
        <f t="shared" si="33"/>
        <v>0.64139999999999997</v>
      </c>
    </row>
    <row r="116" spans="1:13" ht="12.75">
      <c r="A116" s="1028" t="s">
        <v>900</v>
      </c>
      <c r="B116" s="1029">
        <f>ROUND(0.949-0.012*B113,4)</f>
        <v>0.91220000000000001</v>
      </c>
      <c r="C116" s="1029">
        <f>B116</f>
        <v>0.91220000000000001</v>
      </c>
      <c r="D116" s="1029">
        <f>ROUND(0.8567-0.013*B113,4)</f>
        <v>0.81679999999999997</v>
      </c>
      <c r="E116" s="1029">
        <f t="shared" ref="E116:H117" si="34">D116</f>
        <v>0.81679999999999997</v>
      </c>
      <c r="F116" s="1029">
        <f t="shared" si="34"/>
        <v>0.81679999999999997</v>
      </c>
      <c r="G116" s="1029">
        <f t="shared" si="34"/>
        <v>0.81679999999999997</v>
      </c>
      <c r="H116" s="1029">
        <f t="shared" si="34"/>
        <v>0.81679999999999997</v>
      </c>
      <c r="I116" s="1029">
        <f>ROUND(0.7694-0.014*B113,4)</f>
        <v>0.72640000000000005</v>
      </c>
      <c r="J116" s="1029">
        <f t="shared" si="33"/>
        <v>0.72640000000000005</v>
      </c>
      <c r="K116" s="1029">
        <f t="shared" si="33"/>
        <v>0.72640000000000005</v>
      </c>
      <c r="L116" s="1029">
        <f t="shared" si="33"/>
        <v>0.72640000000000005</v>
      </c>
      <c r="M116" s="1030">
        <f t="shared" si="33"/>
        <v>0.72640000000000005</v>
      </c>
    </row>
    <row r="117" spans="1:13" ht="12.75">
      <c r="A117" s="1031" t="s">
        <v>901</v>
      </c>
      <c r="B117" s="1029">
        <f>ROUND(0.8808-0.006*B113,4)</f>
        <v>0.86240000000000006</v>
      </c>
      <c r="C117" s="1029">
        <f>B117</f>
        <v>0.86240000000000006</v>
      </c>
      <c r="D117" s="1029">
        <f>ROUND(0.8748-0.008*B113,4)</f>
        <v>0.85019999999999996</v>
      </c>
      <c r="E117" s="1029">
        <f t="shared" si="34"/>
        <v>0.85019999999999996</v>
      </c>
      <c r="F117" s="1029">
        <f t="shared" si="34"/>
        <v>0.85019999999999996</v>
      </c>
      <c r="G117" s="1029">
        <f t="shared" si="34"/>
        <v>0.85019999999999996</v>
      </c>
      <c r="H117" s="1029">
        <f t="shared" si="34"/>
        <v>0.85019999999999996</v>
      </c>
      <c r="I117" s="1029">
        <f>ROUND(0.7412-0.0095*B113,4)</f>
        <v>0.71199999999999997</v>
      </c>
      <c r="J117" s="1029">
        <f t="shared" si="33"/>
        <v>0.71199999999999997</v>
      </c>
      <c r="K117" s="1029">
        <f t="shared" si="33"/>
        <v>0.71199999999999997</v>
      </c>
      <c r="L117" s="1029">
        <f t="shared" si="33"/>
        <v>0.71199999999999997</v>
      </c>
      <c r="M117" s="1030">
        <f t="shared" si="33"/>
        <v>0.71199999999999997</v>
      </c>
    </row>
    <row r="118" spans="1:13" ht="13.5" thickBot="1">
      <c r="A118" s="1032" t="s">
        <v>902</v>
      </c>
      <c r="B118" s="1033">
        <f>ROUND(0.7275-0.01*B113,4)</f>
        <v>0.69679999999999997</v>
      </c>
      <c r="C118" s="1033">
        <f>B118</f>
        <v>0.69679999999999997</v>
      </c>
      <c r="D118" s="1033">
        <f>ROUND(0.7043-0.012*B113,4)</f>
        <v>0.66749999999999998</v>
      </c>
      <c r="E118" s="1033">
        <f>D118</f>
        <v>0.66749999999999998</v>
      </c>
      <c r="F118" s="1033">
        <f>E118</f>
        <v>0.66749999999999998</v>
      </c>
      <c r="G118" s="1033">
        <f>ROUND(0.6299-0.0122*B113,4)</f>
        <v>0.59240000000000004</v>
      </c>
      <c r="H118" s="1033">
        <f>G118</f>
        <v>0.59240000000000004</v>
      </c>
      <c r="I118" s="1033">
        <f>ROUND(0.5667-0.0136*B113,4)</f>
        <v>0.52490000000000003</v>
      </c>
      <c r="J118" s="1033">
        <f t="shared" si="33"/>
        <v>0.52490000000000003</v>
      </c>
      <c r="K118" s="1033">
        <f t="shared" si="33"/>
        <v>0.52490000000000003</v>
      </c>
      <c r="L118" s="1033">
        <f t="shared" si="33"/>
        <v>0.52490000000000003</v>
      </c>
      <c r="M118" s="1034">
        <f t="shared" si="33"/>
        <v>0.52490000000000003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3" customFormat="1" ht="19.5" customHeight="1">
      <c r="A18" s="3540" t="s">
        <v>1006</v>
      </c>
      <c r="B18" s="1149" t="s">
        <v>1445</v>
      </c>
      <c r="C18" s="1126" t="s">
        <v>1446</v>
      </c>
      <c r="D18" s="1127"/>
      <c r="E18" s="1149">
        <v>1</v>
      </c>
      <c r="F18" s="1128" t="s">
        <v>1447</v>
      </c>
      <c r="G18" s="1129"/>
      <c r="H18" s="1100"/>
      <c r="I18" s="1100"/>
    </row>
    <row r="19" spans="1:9" s="1583" customFormat="1" ht="19.5" customHeight="1">
      <c r="A19" s="3540"/>
      <c r="B19" s="3540" t="s">
        <v>1448</v>
      </c>
      <c r="C19" s="1126" t="s">
        <v>1449</v>
      </c>
      <c r="D19" s="1127"/>
      <c r="E19" s="1149">
        <v>0.9</v>
      </c>
      <c r="F19" s="1128" t="s">
        <v>1450</v>
      </c>
      <c r="G19" s="1129"/>
      <c r="H19" s="1100"/>
      <c r="I19" s="1100"/>
    </row>
    <row r="20" spans="1:9" s="1583" customFormat="1" ht="19.5" customHeight="1">
      <c r="A20" s="3540"/>
      <c r="B20" s="3540"/>
      <c r="C20" s="1126" t="s">
        <v>1451</v>
      </c>
      <c r="D20" s="1127"/>
      <c r="E20" s="1149">
        <v>1.1000000000000001</v>
      </c>
      <c r="F20" s="1128" t="s">
        <v>1452</v>
      </c>
      <c r="G20" s="1129"/>
      <c r="H20" s="1100"/>
      <c r="I20" s="1100"/>
    </row>
    <row r="21" spans="1:9" s="1583" customFormat="1" ht="19.5" customHeight="1">
      <c r="A21" s="3540"/>
      <c r="B21" s="3540"/>
      <c r="C21" s="1126" t="s">
        <v>1453</v>
      </c>
      <c r="D21" s="1127"/>
      <c r="E21" s="1149">
        <v>0.8</v>
      </c>
      <c r="F21" s="1128" t="s">
        <v>1454</v>
      </c>
      <c r="G21" s="1129"/>
      <c r="H21" s="1100"/>
      <c r="I21" s="1100"/>
    </row>
    <row r="22" spans="1:9" s="1583" customFormat="1" ht="19.5" customHeight="1">
      <c r="A22" s="3540"/>
      <c r="B22" s="3540"/>
      <c r="C22" s="1126" t="s">
        <v>1455</v>
      </c>
      <c r="D22" s="1127"/>
      <c r="E22" s="1149">
        <v>0.5</v>
      </c>
      <c r="F22" s="1128"/>
      <c r="G22" s="1129"/>
      <c r="H22" s="1100"/>
      <c r="I22" s="1100"/>
    </row>
    <row r="23" spans="1:9" s="1583" customFormat="1" ht="19.5" customHeight="1">
      <c r="A23" s="3540" t="s">
        <v>1028</v>
      </c>
      <c r="B23" s="1149" t="s">
        <v>1445</v>
      </c>
      <c r="C23" s="1126" t="s">
        <v>1456</v>
      </c>
      <c r="D23" s="1127"/>
      <c r="E23" s="1149">
        <v>1</v>
      </c>
      <c r="F23" s="1128" t="s">
        <v>1457</v>
      </c>
      <c r="G23" s="1129"/>
      <c r="H23" s="1100"/>
      <c r="I23" s="1100"/>
    </row>
    <row r="24" spans="1:9" s="1583" customFormat="1" ht="19.5" customHeight="1">
      <c r="A24" s="3540"/>
      <c r="B24" s="3540" t="s">
        <v>1448</v>
      </c>
      <c r="C24" s="1126" t="s">
        <v>1458</v>
      </c>
      <c r="D24" s="1127"/>
      <c r="E24" s="1149">
        <v>0.5</v>
      </c>
      <c r="F24" s="1128"/>
      <c r="G24" s="1129"/>
      <c r="H24" s="1100"/>
      <c r="I24" s="1100"/>
    </row>
    <row r="25" spans="1:9" s="1583" customFormat="1" ht="19.5" customHeight="1">
      <c r="A25" s="3540"/>
      <c r="B25" s="3540"/>
      <c r="C25" s="1126" t="s">
        <v>1459</v>
      </c>
      <c r="D25" s="1127"/>
      <c r="E25" s="1149">
        <v>1.1000000000000001</v>
      </c>
      <c r="F25" s="1128"/>
      <c r="G25" s="1129"/>
      <c r="H25" s="1100"/>
      <c r="I25" s="1100"/>
    </row>
    <row r="26" spans="1:9" s="1583" customFormat="1" ht="19.5" customHeight="1">
      <c r="A26" s="3540"/>
      <c r="B26" s="3540"/>
      <c r="C26" s="1126" t="s">
        <v>1460</v>
      </c>
      <c r="D26" s="1127"/>
      <c r="E26" s="1149">
        <v>1.1000000000000001</v>
      </c>
      <c r="F26" s="1128"/>
      <c r="G26" s="1129"/>
      <c r="H26" s="1100"/>
      <c r="I26" s="1100"/>
    </row>
    <row r="27" spans="1:9" s="1583" customFormat="1" ht="19.5" customHeight="1">
      <c r="A27" s="3540"/>
      <c r="B27" s="3540"/>
      <c r="C27" s="1126" t="s">
        <v>1461</v>
      </c>
      <c r="D27" s="1127"/>
      <c r="E27" s="1149">
        <v>0.9</v>
      </c>
      <c r="F27" s="1128" t="s">
        <v>1462</v>
      </c>
      <c r="G27" s="1129"/>
      <c r="H27" s="1100"/>
      <c r="I27" s="1100"/>
    </row>
    <row r="28" spans="1:9" s="1583" customFormat="1" ht="19.5" customHeight="1">
      <c r="A28" s="3540"/>
      <c r="B28" s="3540"/>
      <c r="C28" s="1126" t="s">
        <v>1463</v>
      </c>
      <c r="D28" s="1127"/>
      <c r="E28" s="1149">
        <v>0.9</v>
      </c>
      <c r="F28" s="1128" t="s">
        <v>1464</v>
      </c>
      <c r="G28" s="1129"/>
      <c r="H28" s="1100"/>
      <c r="I28" s="1100"/>
    </row>
    <row r="29" spans="1:9" s="1583" customFormat="1" ht="19.5" customHeight="1">
      <c r="A29" s="3540"/>
      <c r="B29" s="3540"/>
      <c r="C29" s="1126" t="s">
        <v>1465</v>
      </c>
      <c r="D29" s="1127"/>
      <c r="E29" s="1149">
        <v>0.9</v>
      </c>
      <c r="F29" s="1128" t="s">
        <v>1466</v>
      </c>
      <c r="G29" s="1129"/>
      <c r="H29" s="1100"/>
      <c r="I29" s="1100"/>
    </row>
    <row r="30" spans="1:9" s="1583" customFormat="1" ht="19.5" customHeight="1">
      <c r="A30" s="3540"/>
      <c r="B30" s="3540"/>
      <c r="C30" s="1126" t="s">
        <v>1467</v>
      </c>
      <c r="D30" s="1127"/>
      <c r="E30" s="1149">
        <v>0.9</v>
      </c>
      <c r="F30" s="1128" t="s">
        <v>1468</v>
      </c>
      <c r="G30" s="1129"/>
      <c r="H30" s="1100"/>
      <c r="I30" s="1100"/>
    </row>
    <row r="31" spans="1:9" s="1583" customFormat="1" ht="19.5" customHeight="1">
      <c r="A31" s="3540"/>
      <c r="B31" s="3540"/>
      <c r="C31" s="1126" t="s">
        <v>1469</v>
      </c>
      <c r="D31" s="1127"/>
      <c r="E31" s="1149">
        <v>0.8</v>
      </c>
      <c r="F31" s="1128" t="s">
        <v>1470</v>
      </c>
      <c r="G31" s="1129"/>
      <c r="H31" s="1100"/>
      <c r="I31" s="1100"/>
    </row>
    <row r="32" spans="1:9" s="1583" customFormat="1" ht="19.5" customHeight="1">
      <c r="A32" s="3540"/>
      <c r="B32" s="3540"/>
      <c r="C32" s="1126" t="s">
        <v>1471</v>
      </c>
      <c r="D32" s="1127"/>
      <c r="E32" s="1149">
        <v>0.8</v>
      </c>
      <c r="F32" s="1128" t="s">
        <v>1472</v>
      </c>
      <c r="G32" s="1129"/>
      <c r="H32" s="1100"/>
      <c r="I32" s="1100"/>
    </row>
    <row r="33" spans="1:9" s="1583" customFormat="1" ht="19.5" customHeight="1">
      <c r="A33" s="3540" t="s">
        <v>1473</v>
      </c>
      <c r="B33" s="1149" t="s">
        <v>1445</v>
      </c>
      <c r="C33" s="1126" t="s">
        <v>1474</v>
      </c>
      <c r="D33" s="1127"/>
      <c r="E33" s="1149">
        <v>1</v>
      </c>
      <c r="F33" s="1128" t="s">
        <v>1475</v>
      </c>
      <c r="G33" s="1129"/>
      <c r="H33" s="1100"/>
      <c r="I33" s="1100"/>
    </row>
    <row r="34" spans="1:9" s="1583" customFormat="1" ht="19.5" customHeight="1">
      <c r="A34" s="3540"/>
      <c r="B34" s="1149" t="s">
        <v>1448</v>
      </c>
      <c r="C34" s="1126" t="s">
        <v>1476</v>
      </c>
      <c r="D34" s="1127"/>
      <c r="E34" s="1149">
        <v>1.5</v>
      </c>
      <c r="F34" s="1128" t="s">
        <v>1477</v>
      </c>
      <c r="G34" s="1129"/>
      <c r="H34" s="1100"/>
      <c r="I34" s="1100"/>
    </row>
    <row r="35" spans="1:9" s="1583" customFormat="1" ht="19.5" customHeight="1">
      <c r="A35" s="3540" t="s">
        <v>1431</v>
      </c>
      <c r="B35" s="1149" t="s">
        <v>1445</v>
      </c>
      <c r="C35" s="1126" t="s">
        <v>1478</v>
      </c>
      <c r="D35" s="1127"/>
      <c r="E35" s="1149">
        <v>1</v>
      </c>
      <c r="F35" s="1128" t="s">
        <v>1479</v>
      </c>
      <c r="G35" s="1129"/>
      <c r="H35" s="1100"/>
      <c r="I35" s="1100"/>
    </row>
    <row r="36" spans="1:9" s="1583" customFormat="1" ht="19.5" customHeight="1">
      <c r="A36" s="3540"/>
      <c r="B36" s="3540" t="s">
        <v>1448</v>
      </c>
      <c r="C36" s="1126" t="s">
        <v>1480</v>
      </c>
      <c r="D36" s="1127"/>
      <c r="E36" s="1149">
        <v>1</v>
      </c>
      <c r="F36" s="1128" t="s">
        <v>1481</v>
      </c>
      <c r="G36" s="1129"/>
      <c r="H36" s="1100"/>
      <c r="I36" s="1100"/>
    </row>
    <row r="37" spans="1:9" s="1583" customFormat="1" ht="19.5" customHeight="1">
      <c r="A37" s="3540"/>
      <c r="B37" s="3540"/>
      <c r="C37" s="1126" t="s">
        <v>1482</v>
      </c>
      <c r="D37" s="1127"/>
      <c r="E37" s="1149">
        <v>1.5</v>
      </c>
      <c r="F37" s="1128" t="s">
        <v>1483</v>
      </c>
      <c r="G37" s="1129"/>
      <c r="H37" s="1100"/>
      <c r="I37" s="1100"/>
    </row>
    <row r="38" spans="1:9" s="1583" customFormat="1" ht="19.5" customHeight="1">
      <c r="A38" s="3540"/>
      <c r="B38" s="3540"/>
      <c r="C38" s="1126" t="s">
        <v>1484</v>
      </c>
      <c r="D38" s="1127"/>
      <c r="E38" s="1149">
        <v>1</v>
      </c>
      <c r="F38" s="1128" t="s">
        <v>1485</v>
      </c>
      <c r="G38" s="1129"/>
      <c r="H38" s="1100"/>
      <c r="I38" s="1100"/>
    </row>
    <row r="39" spans="1:9" s="1583" customFormat="1" ht="19.5" customHeight="1">
      <c r="A39" s="3540"/>
      <c r="B39" s="3540"/>
      <c r="C39" s="1126" t="s">
        <v>1486</v>
      </c>
      <c r="D39" s="1127"/>
      <c r="E39" s="1149">
        <v>1</v>
      </c>
      <c r="F39" s="1128" t="s">
        <v>1487</v>
      </c>
      <c r="G39" s="1129"/>
      <c r="H39" s="1100"/>
      <c r="I39" s="1100"/>
    </row>
    <row r="40" spans="1:9" s="1583" customFormat="1" ht="19.5" customHeight="1">
      <c r="A40" s="1584" t="s">
        <v>1488</v>
      </c>
      <c r="B40" s="1584"/>
      <c r="C40" s="1584"/>
      <c r="D40" s="1584"/>
      <c r="E40" s="1584"/>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0" t="s">
        <v>1500</v>
      </c>
      <c r="C61" s="1063" t="s">
        <v>1501</v>
      </c>
      <c r="D61" s="1063" t="s">
        <v>1502</v>
      </c>
      <c r="E61" s="1134">
        <v>0.5</v>
      </c>
      <c r="F61" s="1149">
        <v>80</v>
      </c>
      <c r="H61" s="1100">
        <f>SUMIF(C59:C119,基准地价!C8,E59:E119)</f>
        <v>0</v>
      </c>
    </row>
    <row r="62" spans="1:8" s="1100" customFormat="1" ht="24">
      <c r="A62" s="1149">
        <v>2</v>
      </c>
      <c r="B62" s="3540"/>
      <c r="C62" s="1063" t="s">
        <v>1503</v>
      </c>
      <c r="D62" s="1063" t="s">
        <v>1504</v>
      </c>
      <c r="E62" s="1134">
        <v>0.5</v>
      </c>
      <c r="F62" s="1149">
        <v>80</v>
      </c>
    </row>
    <row r="63" spans="1:8" s="1100" customFormat="1" ht="36">
      <c r="A63" s="1149">
        <v>3</v>
      </c>
      <c r="B63" s="3540"/>
      <c r="C63" s="1063" t="s">
        <v>1505</v>
      </c>
      <c r="D63" s="1063" t="s">
        <v>1506</v>
      </c>
      <c r="E63" s="1134">
        <v>0.5</v>
      </c>
      <c r="F63" s="1149">
        <v>80</v>
      </c>
    </row>
    <row r="64" spans="1:8" s="1100" customFormat="1" ht="36">
      <c r="A64" s="1149">
        <v>4</v>
      </c>
      <c r="B64" s="3540"/>
      <c r="C64" s="1063" t="s">
        <v>1507</v>
      </c>
      <c r="D64" s="1063" t="s">
        <v>1508</v>
      </c>
      <c r="E64" s="1134">
        <v>0.4</v>
      </c>
      <c r="F64" s="1149">
        <v>60</v>
      </c>
    </row>
    <row r="65" spans="1:6" s="1100" customFormat="1" ht="36">
      <c r="A65" s="1149">
        <v>5</v>
      </c>
      <c r="B65" s="3540"/>
      <c r="C65" s="1063" t="s">
        <v>1509</v>
      </c>
      <c r="D65" s="1063" t="s">
        <v>1510</v>
      </c>
      <c r="E65" s="1134">
        <v>0.2</v>
      </c>
      <c r="F65" s="1149">
        <v>30</v>
      </c>
    </row>
    <row r="66" spans="1:6" s="1100" customFormat="1" ht="36">
      <c r="A66" s="1149">
        <v>6</v>
      </c>
      <c r="B66" s="3540"/>
      <c r="C66" s="1063" t="s">
        <v>1511</v>
      </c>
      <c r="D66" s="1063" t="s">
        <v>1512</v>
      </c>
      <c r="E66" s="1134">
        <v>0.3</v>
      </c>
      <c r="F66" s="1149">
        <v>50</v>
      </c>
    </row>
    <row r="67" spans="1:6" s="1100" customFormat="1" ht="36">
      <c r="A67" s="1149">
        <v>7</v>
      </c>
      <c r="B67" s="3540"/>
      <c r="C67" s="1063" t="s">
        <v>1513</v>
      </c>
      <c r="D67" s="1063" t="s">
        <v>1514</v>
      </c>
      <c r="E67" s="1134">
        <v>0.2</v>
      </c>
      <c r="F67" s="1149">
        <v>30</v>
      </c>
    </row>
    <row r="68" spans="1:6" s="1100" customFormat="1" ht="36">
      <c r="A68" s="1149">
        <v>8</v>
      </c>
      <c r="B68" s="3540"/>
      <c r="C68" s="1063" t="s">
        <v>1515</v>
      </c>
      <c r="D68" s="1063" t="s">
        <v>1516</v>
      </c>
      <c r="E68" s="1134">
        <v>0.2</v>
      </c>
      <c r="F68" s="1149">
        <v>30</v>
      </c>
    </row>
    <row r="69" spans="1:6" s="1100" customFormat="1" ht="36">
      <c r="A69" s="1149">
        <v>9</v>
      </c>
      <c r="B69" s="3540"/>
      <c r="C69" s="1063" t="s">
        <v>1517</v>
      </c>
      <c r="D69" s="1063" t="s">
        <v>1518</v>
      </c>
      <c r="E69" s="1134">
        <v>0.2</v>
      </c>
      <c r="F69" s="1149">
        <v>30</v>
      </c>
    </row>
    <row r="70" spans="1:6" s="1100" customFormat="1" ht="48">
      <c r="A70" s="1149">
        <v>10</v>
      </c>
      <c r="B70" s="3540"/>
      <c r="C70" s="1063" t="s">
        <v>1519</v>
      </c>
      <c r="D70" s="1063" t="s">
        <v>1520</v>
      </c>
      <c r="E70" s="1134">
        <v>0.2</v>
      </c>
      <c r="F70" s="1149">
        <v>30</v>
      </c>
    </row>
    <row r="71" spans="1:6" s="1100" customFormat="1" ht="48">
      <c r="A71" s="1149">
        <v>11</v>
      </c>
      <c r="B71" s="3540"/>
      <c r="C71" s="1063" t="s">
        <v>1521</v>
      </c>
      <c r="D71" s="1063" t="s">
        <v>1522</v>
      </c>
      <c r="E71" s="1134">
        <v>0.2</v>
      </c>
      <c r="F71" s="1149">
        <v>30</v>
      </c>
    </row>
    <row r="72" spans="1:6" s="1100" customFormat="1" ht="36">
      <c r="A72" s="1149">
        <v>12</v>
      </c>
      <c r="B72" s="3540"/>
      <c r="C72" s="1063" t="s">
        <v>1523</v>
      </c>
      <c r="D72" s="1063" t="s">
        <v>1524</v>
      </c>
      <c r="E72" s="1134">
        <v>0.5</v>
      </c>
      <c r="F72" s="1149">
        <v>80</v>
      </c>
    </row>
    <row r="73" spans="1:6" s="1100" customFormat="1" ht="24">
      <c r="A73" s="1149">
        <v>13</v>
      </c>
      <c r="B73" s="3540"/>
      <c r="C73" s="1063" t="s">
        <v>1525</v>
      </c>
      <c r="D73" s="1063" t="s">
        <v>1526</v>
      </c>
      <c r="E73" s="1134">
        <v>0.4</v>
      </c>
      <c r="F73" s="1149">
        <v>60</v>
      </c>
    </row>
    <row r="74" spans="1:6" s="1100" customFormat="1" ht="24">
      <c r="A74" s="1149">
        <v>14</v>
      </c>
      <c r="B74" s="3540"/>
      <c r="C74" s="1063" t="s">
        <v>1527</v>
      </c>
      <c r="D74" s="1063" t="s">
        <v>1528</v>
      </c>
      <c r="E74" s="1134">
        <v>0.2</v>
      </c>
      <c r="F74" s="1149">
        <v>30</v>
      </c>
    </row>
    <row r="75" spans="1:6" s="1100" customFormat="1" ht="24">
      <c r="A75" s="1149">
        <v>15</v>
      </c>
      <c r="B75" s="3540"/>
      <c r="C75" s="1063" t="s">
        <v>1529</v>
      </c>
      <c r="D75" s="1063" t="s">
        <v>1530</v>
      </c>
      <c r="E75" s="1134">
        <v>0.2</v>
      </c>
      <c r="F75" s="1149">
        <v>30</v>
      </c>
    </row>
    <row r="76" spans="1:6" s="1100" customFormat="1" ht="24">
      <c r="A76" s="1149">
        <v>16</v>
      </c>
      <c r="B76" s="3540" t="s">
        <v>1531</v>
      </c>
      <c r="C76" s="1063" t="s">
        <v>1532</v>
      </c>
      <c r="D76" s="1063" t="s">
        <v>1533</v>
      </c>
      <c r="E76" s="1134">
        <v>0.5</v>
      </c>
      <c r="F76" s="1149">
        <v>80</v>
      </c>
    </row>
    <row r="77" spans="1:6" s="1100" customFormat="1" ht="24">
      <c r="A77" s="1149">
        <v>17</v>
      </c>
      <c r="B77" s="3540"/>
      <c r="C77" s="1063" t="s">
        <v>1534</v>
      </c>
      <c r="D77" s="1063" t="s">
        <v>1535</v>
      </c>
      <c r="E77" s="1134">
        <v>0.5</v>
      </c>
      <c r="F77" s="1149">
        <v>80</v>
      </c>
    </row>
    <row r="78" spans="1:6" s="1100" customFormat="1" ht="24">
      <c r="A78" s="1149">
        <v>18</v>
      </c>
      <c r="B78" s="3540"/>
      <c r="C78" s="1063" t="s">
        <v>1536</v>
      </c>
      <c r="D78" s="1063" t="s">
        <v>1537</v>
      </c>
      <c r="E78" s="1134">
        <v>0.2</v>
      </c>
      <c r="F78" s="1149">
        <v>30</v>
      </c>
    </row>
    <row r="79" spans="1:6" s="1100" customFormat="1" ht="24">
      <c r="A79" s="1149">
        <v>19</v>
      </c>
      <c r="B79" s="3540"/>
      <c r="C79" s="1063" t="s">
        <v>1538</v>
      </c>
      <c r="D79" s="1063" t="s">
        <v>1539</v>
      </c>
      <c r="E79" s="1134">
        <v>0.5</v>
      </c>
      <c r="F79" s="1149">
        <v>80</v>
      </c>
    </row>
    <row r="80" spans="1:6" s="1100" customFormat="1" ht="36">
      <c r="A80" s="1149">
        <v>20</v>
      </c>
      <c r="B80" s="3540"/>
      <c r="C80" s="1063" t="s">
        <v>1540</v>
      </c>
      <c r="D80" s="1063" t="s">
        <v>1541</v>
      </c>
      <c r="E80" s="1134">
        <v>0.2</v>
      </c>
      <c r="F80" s="1149">
        <v>30</v>
      </c>
    </row>
    <row r="81" spans="1:6" s="1100" customFormat="1" ht="36">
      <c r="A81" s="1149">
        <v>21</v>
      </c>
      <c r="B81" s="3540"/>
      <c r="C81" s="1063" t="s">
        <v>1542</v>
      </c>
      <c r="D81" s="1063" t="s">
        <v>1543</v>
      </c>
      <c r="E81" s="1134">
        <v>0.2</v>
      </c>
      <c r="F81" s="1149">
        <v>30</v>
      </c>
    </row>
    <row r="82" spans="1:6" s="1100" customFormat="1" ht="48">
      <c r="A82" s="1149">
        <v>22</v>
      </c>
      <c r="B82" s="3540"/>
      <c r="C82" s="1063" t="s">
        <v>1544</v>
      </c>
      <c r="D82" s="1063" t="s">
        <v>1545</v>
      </c>
      <c r="E82" s="1134">
        <v>0.2</v>
      </c>
      <c r="F82" s="1149">
        <v>30</v>
      </c>
    </row>
    <row r="83" spans="1:6" s="1100" customFormat="1" ht="48">
      <c r="A83" s="1149">
        <v>23</v>
      </c>
      <c r="B83" s="3540"/>
      <c r="C83" s="1063" t="s">
        <v>1546</v>
      </c>
      <c r="D83" s="1063" t="s">
        <v>1547</v>
      </c>
      <c r="E83" s="1134">
        <v>0.2</v>
      </c>
      <c r="F83" s="1149">
        <v>30</v>
      </c>
    </row>
    <row r="84" spans="1:6" s="1100" customFormat="1" ht="36">
      <c r="A84" s="1149">
        <v>24</v>
      </c>
      <c r="B84" s="3540"/>
      <c r="C84" s="1063" t="s">
        <v>1548</v>
      </c>
      <c r="D84" s="1063" t="s">
        <v>1549</v>
      </c>
      <c r="E84" s="1134">
        <v>0.2</v>
      </c>
      <c r="F84" s="1149">
        <v>30</v>
      </c>
    </row>
    <row r="85" spans="1:6" s="1100" customFormat="1" ht="36">
      <c r="A85" s="1149">
        <v>25</v>
      </c>
      <c r="B85" s="3540"/>
      <c r="C85" s="1063" t="s">
        <v>1550</v>
      </c>
      <c r="D85" s="1063" t="s">
        <v>1551</v>
      </c>
      <c r="E85" s="1134">
        <v>0.5</v>
      </c>
      <c r="F85" s="1149">
        <v>80</v>
      </c>
    </row>
    <row r="86" spans="1:6" s="1100" customFormat="1" ht="36">
      <c r="A86" s="1149">
        <v>26</v>
      </c>
      <c r="B86" s="3540"/>
      <c r="C86" s="1063" t="s">
        <v>1552</v>
      </c>
      <c r="D86" s="1063" t="s">
        <v>1553</v>
      </c>
      <c r="E86" s="1134">
        <v>0.2</v>
      </c>
      <c r="F86" s="1149">
        <v>30</v>
      </c>
    </row>
    <row r="87" spans="1:6" s="1100" customFormat="1" ht="36">
      <c r="A87" s="1149">
        <v>27</v>
      </c>
      <c r="B87" s="3540"/>
      <c r="C87" s="1063" t="s">
        <v>1554</v>
      </c>
      <c r="D87" s="1063" t="s">
        <v>1555</v>
      </c>
      <c r="E87" s="1134">
        <v>0.2</v>
      </c>
      <c r="F87" s="1149">
        <v>30</v>
      </c>
    </row>
    <row r="88" spans="1:6" s="1100" customFormat="1" ht="36">
      <c r="A88" s="1149">
        <v>28</v>
      </c>
      <c r="B88" s="3540"/>
      <c r="C88" s="1063" t="s">
        <v>1556</v>
      </c>
      <c r="D88" s="1063" t="s">
        <v>1557</v>
      </c>
      <c r="E88" s="1134">
        <v>0.2</v>
      </c>
      <c r="F88" s="1149">
        <v>30</v>
      </c>
    </row>
    <row r="89" spans="1:6" s="1100" customFormat="1" ht="24">
      <c r="A89" s="1149">
        <v>29</v>
      </c>
      <c r="B89" s="3540"/>
      <c r="C89" s="1063" t="s">
        <v>1558</v>
      </c>
      <c r="D89" s="1063" t="s">
        <v>1559</v>
      </c>
      <c r="E89" s="1134">
        <v>0.2</v>
      </c>
      <c r="F89" s="1149">
        <v>30</v>
      </c>
    </row>
    <row r="90" spans="1:6" s="1100" customFormat="1" ht="24">
      <c r="A90" s="1149">
        <v>30</v>
      </c>
      <c r="B90" s="3540"/>
      <c r="C90" s="1063" t="s">
        <v>1560</v>
      </c>
      <c r="D90" s="1063" t="s">
        <v>1561</v>
      </c>
      <c r="E90" s="1134">
        <v>0.2</v>
      </c>
      <c r="F90" s="1149">
        <v>30</v>
      </c>
    </row>
    <row r="91" spans="1:6" s="1100" customFormat="1" ht="36">
      <c r="A91" s="1149">
        <v>31</v>
      </c>
      <c r="B91" s="3540"/>
      <c r="C91" s="1063" t="s">
        <v>1562</v>
      </c>
      <c r="D91" s="1063" t="s">
        <v>1563</v>
      </c>
      <c r="E91" s="1134">
        <v>0.2</v>
      </c>
      <c r="F91" s="1149">
        <v>30</v>
      </c>
    </row>
    <row r="92" spans="1:6" s="1100" customFormat="1" ht="24">
      <c r="A92" s="1149">
        <v>32</v>
      </c>
      <c r="B92" s="3540" t="s">
        <v>1564</v>
      </c>
      <c r="C92" s="1149" t="s">
        <v>1565</v>
      </c>
      <c r="D92" s="1063" t="s">
        <v>1566</v>
      </c>
      <c r="E92" s="1134">
        <v>0.2</v>
      </c>
      <c r="F92" s="1149">
        <v>30</v>
      </c>
    </row>
    <row r="93" spans="1:6" s="1100" customFormat="1" ht="36">
      <c r="A93" s="1149">
        <v>33</v>
      </c>
      <c r="B93" s="3540"/>
      <c r="C93" s="1149" t="s">
        <v>1567</v>
      </c>
      <c r="D93" s="1063" t="s">
        <v>1568</v>
      </c>
      <c r="E93" s="1134">
        <v>0.2</v>
      </c>
      <c r="F93" s="1149">
        <v>30</v>
      </c>
    </row>
    <row r="94" spans="1:6" s="1100" customFormat="1" ht="48">
      <c r="A94" s="1149">
        <v>34</v>
      </c>
      <c r="B94" s="3540"/>
      <c r="C94" s="1149" t="s">
        <v>1569</v>
      </c>
      <c r="D94" s="1063" t="s">
        <v>1570</v>
      </c>
      <c r="E94" s="1134">
        <v>0.2</v>
      </c>
      <c r="F94" s="1149">
        <v>30</v>
      </c>
    </row>
    <row r="95" spans="1:6" s="1100" customFormat="1" ht="36">
      <c r="A95" s="1149">
        <v>35</v>
      </c>
      <c r="B95" s="3540"/>
      <c r="C95" s="1149" t="s">
        <v>1571</v>
      </c>
      <c r="D95" s="1063" t="s">
        <v>1572</v>
      </c>
      <c r="E95" s="1134">
        <v>0.2</v>
      </c>
      <c r="F95" s="1149">
        <v>30</v>
      </c>
    </row>
    <row r="96" spans="1:6" s="1100" customFormat="1" ht="48">
      <c r="A96" s="1149">
        <v>36</v>
      </c>
      <c r="B96" s="3540"/>
      <c r="C96" s="1063" t="s">
        <v>1573</v>
      </c>
      <c r="D96" s="1063" t="s">
        <v>1574</v>
      </c>
      <c r="E96" s="1134">
        <v>0.2</v>
      </c>
      <c r="F96" s="1149">
        <v>30</v>
      </c>
    </row>
    <row r="97" spans="1:6" s="1100" customFormat="1" ht="36">
      <c r="A97" s="1149">
        <v>37</v>
      </c>
      <c r="B97" s="3540"/>
      <c r="C97" s="1149" t="s">
        <v>1575</v>
      </c>
      <c r="D97" s="1063" t="s">
        <v>1576</v>
      </c>
      <c r="E97" s="1134">
        <v>0.2</v>
      </c>
      <c r="F97" s="1149">
        <v>30</v>
      </c>
    </row>
    <row r="98" spans="1:6" s="1100" customFormat="1" ht="36">
      <c r="A98" s="1149">
        <v>38</v>
      </c>
      <c r="B98" s="3540"/>
      <c r="C98" s="1149" t="s">
        <v>1577</v>
      </c>
      <c r="D98" s="1063" t="s">
        <v>1578</v>
      </c>
      <c r="E98" s="1134">
        <v>0.2</v>
      </c>
      <c r="F98" s="1149">
        <v>30</v>
      </c>
    </row>
    <row r="99" spans="1:6" s="1100" customFormat="1" ht="36">
      <c r="A99" s="1149">
        <v>39</v>
      </c>
      <c r="B99" s="3540" t="s">
        <v>1579</v>
      </c>
      <c r="C99" s="1149" t="s">
        <v>1580</v>
      </c>
      <c r="D99" s="1063" t="s">
        <v>1581</v>
      </c>
      <c r="E99" s="1134">
        <v>0.3</v>
      </c>
      <c r="F99" s="1149">
        <v>50</v>
      </c>
    </row>
    <row r="100" spans="1:6" s="1100" customFormat="1" ht="24">
      <c r="A100" s="1149">
        <v>40</v>
      </c>
      <c r="B100" s="3540"/>
      <c r="C100" s="1149" t="s">
        <v>1582</v>
      </c>
      <c r="D100" s="1063" t="s">
        <v>1583</v>
      </c>
      <c r="E100" s="1134">
        <v>0.2</v>
      </c>
      <c r="F100" s="1149">
        <v>30</v>
      </c>
    </row>
    <row r="101" spans="1:6" s="1100" customFormat="1" ht="36">
      <c r="A101" s="1149">
        <v>41</v>
      </c>
      <c r="B101" s="3540"/>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0" t="s">
        <v>1594</v>
      </c>
      <c r="C105" s="1149" t="s">
        <v>1595</v>
      </c>
      <c r="D105" s="1063" t="s">
        <v>1596</v>
      </c>
      <c r="E105" s="1134">
        <v>0.2</v>
      </c>
      <c r="F105" s="1149">
        <v>30</v>
      </c>
    </row>
    <row r="106" spans="1:6" s="1100" customFormat="1" ht="36">
      <c r="A106" s="1149">
        <v>46</v>
      </c>
      <c r="B106" s="3540"/>
      <c r="C106" s="1149" t="s">
        <v>1597</v>
      </c>
      <c r="D106" s="1063" t="s">
        <v>1598</v>
      </c>
      <c r="E106" s="1134">
        <v>0.2</v>
      </c>
      <c r="F106" s="1149">
        <v>30</v>
      </c>
    </row>
    <row r="107" spans="1:6" s="1100" customFormat="1" ht="36">
      <c r="A107" s="1149">
        <v>47</v>
      </c>
      <c r="B107" s="3540" t="s">
        <v>1599</v>
      </c>
      <c r="C107" s="1149" t="s">
        <v>1600</v>
      </c>
      <c r="D107" s="1063" t="s">
        <v>1601</v>
      </c>
      <c r="E107" s="1134">
        <v>0.3</v>
      </c>
      <c r="F107" s="1149">
        <v>50</v>
      </c>
    </row>
    <row r="108" spans="1:6" s="1100" customFormat="1" ht="36">
      <c r="A108" s="1149">
        <v>48</v>
      </c>
      <c r="B108" s="3540"/>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0" t="s">
        <v>1610</v>
      </c>
      <c r="C111" s="1149" t="s">
        <v>1611</v>
      </c>
      <c r="D111" s="1063" t="s">
        <v>1612</v>
      </c>
      <c r="E111" s="1134">
        <v>0.2</v>
      </c>
      <c r="F111" s="1149">
        <v>30</v>
      </c>
    </row>
    <row r="112" spans="1:6" s="1100" customFormat="1" ht="24">
      <c r="A112" s="1149">
        <v>52</v>
      </c>
      <c r="B112" s="3540"/>
      <c r="C112" s="1149" t="s">
        <v>1613</v>
      </c>
      <c r="D112" s="1063" t="s">
        <v>1614</v>
      </c>
      <c r="E112" s="1134">
        <v>0.2</v>
      </c>
      <c r="F112" s="1149">
        <v>30</v>
      </c>
    </row>
    <row r="113" spans="1:14" s="1100" customFormat="1" ht="24">
      <c r="A113" s="1149">
        <v>53</v>
      </c>
      <c r="B113" s="3540"/>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0" t="s">
        <v>1623</v>
      </c>
      <c r="C116" s="1149" t="s">
        <v>1624</v>
      </c>
      <c r="D116" s="1063" t="s">
        <v>1625</v>
      </c>
      <c r="E116" s="1134">
        <v>0.2</v>
      </c>
      <c r="F116" s="1149">
        <v>30</v>
      </c>
    </row>
    <row r="117" spans="1:14" ht="36">
      <c r="A117" s="1149">
        <v>57</v>
      </c>
      <c r="B117" s="3540"/>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39" t="s">
        <v>1632</v>
      </c>
      <c r="B121" s="3539"/>
      <c r="C121" s="3539"/>
      <c r="D121" s="3539"/>
      <c r="E121" s="3539"/>
      <c r="F121" s="3539"/>
      <c r="G121" s="3539"/>
      <c r="H121" s="3539"/>
      <c r="I121" s="3539"/>
      <c r="J121" s="35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54" t="s">
        <v>1038</v>
      </c>
      <c r="B1" s="3554"/>
      <c r="C1" s="3554"/>
      <c r="D1" s="3554"/>
      <c r="E1" s="3554"/>
      <c r="F1" s="3554"/>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55" t="s">
        <v>1051</v>
      </c>
      <c r="B2" s="3555"/>
      <c r="C2" s="3555"/>
      <c r="D2" s="3555"/>
      <c r="E2" s="3555"/>
      <c r="F2" s="3555"/>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56"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57"/>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58" t="s">
        <v>2076</v>
      </c>
      <c r="B1" s="3558"/>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61" t="s">
        <v>2573</v>
      </c>
      <c r="C1" s="3561"/>
      <c r="D1" s="3561"/>
      <c r="E1" s="3561"/>
      <c r="F1" s="3561"/>
      <c r="G1" s="3560" t="s">
        <v>2574</v>
      </c>
      <c r="H1" s="3560"/>
      <c r="I1" s="3560"/>
      <c r="J1" s="3560"/>
      <c r="K1" s="3560"/>
      <c r="L1" s="3560"/>
      <c r="N1" s="3560" t="s">
        <v>2575</v>
      </c>
      <c r="O1" s="3560"/>
      <c r="P1" s="3560"/>
      <c r="Q1" s="3560"/>
      <c r="R1" s="2613"/>
      <c r="S1" s="3560" t="s">
        <v>2576</v>
      </c>
      <c r="T1" s="3560"/>
      <c r="U1" s="3560"/>
      <c r="V1" s="3560"/>
      <c r="X1" s="3559" t="s">
        <v>2636</v>
      </c>
      <c r="Y1" s="3560"/>
      <c r="Z1" s="3560"/>
      <c r="AA1" s="3560"/>
      <c r="AB1" s="3560"/>
      <c r="AD1" s="3559" t="s">
        <v>2640</v>
      </c>
      <c r="AE1" s="3560"/>
      <c r="AF1" s="3560"/>
      <c r="AG1" s="3560"/>
      <c r="AH1" s="3560"/>
    </row>
    <row r="2" spans="1:34" s="2714" customFormat="1" ht="14.25" thickBot="1">
      <c r="B2" s="2722" t="s">
        <v>2577</v>
      </c>
      <c r="C2" s="2722" t="s">
        <v>2638</v>
      </c>
      <c r="D2" s="2715" t="s">
        <v>1643</v>
      </c>
      <c r="E2" s="2715" t="s">
        <v>1948</v>
      </c>
      <c r="F2" s="2722" t="s">
        <v>2639</v>
      </c>
      <c r="G2" s="2718"/>
      <c r="H2" s="2717"/>
      <c r="I2" s="2722" t="s">
        <v>2947</v>
      </c>
      <c r="J2" s="2715" t="s">
        <v>2949</v>
      </c>
      <c r="K2" s="2715" t="s">
        <v>2950</v>
      </c>
      <c r="L2" s="2722" t="s">
        <v>2951</v>
      </c>
      <c r="N2" s="2722" t="s">
        <v>2577</v>
      </c>
      <c r="O2" s="2715" t="s">
        <v>2948</v>
      </c>
      <c r="P2" s="2715" t="s">
        <v>1948</v>
      </c>
      <c r="Q2" s="2722" t="s">
        <v>2639</v>
      </c>
      <c r="R2" s="2716"/>
      <c r="S2" s="2722" t="s">
        <v>2577</v>
      </c>
      <c r="T2" s="2715" t="s">
        <v>2948</v>
      </c>
      <c r="U2" s="2715" t="s">
        <v>1948</v>
      </c>
      <c r="V2" s="2722" t="s">
        <v>2639</v>
      </c>
      <c r="X2" s="2722" t="s">
        <v>2577</v>
      </c>
      <c r="Y2" s="2722" t="s">
        <v>2638</v>
      </c>
      <c r="Z2" s="2715" t="s">
        <v>1643</v>
      </c>
      <c r="AA2" s="2715" t="s">
        <v>1948</v>
      </c>
      <c r="AB2" s="2722" t="s">
        <v>2639</v>
      </c>
      <c r="AD2" s="2722" t="s">
        <v>2577</v>
      </c>
      <c r="AE2" s="2722" t="s">
        <v>2638</v>
      </c>
      <c r="AF2" s="2715" t="s">
        <v>1643</v>
      </c>
      <c r="AG2" s="2715" t="s">
        <v>1948</v>
      </c>
      <c r="AH2" s="2722" t="s">
        <v>2639</v>
      </c>
    </row>
    <row r="3" spans="1:34" s="3074" customFormat="1" ht="14.25">
      <c r="A3" s="3086" t="s">
        <v>2960</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7" customFormat="1" ht="14.25">
      <c r="B4" s="2708"/>
      <c r="C4" s="2708"/>
      <c r="D4" s="2709"/>
      <c r="E4" s="2709"/>
      <c r="F4" s="2708"/>
      <c r="G4" s="2713"/>
      <c r="H4" s="2710"/>
      <c r="I4" s="3070"/>
      <c r="J4" s="3070"/>
      <c r="K4" s="3070"/>
      <c r="L4" s="3070"/>
      <c r="N4" s="2713"/>
      <c r="O4" s="2711"/>
      <c r="P4" s="2711"/>
      <c r="Q4" s="2711"/>
      <c r="R4" s="2711"/>
      <c r="S4" s="2713"/>
      <c r="T4" s="2711"/>
      <c r="U4" s="2711"/>
      <c r="V4" s="2711"/>
      <c r="W4" s="3083"/>
      <c r="X4" s="2712"/>
      <c r="Y4" s="2712"/>
      <c r="Z4" s="2712"/>
      <c r="AA4" s="2712"/>
      <c r="AB4" s="2712"/>
      <c r="AD4" s="2632"/>
      <c r="AE4" s="2632"/>
      <c r="AF4" s="2632"/>
      <c r="AG4" s="2632"/>
      <c r="AH4" s="2632"/>
    </row>
    <row r="5" spans="1:34" s="3058" customFormat="1" ht="13.5" thickBot="1">
      <c r="A5" s="3056" t="s">
        <v>2983</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57">
        <v>2</v>
      </c>
      <c r="I5" s="3071">
        <v>0</v>
      </c>
      <c r="J5" s="3071">
        <v>0</v>
      </c>
      <c r="K5" s="3071">
        <v>0</v>
      </c>
      <c r="L5" s="3071">
        <v>0</v>
      </c>
      <c r="N5" s="2720">
        <f t="shared" ref="N5" si="7">I5/100</f>
        <v>0</v>
      </c>
      <c r="O5" s="2720">
        <f t="shared" ref="O5" si="8">J5/100</f>
        <v>0</v>
      </c>
      <c r="P5" s="2720">
        <f t="shared" ref="P5" si="9">K5/100</f>
        <v>0</v>
      </c>
      <c r="Q5" s="2720">
        <f t="shared" ref="Q5" si="10">L5/100</f>
        <v>0</v>
      </c>
      <c r="R5" s="3059"/>
      <c r="S5" s="3060"/>
      <c r="T5" s="3059"/>
      <c r="U5" s="3059"/>
      <c r="V5" s="3059"/>
      <c r="W5" s="3084" t="s">
        <v>2961</v>
      </c>
      <c r="X5" s="3061">
        <f>ROUND(IF(项目基本情况!B7="出让",SUMPRODUCT(PRODUCT(1+N5:N$26)),SUMPRODUCT(PRODUCT(1+N5:N$25))),4)</f>
        <v>1.5189999999999999</v>
      </c>
      <c r="Y5" s="3061">
        <f>ROUND(IF(项目基本情况!B7="出让",SUMPRODUCT(PRODUCT(1+O5:O$26)),SUMPRODUCT(PRODUCT(1+O5:O$25))),4)</f>
        <v>1.3423</v>
      </c>
      <c r="Z5" s="3061">
        <f t="shared" ref="Z5" si="11">Y5</f>
        <v>1.3423</v>
      </c>
      <c r="AA5" s="3061">
        <f>ROUND(IF(项目基本情况!B7="出让",SUMPRODUCT(PRODUCT(1+P5:P$26)),SUMPRODUCT(PRODUCT(1+P5:P$25))),4)</f>
        <v>1.5782</v>
      </c>
      <c r="AB5" s="3061">
        <f>ROUND(IF(项目基本情况!B7="出让",SUMPRODUCT(PRODUCT(1+Q5:Q$26)),SUMPRODUCT(PRODUCT(1+Q5:Q$25))),4)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9" customFormat="1" ht="13.5" thickBot="1">
      <c r="A6" s="2614" t="s">
        <v>2984</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2">
        <v>0.6</v>
      </c>
      <c r="J6" s="3142">
        <v>0.37</v>
      </c>
      <c r="K6" s="3142">
        <v>0.63</v>
      </c>
      <c r="L6" s="3143">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2980</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563">
        <v>2018</v>
      </c>
      <c r="H7" s="2617">
        <v>4</v>
      </c>
      <c r="I7" s="3142">
        <v>0.96</v>
      </c>
      <c r="J7" s="3142">
        <v>1.03</v>
      </c>
      <c r="K7" s="3142">
        <v>0.92</v>
      </c>
      <c r="L7" s="3143">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2970</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563"/>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2971</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563"/>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2967</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69"/>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2958</v>
      </c>
      <c r="B11" s="3088">
        <v>439</v>
      </c>
      <c r="C11" s="3088">
        <v>327</v>
      </c>
      <c r="D11" s="3088">
        <f t="shared" si="54"/>
        <v>327</v>
      </c>
      <c r="E11" s="3088">
        <v>627</v>
      </c>
      <c r="F11" s="3089">
        <v>283</v>
      </c>
      <c r="G11" s="3568">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2962</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563"/>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2578</v>
      </c>
      <c r="B13" s="2627">
        <f t="shared" si="66"/>
        <v>419.31181600000002</v>
      </c>
      <c r="C13" s="2627">
        <f t="shared" si="66"/>
        <v>313.95436800000004</v>
      </c>
      <c r="D13" s="2627">
        <f t="shared" si="54"/>
        <v>313.95436800000004</v>
      </c>
      <c r="E13" s="2627">
        <f t="shared" si="67"/>
        <v>596.63028431999999</v>
      </c>
      <c r="F13" s="2627">
        <f t="shared" si="67"/>
        <v>274.74220703999998</v>
      </c>
      <c r="G13" s="3563"/>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2579</v>
      </c>
      <c r="B14" s="2627">
        <f t="shared" si="66"/>
        <v>405.524</v>
      </c>
      <c r="C14" s="2627">
        <f t="shared" si="66"/>
        <v>307.79840000000002</v>
      </c>
      <c r="D14" s="2627">
        <f t="shared" si="54"/>
        <v>307.79840000000002</v>
      </c>
      <c r="E14" s="2627">
        <f t="shared" si="67"/>
        <v>574.67759999999998</v>
      </c>
      <c r="F14" s="2627">
        <f t="shared" si="67"/>
        <v>270.20280000000002</v>
      </c>
      <c r="G14" s="3569"/>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969</v>
      </c>
      <c r="B15" s="2619">
        <v>392</v>
      </c>
      <c r="C15" s="2619">
        <v>302</v>
      </c>
      <c r="D15" s="2619">
        <f t="shared" si="54"/>
        <v>302</v>
      </c>
      <c r="E15" s="2619">
        <v>553</v>
      </c>
      <c r="F15" s="2620">
        <v>266</v>
      </c>
      <c r="G15" s="3568">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968</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563"/>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958</v>
      </c>
      <c r="B17" s="2627">
        <f t="shared" si="75"/>
        <v>360.06949782209392</v>
      </c>
      <c r="C17" s="2627">
        <f t="shared" si="75"/>
        <v>289.84672674747821</v>
      </c>
      <c r="D17" s="2627">
        <f t="shared" si="76"/>
        <v>289.84672674747821</v>
      </c>
      <c r="E17" s="2627">
        <f t="shared" si="77"/>
        <v>501.06543001181495</v>
      </c>
      <c r="F17" s="2627">
        <f t="shared" si="77"/>
        <v>256.82882500744967</v>
      </c>
      <c r="G17" s="3563"/>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967</v>
      </c>
      <c r="B18" s="2627">
        <f t="shared" si="75"/>
        <v>346.720748986128</v>
      </c>
      <c r="C18" s="2627">
        <f t="shared" si="75"/>
        <v>284.30282172386285</v>
      </c>
      <c r="D18" s="2627">
        <f t="shared" si="76"/>
        <v>284.30282172386285</v>
      </c>
      <c r="E18" s="2627">
        <f t="shared" si="77"/>
        <v>479.58023546306947</v>
      </c>
      <c r="F18" s="2627">
        <f t="shared" si="77"/>
        <v>253.25788877571213</v>
      </c>
      <c r="G18" s="3564"/>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966</v>
      </c>
      <c r="B19" s="2619">
        <v>333</v>
      </c>
      <c r="C19" s="2619">
        <v>277</v>
      </c>
      <c r="D19" s="2619">
        <f t="shared" si="76"/>
        <v>277</v>
      </c>
      <c r="E19" s="2619">
        <v>459</v>
      </c>
      <c r="F19" s="2620">
        <v>249</v>
      </c>
      <c r="G19" s="3562">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965</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563"/>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964</v>
      </c>
      <c r="B21" s="2627">
        <f t="shared" si="79"/>
        <v>322.34053690220776</v>
      </c>
      <c r="C21" s="2627">
        <f t="shared" si="79"/>
        <v>271.46160770422546</v>
      </c>
      <c r="D21" s="2627">
        <f t="shared" si="76"/>
        <v>271.46160770422546</v>
      </c>
      <c r="E21" s="2627">
        <f t="shared" si="80"/>
        <v>442.69434542172456</v>
      </c>
      <c r="F21" s="2627">
        <f t="shared" si="80"/>
        <v>241.34030753190925</v>
      </c>
      <c r="G21" s="3563"/>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963</v>
      </c>
      <c r="B22" s="2627">
        <f t="shared" si="79"/>
        <v>319.87748030386797</v>
      </c>
      <c r="C22" s="2627">
        <f t="shared" si="79"/>
        <v>269.60135833173649</v>
      </c>
      <c r="D22" s="2627">
        <f t="shared" si="76"/>
        <v>269.60135833173649</v>
      </c>
      <c r="E22" s="2627">
        <f t="shared" si="80"/>
        <v>439.18089823583784</v>
      </c>
      <c r="F22" s="2627">
        <f t="shared" si="80"/>
        <v>239.23503918706311</v>
      </c>
      <c r="G22" s="3564"/>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962</v>
      </c>
      <c r="B23" s="2641">
        <v>318</v>
      </c>
      <c r="C23" s="2641">
        <v>268</v>
      </c>
      <c r="D23" s="2641">
        <f t="shared" si="76"/>
        <v>268</v>
      </c>
      <c r="E23" s="2641">
        <v>437</v>
      </c>
      <c r="F23" s="2642">
        <v>237</v>
      </c>
      <c r="G23" s="3562">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961</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563"/>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960</v>
      </c>
      <c r="B25" s="2627">
        <f t="shared" si="81"/>
        <v>314.72141172386546</v>
      </c>
      <c r="C25" s="2627">
        <f t="shared" si="81"/>
        <v>263.03901319069001</v>
      </c>
      <c r="D25" s="2627">
        <f t="shared" si="76"/>
        <v>263.03901319069001</v>
      </c>
      <c r="E25" s="2627">
        <f t="shared" si="82"/>
        <v>433.65745506782821</v>
      </c>
      <c r="F25" s="2627">
        <f t="shared" si="82"/>
        <v>233.23005080045735</v>
      </c>
      <c r="G25" s="3563"/>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959</v>
      </c>
      <c r="B26" s="2646">
        <f t="shared" si="81"/>
        <v>307.34512863658733</v>
      </c>
      <c r="C26" s="2646">
        <f t="shared" si="81"/>
        <v>257.80556031626975</v>
      </c>
      <c r="D26" s="2646">
        <f t="shared" si="76"/>
        <v>257.80556031626975</v>
      </c>
      <c r="E26" s="2646">
        <f t="shared" si="82"/>
        <v>422.70928459677179</v>
      </c>
      <c r="F26" s="2646">
        <f t="shared" si="82"/>
        <v>229.73803270336617</v>
      </c>
      <c r="G26" s="3564"/>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2637</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2580</v>
      </c>
      <c r="B27" s="2619">
        <v>299</v>
      </c>
      <c r="C27" s="2619">
        <v>252</v>
      </c>
      <c r="D27" s="2619">
        <f t="shared" si="76"/>
        <v>252</v>
      </c>
      <c r="E27" s="2619">
        <v>409</v>
      </c>
      <c r="F27" s="2620">
        <v>227</v>
      </c>
      <c r="G27" s="3565">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2581</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66"/>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2582</v>
      </c>
      <c r="B29" s="2627">
        <f t="shared" si="85"/>
        <v>288.2649053828776</v>
      </c>
      <c r="C29" s="2627">
        <f t="shared" si="85"/>
        <v>243.64564425013293</v>
      </c>
      <c r="D29" s="2627">
        <f t="shared" si="76"/>
        <v>243.64564425013293</v>
      </c>
      <c r="E29" s="2627">
        <f t="shared" si="86"/>
        <v>393.31080825986544</v>
      </c>
      <c r="F29" s="2627">
        <f t="shared" si="86"/>
        <v>223.07903790551154</v>
      </c>
      <c r="G29" s="3566"/>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2583</v>
      </c>
      <c r="B30" s="2627">
        <f t="shared" si="85"/>
        <v>282.50186729015837</v>
      </c>
      <c r="C30" s="2627">
        <f t="shared" si="85"/>
        <v>238.09796174155468</v>
      </c>
      <c r="D30" s="2627">
        <f t="shared" si="76"/>
        <v>238.09796174155468</v>
      </c>
      <c r="E30" s="2627">
        <f t="shared" si="86"/>
        <v>385.33438646014054</v>
      </c>
      <c r="F30" s="2627">
        <f t="shared" si="86"/>
        <v>221.55034055567739</v>
      </c>
      <c r="G30" s="3567"/>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2584</v>
      </c>
      <c r="B31" s="2657">
        <v>278</v>
      </c>
      <c r="C31" s="2657">
        <v>234</v>
      </c>
      <c r="D31" s="2657">
        <f t="shared" si="76"/>
        <v>234</v>
      </c>
      <c r="E31" s="2657">
        <v>379</v>
      </c>
      <c r="F31" s="2658">
        <v>220</v>
      </c>
      <c r="G31" s="3562">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2585</v>
      </c>
      <c r="B32" s="2627">
        <f>B31/(1+N31)</f>
        <v>275.49301357645425</v>
      </c>
      <c r="C32" s="2627">
        <f>C31/(1+O31)</f>
        <v>232.41954707985698</v>
      </c>
      <c r="D32" s="2627">
        <f t="shared" si="76"/>
        <v>232.41954707985698</v>
      </c>
      <c r="E32" s="2627">
        <f t="shared" ref="E32:F34" si="87">E31/(1+P31)</f>
        <v>375.32184591008121</v>
      </c>
      <c r="F32" s="2627">
        <f t="shared" si="87"/>
        <v>218.03766105054513</v>
      </c>
      <c r="G32" s="3563"/>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2586</v>
      </c>
      <c r="B33" s="2627">
        <f>B32/(1+N32)</f>
        <v>275.24529281292263</v>
      </c>
      <c r="C33" s="2627">
        <f>C32/(1+O32)</f>
        <v>231.74747938962707</v>
      </c>
      <c r="D33" s="2627">
        <f t="shared" si="76"/>
        <v>231.74747938962707</v>
      </c>
      <c r="E33" s="2627">
        <f t="shared" si="87"/>
        <v>375.35938184826603</v>
      </c>
      <c r="F33" s="2627">
        <f t="shared" si="87"/>
        <v>216.78033510692495</v>
      </c>
      <c r="G33" s="3563"/>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2587</v>
      </c>
      <c r="B34" s="2627">
        <f>B33/(1+N33)</f>
        <v>275.19025476197027</v>
      </c>
      <c r="C34" s="2659">
        <v>232</v>
      </c>
      <c r="D34" s="2659">
        <f t="shared" si="76"/>
        <v>232</v>
      </c>
      <c r="E34" s="2627">
        <f t="shared" si="87"/>
        <v>375.65990977608692</v>
      </c>
      <c r="F34" s="2627">
        <f t="shared" si="87"/>
        <v>214.12518283971252</v>
      </c>
      <c r="G34" s="3564"/>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2588</v>
      </c>
      <c r="B35" s="2619">
        <v>275</v>
      </c>
      <c r="C35" s="2619">
        <v>232</v>
      </c>
      <c r="D35" s="2619">
        <f t="shared" si="76"/>
        <v>232</v>
      </c>
      <c r="E35" s="2619">
        <v>376</v>
      </c>
      <c r="F35" s="2620">
        <v>213</v>
      </c>
      <c r="G35" s="3562">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2589</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563">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2590</v>
      </c>
      <c r="B37" s="2627">
        <f t="shared" si="88"/>
        <v>275.19335084830601</v>
      </c>
      <c r="C37" s="2627">
        <f t="shared" si="88"/>
        <v>230.18088050139744</v>
      </c>
      <c r="D37" s="2627">
        <f t="shared" si="76"/>
        <v>230.18088050139744</v>
      </c>
      <c r="E37" s="2627">
        <f t="shared" si="89"/>
        <v>377.58482925212331</v>
      </c>
      <c r="F37" s="2627">
        <f t="shared" si="89"/>
        <v>210.90687997847917</v>
      </c>
      <c r="G37" s="3563">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2591</v>
      </c>
      <c r="B38" s="2627">
        <f t="shared" si="88"/>
        <v>276.29854502841971</v>
      </c>
      <c r="C38" s="2627">
        <f t="shared" si="88"/>
        <v>229.79023709833027</v>
      </c>
      <c r="D38" s="2627">
        <f t="shared" si="76"/>
        <v>229.79023709833027</v>
      </c>
      <c r="E38" s="2627">
        <f t="shared" si="89"/>
        <v>379.78759731655936</v>
      </c>
      <c r="F38" s="2627">
        <f t="shared" si="89"/>
        <v>211.32953905659235</v>
      </c>
      <c r="G38" s="3564">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2592</v>
      </c>
      <c r="B39" s="2619">
        <v>269</v>
      </c>
      <c r="C39" s="2619">
        <v>221</v>
      </c>
      <c r="D39" s="2619">
        <f t="shared" si="76"/>
        <v>221</v>
      </c>
      <c r="E39" s="2619">
        <v>373</v>
      </c>
      <c r="F39" s="2620">
        <v>196</v>
      </c>
      <c r="G39" s="3562">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2593</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563">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2594</v>
      </c>
      <c r="B41" s="2627">
        <f t="shared" si="90"/>
        <v>242.95398227588385</v>
      </c>
      <c r="C41" s="2627">
        <f t="shared" si="90"/>
        <v>199.59137053614126</v>
      </c>
      <c r="D41" s="2627">
        <f t="shared" si="76"/>
        <v>199.59137053614126</v>
      </c>
      <c r="E41" s="2627">
        <f t="shared" si="91"/>
        <v>335.92189522342125</v>
      </c>
      <c r="F41" s="2627">
        <f t="shared" si="91"/>
        <v>183.10139991109489</v>
      </c>
      <c r="G41" s="3563">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2595</v>
      </c>
      <c r="B42" s="2627">
        <f t="shared" si="90"/>
        <v>232.06990378821649</v>
      </c>
      <c r="C42" s="2627">
        <f t="shared" si="90"/>
        <v>192.74878854286936</v>
      </c>
      <c r="D42" s="2627">
        <f t="shared" si="76"/>
        <v>192.74878854286936</v>
      </c>
      <c r="E42" s="2627">
        <f t="shared" si="91"/>
        <v>319.71247284992984</v>
      </c>
      <c r="F42" s="2627">
        <f t="shared" si="91"/>
        <v>175.67053622862409</v>
      </c>
      <c r="G42" s="3564">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2596</v>
      </c>
      <c r="B43" s="2619">
        <v>220</v>
      </c>
      <c r="C43" s="2619">
        <v>187</v>
      </c>
      <c r="D43" s="2619">
        <f t="shared" si="76"/>
        <v>187</v>
      </c>
      <c r="E43" s="2619">
        <v>301</v>
      </c>
      <c r="F43" s="2620">
        <v>168</v>
      </c>
      <c r="G43" s="3562">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2597</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563">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2598</v>
      </c>
      <c r="B45" s="2627">
        <f t="shared" si="92"/>
        <v>210.630522469011</v>
      </c>
      <c r="C45" s="2627">
        <f t="shared" si="92"/>
        <v>181.69567812247232</v>
      </c>
      <c r="D45" s="2627">
        <f t="shared" si="76"/>
        <v>181.69567812247232</v>
      </c>
      <c r="E45" s="2627">
        <f t="shared" si="93"/>
        <v>286.13517466736738</v>
      </c>
      <c r="F45" s="2627">
        <f t="shared" si="93"/>
        <v>165.47535084591149</v>
      </c>
      <c r="G45" s="3563">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2599</v>
      </c>
      <c r="B46" s="2627">
        <f t="shared" si="92"/>
        <v>208.83454537875372</v>
      </c>
      <c r="C46" s="2627">
        <f t="shared" si="92"/>
        <v>183.77230517090351</v>
      </c>
      <c r="D46" s="2627">
        <f t="shared" si="76"/>
        <v>183.77230517090351</v>
      </c>
      <c r="E46" s="2627">
        <f t="shared" si="93"/>
        <v>281.10342338870947</v>
      </c>
      <c r="F46" s="2627">
        <f t="shared" si="93"/>
        <v>168.97309388942256</v>
      </c>
      <c r="G46" s="3564">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2600</v>
      </c>
      <c r="B47" s="2657">
        <v>214</v>
      </c>
      <c r="C47" s="2657">
        <v>188</v>
      </c>
      <c r="D47" s="2657">
        <f t="shared" si="76"/>
        <v>188</v>
      </c>
      <c r="E47" s="2657">
        <v>289</v>
      </c>
      <c r="F47" s="2658">
        <v>166</v>
      </c>
      <c r="G47" s="3562">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2601</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563">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2602</v>
      </c>
      <c r="B49" s="2627">
        <f t="shared" si="94"/>
        <v>206.31694671589116</v>
      </c>
      <c r="C49" s="2627">
        <f t="shared" si="94"/>
        <v>183.61041121036101</v>
      </c>
      <c r="D49" s="2627">
        <f t="shared" si="76"/>
        <v>183.61041121036101</v>
      </c>
      <c r="E49" s="2627">
        <f t="shared" si="95"/>
        <v>276.66850301795557</v>
      </c>
      <c r="F49" s="2627">
        <f t="shared" si="95"/>
        <v>165.1360938278614</v>
      </c>
      <c r="G49" s="3563">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2603</v>
      </c>
      <c r="B50" s="2660">
        <f t="shared" si="94"/>
        <v>196.62341248059772</v>
      </c>
      <c r="C50" s="2660">
        <f t="shared" si="94"/>
        <v>170.99125648199012</v>
      </c>
      <c r="D50" s="2660">
        <f t="shared" si="76"/>
        <v>170.99125648199012</v>
      </c>
      <c r="E50" s="2660">
        <f t="shared" si="95"/>
        <v>266.07857570490052</v>
      </c>
      <c r="F50" s="2660">
        <f t="shared" si="95"/>
        <v>154.53499328828505</v>
      </c>
      <c r="G50" s="3564">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2604</v>
      </c>
      <c r="B51" s="2619">
        <v>188</v>
      </c>
      <c r="C51" s="2619">
        <v>165</v>
      </c>
      <c r="D51" s="2619">
        <f t="shared" si="76"/>
        <v>165</v>
      </c>
      <c r="E51" s="2619">
        <v>254</v>
      </c>
      <c r="F51" s="2620">
        <v>148</v>
      </c>
      <c r="G51" s="3562">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2605</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563">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2606</v>
      </c>
      <c r="B53" s="2627">
        <f t="shared" si="98"/>
        <v>168.82017748715555</v>
      </c>
      <c r="C53" s="2627">
        <f t="shared" si="98"/>
        <v>148.06267029972753</v>
      </c>
      <c r="D53" s="2627">
        <f t="shared" si="76"/>
        <v>148.06267029972753</v>
      </c>
      <c r="E53" s="2627">
        <f t="shared" si="99"/>
        <v>216.46288379323747</v>
      </c>
      <c r="F53" s="2627">
        <f t="shared" si="99"/>
        <v>134.23529411764704</v>
      </c>
      <c r="G53" s="3563">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2607</v>
      </c>
      <c r="B54" s="2627">
        <f t="shared" si="98"/>
        <v>163.84913591779542</v>
      </c>
      <c r="C54" s="2627">
        <f t="shared" si="98"/>
        <v>145.0283378746594</v>
      </c>
      <c r="D54" s="2627">
        <f t="shared" si="76"/>
        <v>145.0283378746594</v>
      </c>
      <c r="E54" s="2627">
        <f t="shared" si="99"/>
        <v>204.95180722891567</v>
      </c>
      <c r="F54" s="2627">
        <f t="shared" si="99"/>
        <v>125.95920303605313</v>
      </c>
      <c r="G54" s="3564">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2608</v>
      </c>
      <c r="B55" s="2641">
        <v>159</v>
      </c>
      <c r="C55" s="2641">
        <v>141</v>
      </c>
      <c r="D55" s="2641">
        <f t="shared" si="76"/>
        <v>141</v>
      </c>
      <c r="E55" s="2641">
        <v>195</v>
      </c>
      <c r="F55" s="2642">
        <v>122</v>
      </c>
      <c r="G55" s="3562">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2609</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563">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2610</v>
      </c>
      <c r="B57" s="2627">
        <f t="shared" si="102"/>
        <v>146.57412060301507</v>
      </c>
      <c r="C57" s="2627">
        <f t="shared" si="102"/>
        <v>136.46831955922866</v>
      </c>
      <c r="D57" s="2627">
        <f t="shared" si="76"/>
        <v>136.46831955922866</v>
      </c>
      <c r="E57" s="2627">
        <f t="shared" si="103"/>
        <v>166.73864894795128</v>
      </c>
      <c r="F57" s="2627">
        <f t="shared" si="103"/>
        <v>115.05882352941177</v>
      </c>
      <c r="G57" s="3563">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2611</v>
      </c>
      <c r="B58" s="2627">
        <f t="shared" si="102"/>
        <v>144.04145728643215</v>
      </c>
      <c r="C58" s="2627">
        <f t="shared" si="102"/>
        <v>136.12396694214877</v>
      </c>
      <c r="D58" s="2627">
        <f t="shared" si="76"/>
        <v>136.12396694214877</v>
      </c>
      <c r="E58" s="2627">
        <f t="shared" si="103"/>
        <v>158.32225913621264</v>
      </c>
      <c r="F58" s="2627">
        <f t="shared" si="103"/>
        <v>114.04278074866311</v>
      </c>
      <c r="G58" s="3564">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2612</v>
      </c>
      <c r="B59" s="2641">
        <v>138</v>
      </c>
      <c r="C59" s="2641">
        <v>131</v>
      </c>
      <c r="D59" s="2641">
        <f t="shared" si="76"/>
        <v>131</v>
      </c>
      <c r="E59" s="2641">
        <v>155</v>
      </c>
      <c r="F59" s="2642">
        <v>114</v>
      </c>
      <c r="G59" s="3562">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2613</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563">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2614</v>
      </c>
      <c r="B61" s="2627">
        <f t="shared" si="106"/>
        <v>124.29032258064517</v>
      </c>
      <c r="C61" s="2627">
        <f t="shared" si="106"/>
        <v>123.8968609865471</v>
      </c>
      <c r="D61" s="2627">
        <f t="shared" si="76"/>
        <v>123.8968609865471</v>
      </c>
      <c r="E61" s="2627">
        <f t="shared" si="107"/>
        <v>138.00507614213197</v>
      </c>
      <c r="F61" s="2627">
        <f t="shared" si="107"/>
        <v>107.96106557377048</v>
      </c>
      <c r="G61" s="3563">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2615</v>
      </c>
      <c r="B62" s="2627">
        <f t="shared" si="106"/>
        <v>122.57204301075269</v>
      </c>
      <c r="C62" s="2627">
        <f t="shared" si="106"/>
        <v>123.4932735426009</v>
      </c>
      <c r="D62" s="2627">
        <f t="shared" si="76"/>
        <v>123.4932735426009</v>
      </c>
      <c r="E62" s="2627">
        <f t="shared" si="107"/>
        <v>129.82233502538071</v>
      </c>
      <c r="F62" s="2627">
        <f t="shared" si="107"/>
        <v>107.39446721311475</v>
      </c>
      <c r="G62" s="3564">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2616</v>
      </c>
      <c r="B63" s="2657">
        <v>121</v>
      </c>
      <c r="C63" s="2657">
        <v>122</v>
      </c>
      <c r="D63" s="2657">
        <f t="shared" si="76"/>
        <v>122</v>
      </c>
      <c r="E63" s="2657">
        <v>124</v>
      </c>
      <c r="F63" s="2658">
        <v>107</v>
      </c>
      <c r="G63" s="3562">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2617</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563">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2618</v>
      </c>
      <c r="B65" s="2627">
        <f t="shared" si="110"/>
        <v>116.99099099099099</v>
      </c>
      <c r="C65" s="2627">
        <f t="shared" si="110"/>
        <v>118.84848484848486</v>
      </c>
      <c r="D65" s="2627">
        <f t="shared" si="76"/>
        <v>118.84848484848486</v>
      </c>
      <c r="E65" s="2627">
        <f t="shared" si="111"/>
        <v>117.60960960960961</v>
      </c>
      <c r="F65" s="2627">
        <f t="shared" si="111"/>
        <v>104</v>
      </c>
      <c r="G65" s="3563">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2619</v>
      </c>
      <c r="B66" s="2660">
        <f t="shared" si="110"/>
        <v>112.48648648648648</v>
      </c>
      <c r="C66" s="2660">
        <f t="shared" si="110"/>
        <v>115.21212121212122</v>
      </c>
      <c r="D66" s="2660">
        <f t="shared" si="76"/>
        <v>115.21212121212122</v>
      </c>
      <c r="E66" s="2660">
        <f t="shared" si="111"/>
        <v>110.4024024024024</v>
      </c>
      <c r="F66" s="2660">
        <f t="shared" si="111"/>
        <v>104</v>
      </c>
      <c r="G66" s="3564">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2620</v>
      </c>
      <c r="B67" s="2678">
        <v>111</v>
      </c>
      <c r="C67" s="2678">
        <v>114</v>
      </c>
      <c r="D67" s="2678">
        <f t="shared" si="76"/>
        <v>114</v>
      </c>
      <c r="E67" s="2678">
        <v>108</v>
      </c>
      <c r="F67" s="2679">
        <v>104</v>
      </c>
      <c r="G67" s="3562">
        <v>2003</v>
      </c>
      <c r="H67" s="2668">
        <v>4</v>
      </c>
      <c r="I67" s="2680"/>
      <c r="J67" s="2680"/>
      <c r="K67" s="2680"/>
      <c r="L67" s="2680"/>
      <c r="N67" s="2681"/>
      <c r="O67" s="2680"/>
      <c r="P67" s="2680"/>
      <c r="Q67" s="2680"/>
      <c r="S67" s="2681"/>
      <c r="T67" s="2680"/>
      <c r="U67" s="2680"/>
      <c r="V67" s="2680"/>
      <c r="X67" s="2672"/>
      <c r="Y67" s="2672"/>
      <c r="Z67" s="2672"/>
    </row>
    <row r="68" spans="1:26">
      <c r="A68" s="2614" t="s">
        <v>2621</v>
      </c>
      <c r="B68" s="2682">
        <f t="shared" ref="B68:C70" si="112">B69+(B$67-B$71)/4</f>
        <v>109.75</v>
      </c>
      <c r="C68" s="2682">
        <f t="shared" si="112"/>
        <v>112.25</v>
      </c>
      <c r="D68" s="2682">
        <f t="shared" si="76"/>
        <v>112.25</v>
      </c>
      <c r="E68" s="2682">
        <f t="shared" ref="E68:F70" si="113">E69+(E$67-E$71)/4</f>
        <v>107.25</v>
      </c>
      <c r="F68" s="2682">
        <f t="shared" si="113"/>
        <v>103.5</v>
      </c>
      <c r="G68" s="3563">
        <v>2003</v>
      </c>
      <c r="H68" s="2638">
        <v>3</v>
      </c>
      <c r="I68" s="2680"/>
      <c r="J68" s="2680"/>
      <c r="K68" s="2680"/>
      <c r="L68" s="2680"/>
      <c r="X68" s="2672"/>
      <c r="Y68" s="2672"/>
      <c r="Z68" s="2672"/>
    </row>
    <row r="69" spans="1:26">
      <c r="A69" s="2614" t="s">
        <v>2622</v>
      </c>
      <c r="B69" s="2682">
        <f t="shared" si="112"/>
        <v>108.5</v>
      </c>
      <c r="C69" s="2682">
        <f t="shared" si="112"/>
        <v>110.5</v>
      </c>
      <c r="D69" s="2682">
        <f t="shared" si="76"/>
        <v>110.5</v>
      </c>
      <c r="E69" s="2682">
        <f t="shared" si="113"/>
        <v>106.5</v>
      </c>
      <c r="F69" s="2682">
        <f t="shared" si="113"/>
        <v>103</v>
      </c>
      <c r="G69" s="3563">
        <v>2003</v>
      </c>
      <c r="H69" s="2618">
        <v>2</v>
      </c>
      <c r="I69" s="2680"/>
      <c r="J69" s="2680"/>
      <c r="K69" s="2680"/>
      <c r="L69" s="2680"/>
      <c r="X69" s="2672"/>
      <c r="Y69" s="2672"/>
      <c r="Z69" s="2672"/>
    </row>
    <row r="70" spans="1:26" ht="13.5" thickBot="1">
      <c r="A70" s="2614" t="s">
        <v>2623</v>
      </c>
      <c r="B70" s="2682">
        <f t="shared" si="112"/>
        <v>107.25</v>
      </c>
      <c r="C70" s="2682">
        <f t="shared" si="112"/>
        <v>108.75</v>
      </c>
      <c r="D70" s="2682">
        <f t="shared" si="76"/>
        <v>108.75</v>
      </c>
      <c r="E70" s="2682">
        <f t="shared" si="113"/>
        <v>105.75</v>
      </c>
      <c r="F70" s="2682">
        <f t="shared" si="113"/>
        <v>102.5</v>
      </c>
      <c r="G70" s="3564">
        <v>2003</v>
      </c>
      <c r="H70" s="2683">
        <v>1</v>
      </c>
      <c r="I70" s="2680"/>
      <c r="J70" s="2680"/>
      <c r="K70" s="2680"/>
      <c r="L70" s="2680"/>
      <c r="S70" s="2622"/>
      <c r="T70" s="2623"/>
      <c r="U70" s="2623"/>
      <c r="X70" s="2672"/>
      <c r="Y70" s="2672"/>
      <c r="Z70" s="2672"/>
    </row>
    <row r="71" spans="1:26" ht="13.5" thickBot="1">
      <c r="A71" s="2614" t="s">
        <v>2624</v>
      </c>
      <c r="B71" s="2684">
        <v>106</v>
      </c>
      <c r="C71" s="2684">
        <v>107</v>
      </c>
      <c r="D71" s="2684">
        <f t="shared" si="76"/>
        <v>107</v>
      </c>
      <c r="E71" s="2684">
        <v>105</v>
      </c>
      <c r="F71" s="2685">
        <v>102</v>
      </c>
      <c r="G71" s="3562">
        <v>2002</v>
      </c>
      <c r="H71" s="2633">
        <v>4</v>
      </c>
      <c r="I71" s="2680"/>
      <c r="J71" s="2680"/>
      <c r="K71" s="2680"/>
      <c r="L71" s="2680"/>
      <c r="N71" s="2681"/>
      <c r="O71" s="2680"/>
      <c r="P71" s="2680"/>
      <c r="Q71" s="2680"/>
      <c r="S71" s="2681"/>
      <c r="T71" s="2680"/>
      <c r="U71" s="2680"/>
      <c r="V71" s="2680"/>
      <c r="X71" s="2672"/>
      <c r="Y71" s="2672"/>
      <c r="Z71" s="2672"/>
    </row>
    <row r="72" spans="1:26">
      <c r="A72" s="2614" t="s">
        <v>2625</v>
      </c>
      <c r="B72" s="2682">
        <f t="shared" ref="B72:C74" si="114">B73+(B$71-B$75)/4</f>
        <v>105</v>
      </c>
      <c r="C72" s="2682">
        <f t="shared" si="114"/>
        <v>106</v>
      </c>
      <c r="D72" s="2682">
        <f t="shared" si="76"/>
        <v>106</v>
      </c>
      <c r="E72" s="2682">
        <f t="shared" ref="E72:F74" si="115">E73+(E$71-E$75)/4</f>
        <v>104.5</v>
      </c>
      <c r="F72" s="2682">
        <f t="shared" si="115"/>
        <v>101.5</v>
      </c>
      <c r="G72" s="3563">
        <v>2002</v>
      </c>
      <c r="H72" s="2638">
        <v>3</v>
      </c>
      <c r="I72" s="2680"/>
      <c r="J72" s="2680"/>
      <c r="K72" s="2680"/>
      <c r="L72" s="2680"/>
      <c r="X72" s="2672"/>
      <c r="Y72" s="2672"/>
      <c r="Z72" s="2672"/>
    </row>
    <row r="73" spans="1:26">
      <c r="A73" s="2614" t="s">
        <v>2626</v>
      </c>
      <c r="B73" s="2682">
        <f t="shared" si="114"/>
        <v>104</v>
      </c>
      <c r="C73" s="2682">
        <f t="shared" si="114"/>
        <v>105</v>
      </c>
      <c r="D73" s="2682">
        <f t="shared" si="76"/>
        <v>105</v>
      </c>
      <c r="E73" s="2682">
        <f t="shared" si="115"/>
        <v>104</v>
      </c>
      <c r="F73" s="2682">
        <f t="shared" si="115"/>
        <v>101</v>
      </c>
      <c r="G73" s="3563">
        <v>2002</v>
      </c>
      <c r="H73" s="2618">
        <v>2</v>
      </c>
      <c r="I73" s="2680"/>
      <c r="J73" s="2680"/>
      <c r="K73" s="2680"/>
      <c r="L73" s="2680"/>
      <c r="X73" s="2672"/>
      <c r="Y73" s="2672"/>
      <c r="Z73" s="2672"/>
    </row>
    <row r="74" spans="1:26" s="2649" customFormat="1" ht="13.5" thickBot="1">
      <c r="A74" s="2645" t="s">
        <v>2627</v>
      </c>
      <c r="B74" s="2686">
        <f t="shared" si="114"/>
        <v>103</v>
      </c>
      <c r="C74" s="2686">
        <f t="shared" si="114"/>
        <v>104</v>
      </c>
      <c r="D74" s="2686">
        <f t="shared" si="76"/>
        <v>104</v>
      </c>
      <c r="E74" s="2686">
        <f t="shared" si="115"/>
        <v>103.5</v>
      </c>
      <c r="F74" s="2686">
        <f t="shared" si="115"/>
        <v>100.5</v>
      </c>
      <c r="G74" s="3564">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2628</v>
      </c>
      <c r="G77" s="2696"/>
      <c r="N77" s="2696"/>
      <c r="S77" s="2696"/>
    </row>
    <row r="78" spans="1:26" s="2695" customFormat="1">
      <c r="A78" s="2695" t="s">
        <v>2629</v>
      </c>
      <c r="G78" s="2696"/>
      <c r="N78" s="2696"/>
      <c r="S78" s="2696"/>
    </row>
    <row r="79" spans="1:26" s="2695" customFormat="1">
      <c r="A79" s="2695" t="s">
        <v>2630</v>
      </c>
      <c r="G79" s="2696"/>
      <c r="I79" s="2697"/>
      <c r="J79" s="2697"/>
      <c r="K79" s="2697"/>
      <c r="L79" s="2697"/>
      <c r="N79" s="2698"/>
      <c r="O79" s="2697"/>
      <c r="P79" s="2697"/>
      <c r="Q79" s="2697"/>
      <c r="S79" s="2698"/>
      <c r="T79" s="2697"/>
      <c r="U79" s="2697"/>
      <c r="V79" s="2697"/>
    </row>
    <row r="80" spans="1:26" s="2695" customFormat="1">
      <c r="A80" s="2695" t="s">
        <v>2631</v>
      </c>
      <c r="G80" s="2696"/>
      <c r="N80" s="2696"/>
      <c r="S80" s="2696"/>
    </row>
    <row r="87" spans="7:22" ht="13.5" thickBot="1"/>
    <row r="88" spans="7:22">
      <c r="G88" s="2621"/>
      <c r="S88" s="2699" t="s">
        <v>2632</v>
      </c>
      <c r="T88" s="2700" t="s">
        <v>2633</v>
      </c>
      <c r="U88" s="2700" t="s">
        <v>2634</v>
      </c>
      <c r="V88" s="2700" t="s">
        <v>2635</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2940</v>
      </c>
      <c r="B1" s="3048"/>
      <c r="C1" s="3048"/>
      <c r="D1" s="3048"/>
      <c r="E1" s="3048"/>
      <c r="F1" s="3048"/>
    </row>
    <row r="2" spans="1:6" ht="14.25">
      <c r="A2" s="3049" t="s">
        <v>2935</v>
      </c>
      <c r="B2" s="3050" t="e">
        <f ca="1">SUMIF(B7:B14,"&lt;&gt;#ref!",B7:B14)</f>
        <v>#DIV/0!</v>
      </c>
      <c r="C2" s="3049" t="s">
        <v>2936</v>
      </c>
      <c r="D2" s="3048"/>
      <c r="E2" s="3048"/>
      <c r="F2" s="3048"/>
    </row>
    <row r="3" spans="1:6" ht="14.25">
      <c r="A3" s="3049" t="s">
        <v>2968</v>
      </c>
      <c r="B3" s="3050" t="e">
        <f ca="1">ROUND(B2*10000/E3,0)</f>
        <v>#DIV/0!</v>
      </c>
      <c r="C3" s="3049" t="s">
        <v>2075</v>
      </c>
      <c r="D3" s="3049" t="s">
        <v>2937</v>
      </c>
      <c r="E3" s="3050">
        <f ca="1">SUMIF(E7:E14,"&lt;&gt;#ref!",E7:E14)</f>
        <v>0</v>
      </c>
      <c r="F3" s="3048"/>
    </row>
    <row r="4" spans="1:6" ht="14.25">
      <c r="A4" s="3049" t="s">
        <v>2944</v>
      </c>
      <c r="B4" s="3050" t="e">
        <f ca="1">ROUND(B2*10000/E4,0)</f>
        <v>#DIV/0!</v>
      </c>
      <c r="C4" s="3049" t="s">
        <v>2075</v>
      </c>
      <c r="D4" s="3049" t="s">
        <v>2945</v>
      </c>
      <c r="E4" s="3050">
        <f ca="1">SUMIF(F7:F14,"&lt;&gt;#ref!",F7:F14)</f>
        <v>0</v>
      </c>
      <c r="F4" s="3048"/>
    </row>
    <row r="5" spans="1:6" ht="14.25">
      <c r="A5" s="3051"/>
      <c r="B5" s="1863"/>
      <c r="C5" s="1863"/>
      <c r="D5" s="1863"/>
      <c r="E5" s="1863"/>
      <c r="F5" s="3048"/>
    </row>
    <row r="6" spans="1:6" ht="28.5">
      <c r="A6" s="3052" t="s">
        <v>2941</v>
      </c>
      <c r="B6" s="3049" t="s">
        <v>2938</v>
      </c>
      <c r="C6" s="3050"/>
      <c r="D6" s="1863"/>
      <c r="E6" s="3049" t="s">
        <v>2939</v>
      </c>
      <c r="F6" s="3049" t="s">
        <v>2943</v>
      </c>
    </row>
    <row r="7" spans="1:6" ht="14.25">
      <c r="A7" s="260" t="s">
        <v>2942</v>
      </c>
      <c r="B7" s="3053" t="e">
        <f ca="1">SUMIF(INDIRECT("'"&amp;A7&amp;"'"&amp;"!A:A"),"总价",INDIRECT("'"&amp;A7&amp;"'"&amp;"!B:B"))</f>
        <v>#DIV/0!</v>
      </c>
      <c r="C7" s="3049" t="s">
        <v>2936</v>
      </c>
      <c r="D7" s="1863"/>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2936</v>
      </c>
      <c r="D8" s="1863"/>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2936</v>
      </c>
      <c r="D9" s="1863"/>
      <c r="E9" s="3054" t="e">
        <f t="shared" ca="1" si="1"/>
        <v>#REF!</v>
      </c>
      <c r="F9" s="3054" t="e">
        <f t="shared" ca="1" si="2"/>
        <v>#REF!</v>
      </c>
    </row>
    <row r="10" spans="1:6" ht="14.25">
      <c r="A10" s="260"/>
      <c r="B10" s="3053" t="e">
        <f t="shared" ca="1" si="0"/>
        <v>#REF!</v>
      </c>
      <c r="C10" s="3049" t="s">
        <v>2936</v>
      </c>
      <c r="D10" s="1863"/>
      <c r="E10" s="3054" t="e">
        <f t="shared" ca="1" si="1"/>
        <v>#REF!</v>
      </c>
      <c r="F10" s="3054" t="e">
        <f t="shared" ca="1" si="2"/>
        <v>#REF!</v>
      </c>
    </row>
    <row r="11" spans="1:6" ht="14.25">
      <c r="A11" s="260"/>
      <c r="B11" s="3053" t="e">
        <f t="shared" ca="1" si="0"/>
        <v>#REF!</v>
      </c>
      <c r="C11" s="3049" t="s">
        <v>2936</v>
      </c>
      <c r="D11" s="1863"/>
      <c r="E11" s="3054" t="e">
        <f t="shared" ca="1" si="1"/>
        <v>#REF!</v>
      </c>
      <c r="F11" s="3054" t="e">
        <f t="shared" ca="1" si="2"/>
        <v>#REF!</v>
      </c>
    </row>
    <row r="12" spans="1:6" ht="14.25">
      <c r="A12" s="260"/>
      <c r="B12" s="3053" t="e">
        <f t="shared" ca="1" si="0"/>
        <v>#REF!</v>
      </c>
      <c r="C12" s="3049" t="s">
        <v>2936</v>
      </c>
      <c r="D12" s="1863"/>
      <c r="E12" s="3054" t="e">
        <f t="shared" ca="1" si="1"/>
        <v>#REF!</v>
      </c>
      <c r="F12" s="3054" t="e">
        <f t="shared" ca="1" si="2"/>
        <v>#REF!</v>
      </c>
    </row>
    <row r="13" spans="1:6" ht="14.25">
      <c r="A13" s="260"/>
      <c r="B13" s="3053" t="e">
        <f t="shared" ca="1" si="0"/>
        <v>#REF!</v>
      </c>
      <c r="C13" s="3049" t="s">
        <v>2936</v>
      </c>
      <c r="D13" s="1863"/>
      <c r="E13" s="3054" t="e">
        <f t="shared" ca="1" si="1"/>
        <v>#REF!</v>
      </c>
      <c r="F13" s="3054" t="e">
        <f t="shared" ca="1" si="2"/>
        <v>#REF!</v>
      </c>
    </row>
    <row r="14" spans="1:6" ht="14.25">
      <c r="A14" s="3047"/>
      <c r="B14" s="3053" t="e">
        <f t="shared" ca="1" si="0"/>
        <v>#REF!</v>
      </c>
      <c r="C14" s="3049" t="s">
        <v>2936</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56.25">
      <c r="A7" s="1777" t="s">
        <v>2743</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2932</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23" spans="1:1" ht="18.75">
      <c r="A23" s="1773" t="str">
        <f>IF(项目基本情况!B16="出让","本次评估设定估价对象剩余土地使用年限为"&amp;项目基本情况!D20&amp;"。","")</f>
        <v>本次评估设定估价对象剩余土地使用年限为住宅33.91年。</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6" t="s">
        <v>2371</v>
      </c>
      <c r="F1" s="2347">
        <f ca="1">J54</f>
        <v>-1.5</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5">
        <f ca="1">IF(ISERROR(C45+J31),0,C45+J31)</f>
        <v>0</v>
      </c>
      <c r="C2" s="1346"/>
      <c r="D2" s="2037"/>
      <c r="E2" s="2038"/>
      <c r="F2" s="2038"/>
      <c r="G2" s="1575"/>
      <c r="H2" s="1358"/>
      <c r="I2" s="2039"/>
      <c r="J2" s="2039"/>
      <c r="K2" s="2040"/>
      <c r="L2" s="2039"/>
      <c r="M2" s="2039"/>
    </row>
    <row r="3" spans="1:25" ht="18" customHeight="1">
      <c r="A3" s="1629" t="s">
        <v>1685</v>
      </c>
      <c r="B3" s="1386">
        <f ca="1">ROUND(B2*10000/'数据-汇总表'!E3,0)</f>
        <v>0</v>
      </c>
      <c r="C3" s="1346"/>
      <c r="D3" s="2037"/>
      <c r="E3" s="2038"/>
      <c r="F3" s="2038"/>
      <c r="G3" s="1575"/>
      <c r="H3" s="776" t="s">
        <v>695</v>
      </c>
      <c r="I3" s="2039"/>
      <c r="J3" s="2039"/>
      <c r="K3" s="2040"/>
      <c r="L3" s="2039"/>
      <c r="M3" s="2039"/>
    </row>
    <row r="4" spans="1:25" ht="18" customHeight="1">
      <c r="A4" s="1630" t="s">
        <v>696</v>
      </c>
      <c r="B4" s="1347">
        <f ca="1">ROUND(B2*10000/'数据-汇总表'!D3,0)</f>
        <v>0</v>
      </c>
      <c r="C4" s="428"/>
      <c r="D4" s="2037"/>
      <c r="E4" s="2038"/>
      <c r="F4" s="2038"/>
      <c r="G4" s="1575"/>
      <c r="H4" s="776"/>
      <c r="I4" s="2039"/>
      <c r="J4" s="2039"/>
      <c r="K4" s="2040"/>
      <c r="L4" s="2039"/>
      <c r="M4" s="2039"/>
    </row>
    <row r="5" spans="1:25" ht="18" customHeight="1" thickBot="1">
      <c r="A5" s="1631"/>
      <c r="B5" s="430">
        <f ca="1">ROUND(B2/('数据-汇总表'!D3/666.67),0)</f>
        <v>0</v>
      </c>
      <c r="C5" s="431" t="s">
        <v>697</v>
      </c>
      <c r="D5" s="2037"/>
      <c r="E5" s="2038"/>
      <c r="F5" s="2038"/>
      <c r="G5" s="1575"/>
      <c r="H5" s="776"/>
      <c r="I5" s="2039"/>
      <c r="J5" s="2039"/>
      <c r="K5" s="2040"/>
      <c r="L5" s="2039"/>
      <c r="M5" s="2039"/>
    </row>
    <row r="6" spans="1:25" ht="18" customHeight="1">
      <c r="A6" s="1810" t="s">
        <v>698</v>
      </c>
      <c r="B6" s="1802" t="s">
        <v>699</v>
      </c>
      <c r="C6" s="1802" t="s">
        <v>632</v>
      </c>
      <c r="D6" s="1802" t="s">
        <v>633</v>
      </c>
      <c r="E6" s="779" t="s">
        <v>634</v>
      </c>
      <c r="F6" s="780"/>
      <c r="G6" s="1577"/>
      <c r="H6" s="1810" t="s">
        <v>630</v>
      </c>
      <c r="I6" s="1802" t="s">
        <v>631</v>
      </c>
      <c r="J6" s="1802" t="s">
        <v>632</v>
      </c>
      <c r="K6" s="1802" t="s">
        <v>633</v>
      </c>
      <c r="L6" s="779" t="s">
        <v>634</v>
      </c>
      <c r="M6" s="780"/>
    </row>
    <row r="7" spans="1:25" ht="18" customHeight="1">
      <c r="A7" s="781">
        <v>1</v>
      </c>
      <c r="B7" s="782" t="s">
        <v>2455</v>
      </c>
      <c r="C7" s="53">
        <f ca="1">C8+C12+C14</f>
        <v>0</v>
      </c>
      <c r="D7" s="2455" t="s">
        <v>2458</v>
      </c>
      <c r="E7" s="2449"/>
      <c r="F7" s="2450"/>
      <c r="G7" s="1577"/>
      <c r="H7" s="781">
        <v>1</v>
      </c>
      <c r="I7" s="782" t="s">
        <v>2455</v>
      </c>
      <c r="J7" s="53">
        <f ca="1">J8+J12+J14</f>
        <v>0</v>
      </c>
      <c r="K7" s="2455" t="s">
        <v>2458</v>
      </c>
      <c r="L7" s="2449"/>
      <c r="M7" s="2450"/>
    </row>
    <row r="8" spans="1:25" ht="18" customHeight="1">
      <c r="A8" s="1812" t="s">
        <v>1823</v>
      </c>
      <c r="B8" s="3571" t="s">
        <v>2460</v>
      </c>
      <c r="C8" s="1807">
        <f ca="1">ROUND(F8*F10*F9*(1-F11)/10000,0)</f>
        <v>0</v>
      </c>
      <c r="D8" s="1804" t="s">
        <v>2531</v>
      </c>
      <c r="E8" s="61" t="s">
        <v>637</v>
      </c>
      <c r="F8" s="785">
        <f ca="1">INDIRECT("'数据-取费表'!u"&amp;$G$1)</f>
        <v>0</v>
      </c>
      <c r="G8" s="1577"/>
      <c r="H8" s="2463" t="s">
        <v>1823</v>
      </c>
      <c r="I8" s="3571" t="s">
        <v>2460</v>
      </c>
      <c r="J8" s="783">
        <f ca="1">ROUND(M8*M10*M9*(1-M11)/10000,0)</f>
        <v>0</v>
      </c>
      <c r="K8" s="341" t="s">
        <v>2531</v>
      </c>
      <c r="L8" s="784" t="s">
        <v>1737</v>
      </c>
      <c r="M8" s="785">
        <f ca="1">INDIRECT("'数据-取费表'!z"&amp;$G$1)</f>
        <v>0</v>
      </c>
    </row>
    <row r="9" spans="1:25" ht="18" customHeight="1">
      <c r="A9" s="2459"/>
      <c r="B9" s="3572"/>
      <c r="C9" s="1808"/>
      <c r="D9" s="1805"/>
      <c r="E9" s="61" t="s">
        <v>638</v>
      </c>
      <c r="F9" s="785">
        <f ca="1">IF(INDIRECT("'数据-取费表'!ah"&amp;$G$1)="",INDIRECT("'数据-取费表'!k"&amp;$G$1),INDIRECT("'数据-取费表'!ah"&amp;$G$1))</f>
        <v>0</v>
      </c>
      <c r="G9" s="1577"/>
      <c r="H9" s="2448"/>
      <c r="I9" s="3572"/>
      <c r="J9" s="788"/>
      <c r="K9" s="789"/>
      <c r="L9" s="784" t="s">
        <v>1738</v>
      </c>
      <c r="M9" s="785">
        <f ca="1">F9</f>
        <v>0</v>
      </c>
    </row>
    <row r="10" spans="1:25" ht="18" customHeight="1">
      <c r="A10" s="2452"/>
      <c r="B10" s="3573"/>
      <c r="C10" s="1808"/>
      <c r="D10" s="1805"/>
      <c r="E10" s="61" t="s">
        <v>639</v>
      </c>
      <c r="F10" s="785">
        <f ca="1">INDIRECT("'数据-取费表'!ai"&amp;$G$1)</f>
        <v>0</v>
      </c>
      <c r="G10" s="1577"/>
      <c r="H10" s="2448"/>
      <c r="I10" s="3573"/>
      <c r="J10" s="788"/>
      <c r="K10" s="789"/>
      <c r="L10" s="784" t="s">
        <v>1739</v>
      </c>
      <c r="M10" s="785">
        <f ca="1">INDIRECT("'数据-取费表'!ai"&amp;$G$1)</f>
        <v>0</v>
      </c>
    </row>
    <row r="11" spans="1:25" ht="18" customHeight="1">
      <c r="A11" s="786"/>
      <c r="B11" s="3574"/>
      <c r="C11" s="1808"/>
      <c r="D11" s="1805"/>
      <c r="E11" s="61" t="s">
        <v>640</v>
      </c>
      <c r="F11" s="794">
        <f ca="1">INDIRECT("'数据-取费表'!w"&amp;$G$1)</f>
        <v>0</v>
      </c>
      <c r="G11" s="1577"/>
      <c r="H11" s="2464"/>
      <c r="I11" s="3573"/>
      <c r="J11" s="788"/>
      <c r="K11" s="789"/>
      <c r="L11" s="795" t="s">
        <v>1740</v>
      </c>
      <c r="M11" s="796">
        <f ca="1">INDIRECT("'数据-取费表'!ab"&amp;$G$1)</f>
        <v>0</v>
      </c>
    </row>
    <row r="12" spans="1:25" ht="18" customHeight="1">
      <c r="A12" s="1812" t="s">
        <v>1824</v>
      </c>
      <c r="B12" s="2453" t="s">
        <v>2456</v>
      </c>
      <c r="C12" s="799">
        <f ca="1">ROUND(IF(F12="押一",C8/12*F13,IF(F12="押二",C8/12*2*F13,IF(F12="押三",C8/12*3*F13,C13*F13))),0)</f>
        <v>0</v>
      </c>
      <c r="D12" s="2460" t="s">
        <v>2965</v>
      </c>
      <c r="E12" s="2457" t="s">
        <v>2461</v>
      </c>
      <c r="F12" s="2580"/>
      <c r="G12" s="1577"/>
      <c r="H12" s="2520" t="s">
        <v>1824</v>
      </c>
      <c r="I12" s="2525" t="s">
        <v>2456</v>
      </c>
      <c r="J12" s="783">
        <f ca="1">ROUND(IF(M12="押一",J8/12*M13,IF(M12="押二",J8/12*2*M13,IF(M12="押三",J8/12*3*M13,J13*M13))),0)</f>
        <v>0</v>
      </c>
      <c r="K12" s="2460" t="s">
        <v>2965</v>
      </c>
      <c r="L12" s="2457" t="s">
        <v>2461</v>
      </c>
      <c r="M12" s="2580"/>
    </row>
    <row r="13" spans="1:25" ht="18" customHeight="1">
      <c r="A13" s="790"/>
      <c r="B13" s="2454" t="s">
        <v>2570</v>
      </c>
      <c r="C13" s="2458"/>
      <c r="D13" s="789"/>
      <c r="E13" s="2457" t="s">
        <v>2453</v>
      </c>
      <c r="F13" s="796">
        <f ca="1">'数据-取费表'!B39</f>
        <v>1.4999999999999999E-2</v>
      </c>
      <c r="G13" s="1577"/>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7"/>
      <c r="H14" s="2510" t="s">
        <v>2464</v>
      </c>
      <c r="I14" s="2523" t="s">
        <v>2457</v>
      </c>
      <c r="J14" s="2524"/>
      <c r="K14" s="2499"/>
      <c r="L14" s="2500"/>
      <c r="M14" s="2513"/>
    </row>
    <row r="15" spans="1:25" ht="18" customHeight="1" thickTop="1">
      <c r="A15" s="1811" t="s">
        <v>1873</v>
      </c>
      <c r="B15" s="1809" t="s">
        <v>641</v>
      </c>
      <c r="C15" s="792">
        <f ca="1">ROUND(C31*F15,0)</f>
        <v>0</v>
      </c>
      <c r="D15" s="1816" t="s">
        <v>642</v>
      </c>
      <c r="E15" s="795" t="s">
        <v>643</v>
      </c>
      <c r="F15" s="800">
        <f ca="1">INDIRECT("'数据-取费表'!y"&amp;$G$1)</f>
        <v>0</v>
      </c>
      <c r="G15" s="1577"/>
      <c r="H15" s="1811" t="s">
        <v>1825</v>
      </c>
      <c r="I15" s="1809" t="s">
        <v>644</v>
      </c>
      <c r="J15" s="1801">
        <f ca="1">ROUND(J16*J17,0)</f>
        <v>0</v>
      </c>
      <c r="K15" s="1803" t="s">
        <v>642</v>
      </c>
      <c r="L15" s="801"/>
      <c r="M15" s="802"/>
    </row>
    <row r="16" spans="1:25" ht="18" customHeight="1">
      <c r="A16" s="803" t="s">
        <v>1874</v>
      </c>
      <c r="B16" s="784" t="s">
        <v>645</v>
      </c>
      <c r="C16" s="804">
        <f ca="1">INDIRECT("'数据-取费表'!m"&amp;$G$1)+INDIRECT("'数据-取费表'!t"&amp;$G$1)</f>
        <v>0</v>
      </c>
      <c r="D16" s="1961" t="s">
        <v>646</v>
      </c>
      <c r="E16" s="1962"/>
      <c r="F16" s="805"/>
      <c r="G16" s="1577"/>
      <c r="H16" s="803" t="s">
        <v>2066</v>
      </c>
      <c r="I16" s="2213" t="s">
        <v>2821</v>
      </c>
      <c r="J16" s="53">
        <f ca="1">C31</f>
        <v>0</v>
      </c>
      <c r="K16" s="26"/>
      <c r="L16" s="801"/>
      <c r="M16" s="802"/>
    </row>
    <row r="17" spans="1:25" s="2046" customFormat="1" ht="18" customHeight="1">
      <c r="A17" s="803" t="s">
        <v>1848</v>
      </c>
      <c r="B17" s="784" t="s">
        <v>647</v>
      </c>
      <c r="C17" s="53">
        <f ca="1">ROUND(C16*F17,0)</f>
        <v>0</v>
      </c>
      <c r="D17" s="806" t="s">
        <v>648</v>
      </c>
      <c r="E17" s="806" t="s">
        <v>649</v>
      </c>
      <c r="F17" s="807">
        <f>'数据-取费表'!B33</f>
        <v>0.03</v>
      </c>
      <c r="G17" s="1578"/>
      <c r="H17" s="803" t="s">
        <v>2067</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7"/>
      <c r="H18" s="797" t="s">
        <v>1826</v>
      </c>
      <c r="I18" s="798" t="s">
        <v>651</v>
      </c>
      <c r="J18" s="799">
        <f ca="1">ROUND(J19+J24+J25+J26,0)</f>
        <v>0</v>
      </c>
      <c r="K18" s="26" t="s">
        <v>652</v>
      </c>
      <c r="L18" s="1964"/>
      <c r="M18" s="56"/>
    </row>
    <row r="19" spans="1:25" s="2046" customFormat="1" ht="18" customHeight="1">
      <c r="A19" s="803" t="s">
        <v>1850</v>
      </c>
      <c r="B19" s="784" t="s">
        <v>653</v>
      </c>
      <c r="C19" s="53">
        <f ca="1">ROUND(F19*(INDIRECT("'数据-取费表'!k"&amp;$G$1)+INDIRECT("'数据-取费表'!S"&amp;$G$1))/10000,0)</f>
        <v>0</v>
      </c>
      <c r="D19" s="784" t="s">
        <v>654</v>
      </c>
      <c r="E19" s="784" t="s">
        <v>655</v>
      </c>
      <c r="F19" s="56">
        <f>'数据-取费表'!B35</f>
        <v>150</v>
      </c>
      <c r="G19" s="1578"/>
      <c r="H19" s="803" t="s">
        <v>2066</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1851</v>
      </c>
      <c r="B20" s="784" t="s">
        <v>659</v>
      </c>
      <c r="C20" s="53">
        <f ca="1">ROUND(C16*F20,0)</f>
        <v>0</v>
      </c>
      <c r="D20" s="784" t="s">
        <v>648</v>
      </c>
      <c r="E20" s="784" t="s">
        <v>649</v>
      </c>
      <c r="F20" s="809">
        <f>'数据-取费表'!B36</f>
        <v>1.4999999999999999E-2</v>
      </c>
      <c r="G20" s="1578"/>
      <c r="H20" s="803" t="s">
        <v>1830</v>
      </c>
      <c r="I20" s="784" t="s">
        <v>660</v>
      </c>
      <c r="J20" s="53">
        <f ca="1">ROUND(J7*M20/1.05,1)</f>
        <v>0</v>
      </c>
      <c r="K20" s="1959" t="s">
        <v>661</v>
      </c>
      <c r="L20" s="784" t="s">
        <v>649</v>
      </c>
      <c r="M20" s="809">
        <f>'数据-取费表'!B41</f>
        <v>5.6000000000000001E-2</v>
      </c>
      <c r="N20" s="2045"/>
      <c r="O20" s="2045"/>
      <c r="P20" s="2045"/>
      <c r="Q20" s="2045"/>
      <c r="R20" s="2045"/>
      <c r="S20" s="2045"/>
      <c r="T20" s="2045"/>
      <c r="U20" s="2045"/>
      <c r="V20" s="2045"/>
      <c r="W20" s="2045"/>
      <c r="X20" s="2045"/>
      <c r="Y20" s="2045"/>
    </row>
    <row r="21" spans="1:25" ht="18" customHeight="1">
      <c r="A21" s="803" t="s">
        <v>1875</v>
      </c>
      <c r="B21" s="784" t="s">
        <v>662</v>
      </c>
      <c r="C21" s="53">
        <f ca="1">SUM(C16:C20)</f>
        <v>0</v>
      </c>
      <c r="D21" s="261" t="s">
        <v>663</v>
      </c>
      <c r="E21" s="1964"/>
      <c r="F21" s="56"/>
      <c r="G21" s="1577"/>
      <c r="H21" s="1812" t="s">
        <v>1848</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1876</v>
      </c>
      <c r="B22" s="784" t="s">
        <v>666</v>
      </c>
      <c r="C22" s="53">
        <f ca="1">ROUND(C21*F22,0)</f>
        <v>0</v>
      </c>
      <c r="D22" s="812" t="s">
        <v>667</v>
      </c>
      <c r="E22" s="784" t="s">
        <v>649</v>
      </c>
      <c r="F22" s="809">
        <f>'数据-取费表'!B37</f>
        <v>0.02</v>
      </c>
      <c r="G22" s="1578"/>
      <c r="H22" s="1814" t="s">
        <v>1849</v>
      </c>
      <c r="I22" s="1804" t="s">
        <v>668</v>
      </c>
      <c r="J22" s="54">
        <f ca="1">ROUND(M22*M23/10000,0)</f>
        <v>0</v>
      </c>
      <c r="K22" s="814" t="s">
        <v>669</v>
      </c>
      <c r="L22" s="784" t="s">
        <v>670</v>
      </c>
      <c r="M22" s="640">
        <f>'数据-取费表'!B52</f>
        <v>20</v>
      </c>
      <c r="N22" s="2045"/>
      <c r="O22" s="2045"/>
      <c r="P22" s="2045"/>
      <c r="Q22" s="2045"/>
      <c r="R22" s="2045"/>
      <c r="S22" s="2045"/>
      <c r="T22" s="2045"/>
      <c r="U22" s="2045"/>
      <c r="V22" s="2045"/>
      <c r="W22" s="2045"/>
      <c r="X22" s="2045"/>
      <c r="Y22" s="2045"/>
    </row>
    <row r="23" spans="1:25" s="2046" customFormat="1" ht="18" customHeight="1">
      <c r="A23" s="803" t="s">
        <v>1877</v>
      </c>
      <c r="B23" s="784" t="s">
        <v>671</v>
      </c>
      <c r="C23" s="53" t="s">
        <v>1</v>
      </c>
      <c r="D23" s="812" t="s">
        <v>672</v>
      </c>
      <c r="E23" s="784" t="s">
        <v>673</v>
      </c>
      <c r="F23" s="809">
        <f>'数据-取费表'!B38</f>
        <v>0.02</v>
      </c>
      <c r="G23" s="1578"/>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1878</v>
      </c>
      <c r="B24" s="784" t="s">
        <v>675</v>
      </c>
      <c r="C24" s="53"/>
      <c r="D24" s="2531" t="str">
        <f>IF(F25&lt;=1,"单利计息。","复利计息。")&amp;"建造成本、管理费用、销售费用产生的利息。"</f>
        <v>复利计息。建造成本、管理费用、销售费用产生的利息。</v>
      </c>
      <c r="E24" s="1964"/>
      <c r="F24" s="56"/>
      <c r="G24" s="1577"/>
      <c r="H24" s="1813" t="s">
        <v>2067</v>
      </c>
      <c r="I24" s="784" t="s">
        <v>676</v>
      </c>
      <c r="J24" s="53">
        <f ca="1">ROUND(J16*M24,0)</f>
        <v>0</v>
      </c>
      <c r="K24" s="1959" t="s">
        <v>677</v>
      </c>
      <c r="L24" s="784" t="s">
        <v>649</v>
      </c>
      <c r="M24" s="817">
        <f ca="1">INDIRECT("'数据-取费表'!Ak"&amp;$G$1)</f>
        <v>0</v>
      </c>
    </row>
    <row r="25" spans="1:25" s="2046" customFormat="1" ht="18" customHeight="1">
      <c r="A25" s="803" t="s">
        <v>1874</v>
      </c>
      <c r="B25" s="784" t="s">
        <v>2434</v>
      </c>
      <c r="C25" s="53">
        <f ca="1">ROUND(IF('数据-取费表'!B22&lt;=1,(C21+C22)*F26*F25/2,(C21+C22)*(POWER((1+F26),F25/2)-1)),0)</f>
        <v>0</v>
      </c>
      <c r="D25" s="2530" t="str">
        <f>IF(F25&lt;=1,"(建造成本+管理费用)×利率×(建设周期÷2)","(建造成本+管理费用)×((1+利率)^(建设周期÷2)-1)")</f>
        <v>(建造成本+管理费用)×((1+利率)^(建设周期÷2)-1)</v>
      </c>
      <c r="E25" s="784" t="s">
        <v>678</v>
      </c>
      <c r="F25" s="640">
        <f>'数据-取费表'!B20</f>
        <v>1.5</v>
      </c>
      <c r="G25" s="1578"/>
      <c r="H25" s="803" t="s">
        <v>1877</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1848</v>
      </c>
      <c r="B26" s="784" t="s">
        <v>681</v>
      </c>
      <c r="C26" s="53">
        <f ca="1">ROUND(IF('数据-取费表'!B22&lt;=1,F23*F26*F25/2,F23*(POWER((1+F26),F25/2)-1)),4)</f>
        <v>6.9999999999999999E-4</v>
      </c>
      <c r="D26" s="2530" t="str">
        <f>IF(F25&lt;=1,"销售费用×利率×(建设周期÷2)","销售费用×((1+利率)^(建设周期÷2)-1)")</f>
        <v>销售费用×((1+利率)^(建设周期÷2)-1)</v>
      </c>
      <c r="E26" s="784" t="s">
        <v>682</v>
      </c>
      <c r="F26" s="819">
        <f ca="1">'数据-取费表'!B40</f>
        <v>4.7500000000000001E-2</v>
      </c>
      <c r="G26" s="1578"/>
      <c r="H26" s="803" t="s">
        <v>1878</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1880</v>
      </c>
      <c r="B27" s="784" t="s">
        <v>684</v>
      </c>
      <c r="C27" s="53"/>
      <c r="D27" s="261" t="s">
        <v>685</v>
      </c>
      <c r="E27" s="1964"/>
      <c r="F27" s="56"/>
      <c r="G27" s="1577"/>
      <c r="H27" s="797" t="s">
        <v>1827</v>
      </c>
      <c r="I27" s="2957" t="s">
        <v>2818</v>
      </c>
      <c r="J27" s="799">
        <f ca="1">J7-J18</f>
        <v>0</v>
      </c>
      <c r="K27" s="1961" t="s">
        <v>700</v>
      </c>
      <c r="L27" s="1963"/>
      <c r="M27" s="820"/>
    </row>
    <row r="28" spans="1:25" ht="18" customHeight="1">
      <c r="A28" s="803" t="s">
        <v>1874</v>
      </c>
      <c r="B28" s="784" t="s">
        <v>2435</v>
      </c>
      <c r="C28" s="53">
        <f ca="1">ROUND((C21+C22)*F28,0)</f>
        <v>0</v>
      </c>
      <c r="D28" s="812" t="s">
        <v>701</v>
      </c>
      <c r="E28" s="795" t="s">
        <v>702</v>
      </c>
      <c r="F28" s="794">
        <f ca="1">INDIRECT("'数据-取费表'!q"&amp;$G$1)</f>
        <v>0</v>
      </c>
      <c r="G28" s="1577"/>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6" customFormat="1" ht="18" customHeight="1">
      <c r="A30" s="803" t="s">
        <v>1881</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19" t="s">
        <v>1882</v>
      </c>
      <c r="B31" s="2500" t="s">
        <v>2819</v>
      </c>
      <c r="C31" s="2503">
        <f ca="1">ROUND((C21+C22+C25+C28)/(1-F23-C26-C29-C30),0)</f>
        <v>0</v>
      </c>
      <c r="D31" s="2504"/>
      <c r="E31" s="2505"/>
      <c r="F31" s="2506"/>
      <c r="G31" s="1578"/>
      <c r="H31" s="823" t="s">
        <v>1871</v>
      </c>
      <c r="I31" s="2958"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6"/>
      <c r="F32" s="2450"/>
      <c r="G32" s="2044"/>
      <c r="H32" s="2047"/>
      <c r="I32" s="2048"/>
      <c r="J32" s="2049"/>
      <c r="K32" s="2050"/>
      <c r="L32" s="2051"/>
      <c r="M32" s="2052"/>
    </row>
    <row r="33" spans="1:18" ht="18" customHeight="1">
      <c r="A33" s="803" t="s">
        <v>1875</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1874</v>
      </c>
      <c r="B34" s="784" t="s">
        <v>660</v>
      </c>
      <c r="C34" s="53">
        <f ca="1">ROUND(C7*F34/1.05,1)</f>
        <v>0</v>
      </c>
      <c r="D34" s="1959" t="s">
        <v>661</v>
      </c>
      <c r="E34" s="784" t="s">
        <v>649</v>
      </c>
      <c r="F34" s="809">
        <f>'数据-取费表'!B41</f>
        <v>5.6000000000000001E-2</v>
      </c>
      <c r="G34" s="2044"/>
      <c r="H34" s="2053"/>
      <c r="I34" s="2054"/>
      <c r="J34" s="2055"/>
      <c r="K34" s="2056"/>
      <c r="L34" s="2057"/>
      <c r="M34" s="2058"/>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4"/>
      <c r="H35" s="2059"/>
      <c r="I35" s="2059"/>
      <c r="J35" s="2059"/>
      <c r="K35" s="2060"/>
      <c r="L35" s="2059"/>
      <c r="M35" s="2059"/>
    </row>
    <row r="36" spans="1:18" ht="18" customHeight="1">
      <c r="A36" s="813" t="s">
        <v>1879</v>
      </c>
      <c r="B36" s="341" t="s">
        <v>668</v>
      </c>
      <c r="C36" s="54">
        <f ca="1">ROUND(F36*F37/10000,1)</f>
        <v>0</v>
      </c>
      <c r="D36" s="814" t="s">
        <v>669</v>
      </c>
      <c r="E36" s="784" t="s">
        <v>670</v>
      </c>
      <c r="F36" s="640">
        <f>'数据-取费表'!B52</f>
        <v>20</v>
      </c>
      <c r="G36" s="2044"/>
      <c r="H36" s="2047"/>
      <c r="I36" s="3570"/>
      <c r="J36" s="2061"/>
      <c r="K36" s="2062"/>
      <c r="L36" s="2061"/>
      <c r="M36" s="2061"/>
    </row>
    <row r="37" spans="1:18" ht="18" customHeight="1">
      <c r="A37" s="815"/>
      <c r="B37" s="793"/>
      <c r="C37" s="69"/>
      <c r="D37" s="816"/>
      <c r="E37" s="784" t="s">
        <v>674</v>
      </c>
      <c r="F37" s="785">
        <f ca="1">INDIRECT("'数据-取费表'!r"&amp;$G$1)</f>
        <v>0</v>
      </c>
      <c r="G37" s="2044"/>
      <c r="H37" s="2047"/>
      <c r="I37" s="3570"/>
      <c r="J37" s="2059"/>
      <c r="K37" s="2060"/>
      <c r="L37" s="2059"/>
      <c r="M37" s="2059"/>
    </row>
    <row r="38" spans="1:18" ht="18" customHeight="1">
      <c r="A38" s="803" t="s">
        <v>1876</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1877</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19" t="s">
        <v>1878</v>
      </c>
      <c r="B40" s="2505" t="s">
        <v>666</v>
      </c>
      <c r="C40" s="2503">
        <f ca="1">ROUND(C7*F40,1)</f>
        <v>0</v>
      </c>
      <c r="D40" s="2504" t="s">
        <v>683</v>
      </c>
      <c r="E40" s="2505" t="s">
        <v>649</v>
      </c>
      <c r="F40" s="2501">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1875</v>
      </c>
      <c r="B42" s="835" t="s">
        <v>693</v>
      </c>
      <c r="C42" s="829">
        <f ca="1">C7-C32</f>
        <v>0</v>
      </c>
      <c r="D42" s="1961" t="s">
        <v>694</v>
      </c>
      <c r="E42" s="1963"/>
      <c r="F42" s="820"/>
      <c r="G42" s="2044"/>
      <c r="H42" s="2044"/>
      <c r="I42" s="2044"/>
      <c r="J42" s="2044"/>
      <c r="K42" s="2065"/>
      <c r="L42" s="2044"/>
      <c r="M42" s="2044"/>
    </row>
    <row r="43" spans="1:18" ht="18" customHeight="1">
      <c r="A43" s="803" t="s">
        <v>1876</v>
      </c>
      <c r="B43" s="835" t="s">
        <v>711</v>
      </c>
      <c r="C43" s="836">
        <f ca="1">ROUND(C15*F43,0)</f>
        <v>0</v>
      </c>
      <c r="D43" s="1351" t="s">
        <v>712</v>
      </c>
      <c r="E43" s="3065" t="s">
        <v>2953</v>
      </c>
      <c r="F43" s="3066">
        <f ca="1">INDIRECT("'数据-取费表'!j"&amp;$G$1)</f>
        <v>0</v>
      </c>
      <c r="G43" s="2044"/>
      <c r="H43" s="2044"/>
      <c r="I43" s="2044"/>
      <c r="J43" s="2044"/>
      <c r="K43" s="2065"/>
      <c r="L43" s="2044"/>
      <c r="M43" s="2044"/>
    </row>
    <row r="44" spans="1:18" ht="18" customHeight="1">
      <c r="A44" s="803" t="s">
        <v>1877</v>
      </c>
      <c r="B44" s="835" t="s">
        <v>713</v>
      </c>
      <c r="C44" s="1352">
        <f ca="1">C42-C43</f>
        <v>0</v>
      </c>
      <c r="D44" s="463" t="s">
        <v>714</v>
      </c>
      <c r="E44" s="464"/>
      <c r="F44" s="465"/>
      <c r="G44" s="2044"/>
      <c r="H44" s="2044"/>
      <c r="I44" s="2044"/>
      <c r="J44" s="2044"/>
      <c r="K44" s="2065"/>
      <c r="L44" s="2044"/>
      <c r="M44" s="2044"/>
    </row>
    <row r="45" spans="1:18" ht="18" customHeight="1">
      <c r="A45" s="803" t="s">
        <v>1878</v>
      </c>
      <c r="B45" s="1351" t="s">
        <v>715</v>
      </c>
      <c r="C45" s="2984">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67" t="s">
        <v>2956</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7" t="s">
        <v>2340</v>
      </c>
      <c r="J47" s="2338"/>
      <c r="K47" s="2339"/>
      <c r="L47" s="3100" t="str">
        <f ca="1">IF(M48="住宅",0,IF(L49&gt;J52,L61,J61))</f>
        <v>0</v>
      </c>
      <c r="O47" s="2353" t="s">
        <v>2407</v>
      </c>
      <c r="P47" s="1577"/>
      <c r="Q47" s="1588"/>
      <c r="R47" s="1577"/>
    </row>
    <row r="48" spans="1:18" s="2041" customFormat="1" ht="18" customHeight="1" thickBot="1">
      <c r="A48" s="2066"/>
      <c r="C48" s="2069"/>
      <c r="D48" s="2070"/>
      <c r="E48" s="2070"/>
      <c r="F48" s="2071"/>
      <c r="G48" s="2072"/>
      <c r="I48" s="3090" t="s">
        <v>2341</v>
      </c>
      <c r="J48" s="2340"/>
      <c r="K48" s="3097" t="s">
        <v>2346</v>
      </c>
      <c r="L48" s="3101">
        <f ca="1">INDIRECT("'数据-取费表'!d"&amp;$G$1)</f>
        <v>0</v>
      </c>
      <c r="M48" s="3064" t="str">
        <f>IF(ISNUMBER(FIND("住宅",C1)),"住宅","非住宅")</f>
        <v>非住宅</v>
      </c>
      <c r="O48" s="2354" t="s">
        <v>2372</v>
      </c>
      <c r="P48" s="2355" t="s">
        <v>2373</v>
      </c>
      <c r="Q48" s="2356" t="s">
        <v>2374</v>
      </c>
      <c r="R48" s="2355" t="s">
        <v>2375</v>
      </c>
    </row>
    <row r="49" spans="1:18" s="2041" customFormat="1" ht="18" customHeight="1" thickBot="1">
      <c r="A49" s="2066"/>
      <c r="D49" s="2073"/>
      <c r="E49" s="2074"/>
      <c r="F49" s="2071"/>
      <c r="G49" s="2072"/>
      <c r="H49" s="2075"/>
      <c r="I49" s="3069" t="s">
        <v>2342</v>
      </c>
      <c r="J49" s="2341"/>
      <c r="K49" s="3098" t="s">
        <v>2348</v>
      </c>
      <c r="L49" s="1890">
        <f ca="1">INDIRECT("'数据-取费表'!f"&amp;$G$1)</f>
        <v>0</v>
      </c>
      <c r="O49" s="2357" t="s">
        <v>2376</v>
      </c>
      <c r="P49" s="2358" t="s">
        <v>2402</v>
      </c>
      <c r="Q49" s="2359">
        <f ca="1">C41+J31</f>
        <v>0</v>
      </c>
      <c r="R49" s="2358" t="s">
        <v>2377</v>
      </c>
    </row>
    <row r="50" spans="1:18" s="2041" customFormat="1" ht="18" customHeight="1" thickBot="1">
      <c r="A50" s="2066"/>
      <c r="D50" s="2076"/>
      <c r="E50" s="2076"/>
      <c r="F50" s="2070"/>
      <c r="G50" s="2077"/>
      <c r="H50" s="2075"/>
      <c r="I50" s="3069" t="s">
        <v>2343</v>
      </c>
      <c r="J50" s="2342"/>
      <c r="K50" s="3099" t="s">
        <v>2349</v>
      </c>
      <c r="L50" s="2343"/>
      <c r="O50" s="2357" t="s">
        <v>2378</v>
      </c>
      <c r="P50" s="2358" t="s">
        <v>2403</v>
      </c>
      <c r="Q50" s="2359" t="str">
        <f ca="1">J61</f>
        <v>0</v>
      </c>
      <c r="R50" s="2358" t="s">
        <v>2379</v>
      </c>
    </row>
    <row r="51" spans="1:18" s="2041" customFormat="1" ht="18" customHeight="1" thickBot="1">
      <c r="A51" s="2078"/>
      <c r="D51" s="2076"/>
      <c r="E51" s="2076"/>
      <c r="F51" s="2067"/>
      <c r="H51" s="2075"/>
      <c r="I51" s="3069" t="s">
        <v>2344</v>
      </c>
      <c r="J51" s="3094">
        <f>SUMPRODUCT((I64:I66=J48)*(J63:L63=J49)*(J64:L66))</f>
        <v>0</v>
      </c>
      <c r="K51" s="3099" t="s">
        <v>2350</v>
      </c>
      <c r="L51" s="2343"/>
      <c r="O51" s="2360" t="s">
        <v>2380</v>
      </c>
      <c r="P51" s="2358" t="s">
        <v>2404</v>
      </c>
      <c r="Q51" s="2359">
        <f ca="1">C31</f>
        <v>0</v>
      </c>
      <c r="R51" s="2358" t="s">
        <v>2377</v>
      </c>
    </row>
    <row r="52" spans="1:18" s="2041" customFormat="1" ht="18" customHeight="1" thickBot="1">
      <c r="A52" s="2078"/>
      <c r="F52" s="2067"/>
      <c r="I52" s="3091" t="s">
        <v>2345</v>
      </c>
      <c r="J52" s="3095">
        <f>IF(J50="",J51,J50+J51-YEAR('数据-取费表'!B3))</f>
        <v>0</v>
      </c>
      <c r="K52" s="3069" t="s">
        <v>2351</v>
      </c>
      <c r="L52" s="3102">
        <f ca="1">ROUND(-PV(INDIRECT("'数据-取费表'!h"&amp;$G$1),L49,(C40-C14*J36),0),0)</f>
        <v>0</v>
      </c>
      <c r="O52" s="2360" t="s">
        <v>2381</v>
      </c>
      <c r="P52" s="2358" t="s">
        <v>2382</v>
      </c>
      <c r="Q52" s="2361" t="e">
        <f ca="1">J59</f>
        <v>#VALUE!</v>
      </c>
      <c r="R52" s="2362"/>
    </row>
    <row r="53" spans="1:18" s="2041" customFormat="1" ht="18" customHeight="1" thickBot="1">
      <c r="A53" s="2078"/>
      <c r="F53" s="2067"/>
      <c r="I53" s="3092" t="s">
        <v>2418</v>
      </c>
      <c r="J53" s="2344"/>
      <c r="K53" s="3092" t="s">
        <v>2417</v>
      </c>
      <c r="L53" s="2344"/>
      <c r="O53" s="2360" t="s">
        <v>2383</v>
      </c>
      <c r="P53" s="2358" t="s">
        <v>2384</v>
      </c>
      <c r="Q53" s="2361">
        <f>J53</f>
        <v>0</v>
      </c>
      <c r="R53" s="2362"/>
    </row>
    <row r="54" spans="1:18" s="2041" customFormat="1" ht="29.25" thickBot="1">
      <c r="A54" s="2078"/>
      <c r="I54" s="3093" t="s">
        <v>2969</v>
      </c>
      <c r="J54" s="3096">
        <f ca="1">IF(M48="住宅",MAX(J52,L49-'数据-取费表'!B20),MIN(J52,L49-'数据-取费表'!B20))</f>
        <v>-1.5</v>
      </c>
      <c r="K54" s="3575"/>
      <c r="L54" s="3576"/>
      <c r="O54" s="2360" t="s">
        <v>2385</v>
      </c>
      <c r="P54" s="2358" t="s">
        <v>2386</v>
      </c>
      <c r="Q54" s="2359">
        <f ca="1">J54</f>
        <v>-1.5</v>
      </c>
      <c r="R54" s="2358" t="s">
        <v>2387</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7" t="s">
        <v>2388</v>
      </c>
      <c r="P55" s="2358" t="s">
        <v>2405</v>
      </c>
      <c r="Q55" s="2359">
        <f ca="1">Q49+Q50</f>
        <v>0</v>
      </c>
      <c r="R55" s="2362" t="s">
        <v>2389</v>
      </c>
    </row>
    <row r="56" spans="1:18" s="2041" customFormat="1" ht="16.5" thickBot="1">
      <c r="A56" s="2078"/>
      <c r="B56" s="2079"/>
      <c r="C56" s="2079"/>
      <c r="I56" s="3105" t="s">
        <v>2352</v>
      </c>
      <c r="J56" s="3044" t="e">
        <f ca="1">ROUND(IF(J48="钢混",J58/J51,1-(1-2%)*(J51-J58)/J51),3)</f>
        <v>#VALUE!</v>
      </c>
      <c r="K56" s="3106" t="s">
        <v>2353</v>
      </c>
      <c r="L56" s="2345"/>
      <c r="O56" s="2363" t="s">
        <v>2408</v>
      </c>
      <c r="P56" s="1577"/>
      <c r="Q56" s="1588"/>
      <c r="R56" s="1577"/>
    </row>
    <row r="57" spans="1:18" s="2041" customFormat="1" ht="43.5" thickBot="1">
      <c r="A57" s="2078"/>
      <c r="B57" s="2079"/>
      <c r="C57" s="2079"/>
      <c r="I57" s="3107" t="s">
        <v>2354</v>
      </c>
      <c r="J57" s="3117" t="s">
        <v>1677</v>
      </c>
      <c r="K57" s="3069" t="s">
        <v>2359</v>
      </c>
      <c r="L57" s="1890">
        <f ca="1">IF(L49&lt;J52,"——",L49-J52)</f>
        <v>0</v>
      </c>
      <c r="O57" s="2354" t="s">
        <v>2372</v>
      </c>
      <c r="P57" s="2355" t="s">
        <v>2373</v>
      </c>
      <c r="Q57" s="2356" t="s">
        <v>2374</v>
      </c>
      <c r="R57" s="2355" t="s">
        <v>2375</v>
      </c>
    </row>
    <row r="58" spans="1:18" s="2041" customFormat="1" ht="29.25" thickBot="1">
      <c r="A58" s="2078"/>
      <c r="B58" s="2079"/>
      <c r="C58" s="2079"/>
      <c r="I58" s="3108" t="s">
        <v>2355</v>
      </c>
      <c r="J58" s="3109" t="str">
        <f ca="1">IF(OR(M48="住宅",J52&lt;L49,J57="是"),"——",J52-L49)</f>
        <v>——</v>
      </c>
      <c r="K58" s="3069" t="s">
        <v>2360</v>
      </c>
      <c r="L58" s="1890">
        <f ca="1">IF(L49&lt;J52,"——",IF(L56="比较法",L50,IF(L56="基准地价",L51,L52)))</f>
        <v>0</v>
      </c>
      <c r="O58" s="2357" t="s">
        <v>2376</v>
      </c>
      <c r="P58" s="2358" t="s">
        <v>2402</v>
      </c>
      <c r="Q58" s="2359">
        <f ca="1">C41+J31</f>
        <v>0</v>
      </c>
      <c r="R58" s="2358" t="s">
        <v>2377</v>
      </c>
    </row>
    <row r="59" spans="1:18" s="2041" customFormat="1" ht="29.25" thickBot="1">
      <c r="A59" s="2078"/>
      <c r="B59" s="2079"/>
      <c r="C59" s="2079"/>
      <c r="I59" s="3108" t="s">
        <v>2356</v>
      </c>
      <c r="J59" s="3045" t="e">
        <f ca="1">IF(J56&lt;0.4,0.4,J56)</f>
        <v>#VALUE!</v>
      </c>
      <c r="K59" s="3069" t="s">
        <v>2361</v>
      </c>
      <c r="L59" s="1890">
        <f ca="1">IF(ISERROR(POWER(1+L53,L48-L49)*(POWER(1+L53,L49)-1)/(POWER(1+L53,L48)-1)),0,POWER(1+L53,L48-L49)*(POWER(1+L53,L49)-1)/(POWER(1+L53,L48)-1))</f>
        <v>0</v>
      </c>
      <c r="O59" s="2357" t="s">
        <v>2378</v>
      </c>
      <c r="P59" s="2358" t="s">
        <v>2409</v>
      </c>
      <c r="Q59" s="2359" t="e">
        <f ca="1">L61</f>
        <v>#DIV/0!</v>
      </c>
      <c r="R59" s="2362" t="s">
        <v>2411</v>
      </c>
    </row>
    <row r="60" spans="1:18" s="2041" customFormat="1" ht="29.25" thickBot="1">
      <c r="A60" s="2078"/>
      <c r="B60" s="2079"/>
      <c r="C60" s="2079"/>
      <c r="I60" s="3108" t="s">
        <v>2357</v>
      </c>
      <c r="J60" s="3109" t="str">
        <f ca="1">IF(OR(M48="住宅",J52&lt;L49,J57="是"),"——",ROUND(C30*J59,0))</f>
        <v>——</v>
      </c>
      <c r="K60" s="3069" t="s">
        <v>2362</v>
      </c>
      <c r="L60" s="1890">
        <f ca="1">IF(ISERROR(POWER(1+L53,L48-J52)*(POWER(1+L53,J52)-1)/(POWER(1+L53,L48)-1)),0,POWER(1+L53,L48-J52)*(POWER(1+L53,J52)-1)/(POWER(1+L53,L48)-1))</f>
        <v>0</v>
      </c>
      <c r="O60" s="2360" t="s">
        <v>2380</v>
      </c>
      <c r="P60" s="2358" t="s">
        <v>2410</v>
      </c>
      <c r="Q60" s="2359">
        <f>IF(L56="比较法",L50,IF(L56="基准地价",L51,0))</f>
        <v>0</v>
      </c>
      <c r="R60" s="2358" t="s">
        <v>2377</v>
      </c>
    </row>
    <row r="61" spans="1:18" s="2041" customFormat="1" ht="15.75" thickBot="1">
      <c r="A61" s="2078"/>
      <c r="B61" s="2079"/>
      <c r="C61" s="2079"/>
      <c r="I61" s="3110" t="s">
        <v>2358</v>
      </c>
      <c r="J61" s="3111" t="str">
        <f ca="1">IF(OR(M48="住宅",J52&lt;L49,J57="是"),"0",ROUND(J60/(1+J53)^J54,0))</f>
        <v>0</v>
      </c>
      <c r="K61" s="3112" t="s">
        <v>2363</v>
      </c>
      <c r="L61" s="3111" t="e">
        <f ca="1">IF(OR(M48="住宅",L49&lt;J52),0,ROUND(L58*(L59/L60-1),0))</f>
        <v>#DIV/0!</v>
      </c>
      <c r="O61" s="2360" t="s">
        <v>2381</v>
      </c>
      <c r="P61" s="2358" t="s">
        <v>2390</v>
      </c>
      <c r="Q61" s="2361">
        <f>L53</f>
        <v>0</v>
      </c>
      <c r="R61" s="2362"/>
    </row>
    <row r="62" spans="1:18" s="2041" customFormat="1" ht="20.25" thickBot="1">
      <c r="A62" s="2078"/>
      <c r="B62" s="2079"/>
      <c r="C62" s="2079"/>
      <c r="K62" s="2068"/>
      <c r="O62" s="2360" t="s">
        <v>2383</v>
      </c>
      <c r="P62" s="2358" t="s">
        <v>2391</v>
      </c>
      <c r="Q62" s="2359">
        <f ca="1">L59</f>
        <v>0</v>
      </c>
      <c r="R62" s="2362" t="s">
        <v>2392</v>
      </c>
    </row>
    <row r="63" spans="1:18" s="2041" customFormat="1" ht="20.25" thickBot="1">
      <c r="A63" s="2078"/>
      <c r="B63" s="2079"/>
      <c r="C63" s="2079"/>
      <c r="I63" s="3113" t="s">
        <v>2364</v>
      </c>
      <c r="J63" s="3114" t="s">
        <v>2365</v>
      </c>
      <c r="K63" s="3114" t="s">
        <v>2366</v>
      </c>
      <c r="L63" s="3114" t="s">
        <v>2347</v>
      </c>
      <c r="M63" s="3115" t="s">
        <v>2933</v>
      </c>
      <c r="O63" s="2360" t="s">
        <v>2385</v>
      </c>
      <c r="P63" s="2358" t="s">
        <v>2393</v>
      </c>
      <c r="Q63" s="2359">
        <f ca="1">L60</f>
        <v>0</v>
      </c>
      <c r="R63" s="2362" t="s">
        <v>2394</v>
      </c>
    </row>
    <row r="64" spans="1:18" s="2041" customFormat="1" ht="15.75" thickBot="1">
      <c r="A64" s="2078"/>
      <c r="B64" s="2079"/>
      <c r="C64" s="2079"/>
      <c r="I64" s="3113" t="s">
        <v>2367</v>
      </c>
      <c r="J64" s="3114">
        <v>70</v>
      </c>
      <c r="K64" s="3114">
        <v>50</v>
      </c>
      <c r="L64" s="3114">
        <v>80</v>
      </c>
      <c r="M64" s="3116">
        <v>0.02</v>
      </c>
      <c r="O64" s="2357" t="s">
        <v>2388</v>
      </c>
      <c r="P64" s="2358" t="s">
        <v>2405</v>
      </c>
      <c r="Q64" s="2359" t="e">
        <f ca="1">Q58+Q59</f>
        <v>#DIV/0!</v>
      </c>
      <c r="R64" s="2362" t="s">
        <v>2389</v>
      </c>
    </row>
    <row r="65" spans="1:18" s="2041" customFormat="1" ht="16.5" thickBot="1">
      <c r="A65" s="2078"/>
      <c r="B65" s="2079"/>
      <c r="C65" s="2079"/>
      <c r="I65" s="3113" t="s">
        <v>2368</v>
      </c>
      <c r="J65" s="3114">
        <v>50</v>
      </c>
      <c r="K65" s="3114">
        <v>35</v>
      </c>
      <c r="L65" s="3114">
        <v>60</v>
      </c>
      <c r="M65" s="846">
        <v>0</v>
      </c>
      <c r="O65" s="2363" t="s">
        <v>2412</v>
      </c>
      <c r="P65" s="1577"/>
      <c r="Q65" s="1588"/>
      <c r="R65" s="1577"/>
    </row>
    <row r="66" spans="1:18" s="2041" customFormat="1" ht="15.75" thickBot="1">
      <c r="A66" s="2078"/>
      <c r="B66" s="2079"/>
      <c r="C66" s="2079"/>
      <c r="I66" s="3113" t="s">
        <v>2369</v>
      </c>
      <c r="J66" s="3114">
        <v>40</v>
      </c>
      <c r="K66" s="3114">
        <v>30</v>
      </c>
      <c r="L66" s="3114">
        <v>50</v>
      </c>
      <c r="M66" s="3116">
        <v>0.02</v>
      </c>
      <c r="O66" s="2354" t="s">
        <v>2372</v>
      </c>
      <c r="P66" s="2355" t="s">
        <v>2373</v>
      </c>
      <c r="Q66" s="2356" t="s">
        <v>2374</v>
      </c>
      <c r="R66" s="2355" t="s">
        <v>2375</v>
      </c>
    </row>
    <row r="67" spans="1:18" s="2041" customFormat="1" ht="15.75" thickBot="1">
      <c r="A67" s="2078"/>
      <c r="B67" s="2079"/>
      <c r="C67" s="2079"/>
      <c r="K67" s="2068"/>
      <c r="O67" s="2357" t="s">
        <v>2376</v>
      </c>
      <c r="P67" s="2358" t="s">
        <v>2402</v>
      </c>
      <c r="Q67" s="2359">
        <f ca="1">C41+J31</f>
        <v>0</v>
      </c>
      <c r="R67" s="2358" t="s">
        <v>2377</v>
      </c>
    </row>
    <row r="68" spans="1:18" s="2041" customFormat="1" ht="20.25" thickBot="1">
      <c r="A68" s="2078"/>
      <c r="B68" s="2079"/>
      <c r="C68" s="2079"/>
      <c r="K68" s="2068"/>
      <c r="O68" s="2357" t="s">
        <v>2378</v>
      </c>
      <c r="P68" s="2358" t="s">
        <v>2409</v>
      </c>
      <c r="Q68" s="2359" t="e">
        <f ca="1">L61</f>
        <v>#DIV/0!</v>
      </c>
      <c r="R68" s="2362" t="s">
        <v>2411</v>
      </c>
    </row>
    <row r="69" spans="1:18" s="2041" customFormat="1" ht="21.75" thickBot="1">
      <c r="A69" s="2078"/>
      <c r="B69" s="2079"/>
      <c r="C69" s="2079"/>
      <c r="K69" s="2068"/>
      <c r="O69" s="2360" t="s">
        <v>2380</v>
      </c>
      <c r="P69" s="2358" t="s">
        <v>2410</v>
      </c>
      <c r="Q69" s="2364">
        <f ca="1">L52</f>
        <v>0</v>
      </c>
      <c r="R69" s="2365" t="s">
        <v>2413</v>
      </c>
    </row>
    <row r="70" spans="1:18" s="2041" customFormat="1" ht="20.25" thickBot="1">
      <c r="A70" s="2078"/>
      <c r="B70" s="2079"/>
      <c r="C70" s="2079"/>
      <c r="K70" s="2068"/>
      <c r="O70" s="2360" t="s">
        <v>2381</v>
      </c>
      <c r="P70" s="2366" t="s">
        <v>2395</v>
      </c>
      <c r="Q70" s="2359">
        <f ca="1">ROUND(Q71-Q72*Q73,0)</f>
        <v>0</v>
      </c>
      <c r="R70" s="2362"/>
    </row>
    <row r="71" spans="1:18" s="2041" customFormat="1" ht="15.75" thickBot="1">
      <c r="A71" s="2078"/>
      <c r="B71" s="2079"/>
      <c r="C71" s="2079"/>
      <c r="K71" s="2068"/>
      <c r="O71" s="2360" t="s">
        <v>2396</v>
      </c>
      <c r="P71" s="2366" t="s">
        <v>2397</v>
      </c>
      <c r="Q71" s="2359">
        <f ca="1">C42</f>
        <v>0</v>
      </c>
      <c r="R71" s="2358" t="s">
        <v>2377</v>
      </c>
    </row>
    <row r="72" spans="1:18" s="2041" customFormat="1" ht="15.75" thickBot="1">
      <c r="A72" s="2078"/>
      <c r="B72" s="2079"/>
      <c r="C72" s="2079"/>
      <c r="K72" s="2068"/>
      <c r="O72" s="2360" t="s">
        <v>2398</v>
      </c>
      <c r="P72" s="2366" t="s">
        <v>2399</v>
      </c>
      <c r="Q72" s="2359">
        <f ca="1">C15</f>
        <v>0</v>
      </c>
      <c r="R72" s="2358" t="s">
        <v>2377</v>
      </c>
    </row>
    <row r="73" spans="1:18" s="2041" customFormat="1" ht="15.75" thickBot="1">
      <c r="A73" s="2078"/>
      <c r="B73" s="2079"/>
      <c r="C73" s="2079"/>
      <c r="K73" s="2068"/>
      <c r="O73" s="2360" t="s">
        <v>2400</v>
      </c>
      <c r="P73" s="2366" t="s">
        <v>2401</v>
      </c>
      <c r="Q73" s="2361">
        <f ca="1">F43</f>
        <v>0</v>
      </c>
      <c r="R73" s="2362"/>
    </row>
    <row r="74" spans="1:18" s="2041" customFormat="1" ht="15.75" thickBot="1">
      <c r="A74" s="2078"/>
      <c r="B74" s="2079"/>
      <c r="C74" s="2079"/>
      <c r="K74" s="2068"/>
      <c r="O74" s="2360" t="s">
        <v>2383</v>
      </c>
      <c r="P74" s="2358" t="s">
        <v>2390</v>
      </c>
      <c r="Q74" s="2361">
        <f>L53</f>
        <v>0</v>
      </c>
      <c r="R74" s="2362"/>
    </row>
    <row r="75" spans="1:18" s="2041" customFormat="1" ht="20.25" thickBot="1">
      <c r="A75" s="2078"/>
      <c r="B75" s="2079"/>
      <c r="C75" s="2079"/>
      <c r="K75" s="2068"/>
      <c r="O75" s="2360" t="s">
        <v>2385</v>
      </c>
      <c r="P75" s="2358" t="s">
        <v>2391</v>
      </c>
      <c r="Q75" s="2359">
        <f ca="1">L59</f>
        <v>0</v>
      </c>
      <c r="R75" s="2362" t="s">
        <v>2392</v>
      </c>
    </row>
    <row r="76" spans="1:18" s="2041" customFormat="1" ht="20.25" thickBot="1">
      <c r="A76" s="2078"/>
      <c r="B76" s="2079"/>
      <c r="C76" s="2079"/>
      <c r="K76" s="2068"/>
      <c r="O76" s="2360" t="s">
        <v>2414</v>
      </c>
      <c r="P76" s="2358" t="s">
        <v>2393</v>
      </c>
      <c r="Q76" s="2359">
        <f ca="1">L60</f>
        <v>0</v>
      </c>
      <c r="R76" s="2362" t="s">
        <v>2394</v>
      </c>
    </row>
    <row r="77" spans="1:18" s="2041" customFormat="1" ht="15.75" thickBot="1">
      <c r="A77" s="2078"/>
      <c r="B77" s="2079"/>
      <c r="C77" s="2079"/>
      <c r="K77" s="2068"/>
      <c r="O77" s="2357" t="s">
        <v>2388</v>
      </c>
      <c r="P77" s="2358" t="s">
        <v>2405</v>
      </c>
      <c r="Q77" s="2359" t="e">
        <f ca="1">Q67+Q68</f>
        <v>#DIV/0!</v>
      </c>
      <c r="R77" s="2362"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2" workbookViewId="0">
      <selection activeCell="D40" sqref="D39:D40"/>
    </sheetView>
  </sheetViews>
  <sheetFormatPr defaultRowHeight="13.5"/>
  <cols>
    <col min="1" max="1" width="75.375" style="2888" customWidth="1"/>
    <col min="2" max="2" width="6.25" style="2888" customWidth="1"/>
    <col min="3" max="5" width="13.875" style="2888" customWidth="1"/>
    <col min="6" max="6" width="10.875" style="2888" customWidth="1"/>
    <col min="7" max="7" width="7.875" style="2888" customWidth="1"/>
    <col min="8" max="8" width="9" style="2888" customWidth="1"/>
    <col min="9" max="10" width="10.625" style="2888" customWidth="1"/>
    <col min="11" max="11" width="14.375" style="2888" customWidth="1"/>
    <col min="12" max="12" width="6.25" style="2888" customWidth="1"/>
    <col min="13" max="13" width="64.125" style="2888" customWidth="1"/>
    <col min="14" max="14" width="7.875" style="2888" customWidth="1"/>
    <col min="15" max="256" width="9" style="2888"/>
    <col min="257" max="257" width="75.375" style="2888" customWidth="1"/>
    <col min="258" max="258" width="6.25" style="2888" customWidth="1"/>
    <col min="259" max="261" width="13.875" style="2888" customWidth="1"/>
    <col min="262" max="262" width="10.875" style="2888" customWidth="1"/>
    <col min="263" max="263" width="7.875" style="2888" customWidth="1"/>
    <col min="264" max="264" width="9" style="2888" customWidth="1"/>
    <col min="265" max="266" width="10.625" style="2888" customWidth="1"/>
    <col min="267" max="267" width="14.375" style="2888" customWidth="1"/>
    <col min="268" max="268" width="6.25" style="2888" customWidth="1"/>
    <col min="269" max="269" width="64.125" style="2888" customWidth="1"/>
    <col min="270" max="270" width="7.875" style="2888" customWidth="1"/>
    <col min="271" max="512" width="9" style="2888"/>
    <col min="513" max="513" width="75.375" style="2888" customWidth="1"/>
    <col min="514" max="514" width="6.25" style="2888" customWidth="1"/>
    <col min="515" max="517" width="13.875" style="2888" customWidth="1"/>
    <col min="518" max="518" width="10.875" style="2888" customWidth="1"/>
    <col min="519" max="519" width="7.875" style="2888" customWidth="1"/>
    <col min="520" max="520" width="9" style="2888" customWidth="1"/>
    <col min="521" max="522" width="10.625" style="2888" customWidth="1"/>
    <col min="523" max="523" width="14.375" style="2888" customWidth="1"/>
    <col min="524" max="524" width="6.25" style="2888" customWidth="1"/>
    <col min="525" max="525" width="64.125" style="2888" customWidth="1"/>
    <col min="526" max="526" width="7.875" style="2888" customWidth="1"/>
    <col min="527" max="768" width="9" style="2888"/>
    <col min="769" max="769" width="75.375" style="2888" customWidth="1"/>
    <col min="770" max="770" width="6.25" style="2888" customWidth="1"/>
    <col min="771" max="773" width="13.875" style="2888" customWidth="1"/>
    <col min="774" max="774" width="10.875" style="2888" customWidth="1"/>
    <col min="775" max="775" width="7.875" style="2888" customWidth="1"/>
    <col min="776" max="776" width="9" style="2888" customWidth="1"/>
    <col min="777" max="778" width="10.625" style="2888" customWidth="1"/>
    <col min="779" max="779" width="14.375" style="2888" customWidth="1"/>
    <col min="780" max="780" width="6.25" style="2888" customWidth="1"/>
    <col min="781" max="781" width="64.125" style="2888" customWidth="1"/>
    <col min="782" max="782" width="7.875" style="2888" customWidth="1"/>
    <col min="783" max="1024" width="9" style="2888"/>
    <col min="1025" max="1025" width="75.375" style="2888" customWidth="1"/>
    <col min="1026" max="1026" width="6.25" style="2888" customWidth="1"/>
    <col min="1027" max="1029" width="13.875" style="2888" customWidth="1"/>
    <col min="1030" max="1030" width="10.875" style="2888" customWidth="1"/>
    <col min="1031" max="1031" width="7.875" style="2888" customWidth="1"/>
    <col min="1032" max="1032" width="9" style="2888" customWidth="1"/>
    <col min="1033" max="1034" width="10.625" style="2888" customWidth="1"/>
    <col min="1035" max="1035" width="14.375" style="2888" customWidth="1"/>
    <col min="1036" max="1036" width="6.25" style="2888" customWidth="1"/>
    <col min="1037" max="1037" width="64.125" style="2888" customWidth="1"/>
    <col min="1038" max="1038" width="7.875" style="2888" customWidth="1"/>
    <col min="1039" max="1280" width="9" style="2888"/>
    <col min="1281" max="1281" width="75.375" style="2888" customWidth="1"/>
    <col min="1282" max="1282" width="6.25" style="2888" customWidth="1"/>
    <col min="1283" max="1285" width="13.875" style="2888" customWidth="1"/>
    <col min="1286" max="1286" width="10.875" style="2888" customWidth="1"/>
    <col min="1287" max="1287" width="7.875" style="2888" customWidth="1"/>
    <col min="1288" max="1288" width="9" style="2888" customWidth="1"/>
    <col min="1289" max="1290" width="10.625" style="2888" customWidth="1"/>
    <col min="1291" max="1291" width="14.375" style="2888" customWidth="1"/>
    <col min="1292" max="1292" width="6.25" style="2888" customWidth="1"/>
    <col min="1293" max="1293" width="64.125" style="2888" customWidth="1"/>
    <col min="1294" max="1294" width="7.875" style="2888" customWidth="1"/>
    <col min="1295" max="1536" width="9" style="2888"/>
    <col min="1537" max="1537" width="75.375" style="2888" customWidth="1"/>
    <col min="1538" max="1538" width="6.25" style="2888" customWidth="1"/>
    <col min="1539" max="1541" width="13.875" style="2888" customWidth="1"/>
    <col min="1542" max="1542" width="10.875" style="2888" customWidth="1"/>
    <col min="1543" max="1543" width="7.875" style="2888" customWidth="1"/>
    <col min="1544" max="1544" width="9" style="2888" customWidth="1"/>
    <col min="1545" max="1546" width="10.625" style="2888" customWidth="1"/>
    <col min="1547" max="1547" width="14.375" style="2888" customWidth="1"/>
    <col min="1548" max="1548" width="6.25" style="2888" customWidth="1"/>
    <col min="1549" max="1549" width="64.125" style="2888" customWidth="1"/>
    <col min="1550" max="1550" width="7.875" style="2888" customWidth="1"/>
    <col min="1551" max="1792" width="9" style="2888"/>
    <col min="1793" max="1793" width="75.375" style="2888" customWidth="1"/>
    <col min="1794" max="1794" width="6.25" style="2888" customWidth="1"/>
    <col min="1795" max="1797" width="13.875" style="2888" customWidth="1"/>
    <col min="1798" max="1798" width="10.875" style="2888" customWidth="1"/>
    <col min="1799" max="1799" width="7.875" style="2888" customWidth="1"/>
    <col min="1800" max="1800" width="9" style="2888" customWidth="1"/>
    <col min="1801" max="1802" width="10.625" style="2888" customWidth="1"/>
    <col min="1803" max="1803" width="14.375" style="2888" customWidth="1"/>
    <col min="1804" max="1804" width="6.25" style="2888" customWidth="1"/>
    <col min="1805" max="1805" width="64.125" style="2888" customWidth="1"/>
    <col min="1806" max="1806" width="7.875" style="2888" customWidth="1"/>
    <col min="1807" max="2048" width="9" style="2888"/>
    <col min="2049" max="2049" width="75.375" style="2888" customWidth="1"/>
    <col min="2050" max="2050" width="6.25" style="2888" customWidth="1"/>
    <col min="2051" max="2053" width="13.875" style="2888" customWidth="1"/>
    <col min="2054" max="2054" width="10.875" style="2888" customWidth="1"/>
    <col min="2055" max="2055" width="7.875" style="2888" customWidth="1"/>
    <col min="2056" max="2056" width="9" style="2888" customWidth="1"/>
    <col min="2057" max="2058" width="10.625" style="2888" customWidth="1"/>
    <col min="2059" max="2059" width="14.375" style="2888" customWidth="1"/>
    <col min="2060" max="2060" width="6.25" style="2888" customWidth="1"/>
    <col min="2061" max="2061" width="64.125" style="2888" customWidth="1"/>
    <col min="2062" max="2062" width="7.875" style="2888" customWidth="1"/>
    <col min="2063" max="2304" width="9" style="2888"/>
    <col min="2305" max="2305" width="75.375" style="2888" customWidth="1"/>
    <col min="2306" max="2306" width="6.25" style="2888" customWidth="1"/>
    <col min="2307" max="2309" width="13.875" style="2888" customWidth="1"/>
    <col min="2310" max="2310" width="10.875" style="2888" customWidth="1"/>
    <col min="2311" max="2311" width="7.875" style="2888" customWidth="1"/>
    <col min="2312" max="2312" width="9" style="2888" customWidth="1"/>
    <col min="2313" max="2314" width="10.625" style="2888" customWidth="1"/>
    <col min="2315" max="2315" width="14.375" style="2888" customWidth="1"/>
    <col min="2316" max="2316" width="6.25" style="2888" customWidth="1"/>
    <col min="2317" max="2317" width="64.125" style="2888" customWidth="1"/>
    <col min="2318" max="2318" width="7.875" style="2888" customWidth="1"/>
    <col min="2319" max="2560" width="9" style="2888"/>
    <col min="2561" max="2561" width="75.375" style="2888" customWidth="1"/>
    <col min="2562" max="2562" width="6.25" style="2888" customWidth="1"/>
    <col min="2563" max="2565" width="13.875" style="2888" customWidth="1"/>
    <col min="2566" max="2566" width="10.875" style="2888" customWidth="1"/>
    <col min="2567" max="2567" width="7.875" style="2888" customWidth="1"/>
    <col min="2568" max="2568" width="9" style="2888" customWidth="1"/>
    <col min="2569" max="2570" width="10.625" style="2888" customWidth="1"/>
    <col min="2571" max="2571" width="14.375" style="2888" customWidth="1"/>
    <col min="2572" max="2572" width="6.25" style="2888" customWidth="1"/>
    <col min="2573" max="2573" width="64.125" style="2888" customWidth="1"/>
    <col min="2574" max="2574" width="7.875" style="2888" customWidth="1"/>
    <col min="2575" max="2816" width="9" style="2888"/>
    <col min="2817" max="2817" width="75.375" style="2888" customWidth="1"/>
    <col min="2818" max="2818" width="6.25" style="2888" customWidth="1"/>
    <col min="2819" max="2821" width="13.875" style="2888" customWidth="1"/>
    <col min="2822" max="2822" width="10.875" style="2888" customWidth="1"/>
    <col min="2823" max="2823" width="7.875" style="2888" customWidth="1"/>
    <col min="2824" max="2824" width="9" style="2888" customWidth="1"/>
    <col min="2825" max="2826" width="10.625" style="2888" customWidth="1"/>
    <col min="2827" max="2827" width="14.375" style="2888" customWidth="1"/>
    <col min="2828" max="2828" width="6.25" style="2888" customWidth="1"/>
    <col min="2829" max="2829" width="64.125" style="2888" customWidth="1"/>
    <col min="2830" max="2830" width="7.875" style="2888" customWidth="1"/>
    <col min="2831" max="3072" width="9" style="2888"/>
    <col min="3073" max="3073" width="75.375" style="2888" customWidth="1"/>
    <col min="3074" max="3074" width="6.25" style="2888" customWidth="1"/>
    <col min="3075" max="3077" width="13.875" style="2888" customWidth="1"/>
    <col min="3078" max="3078" width="10.875" style="2888" customWidth="1"/>
    <col min="3079" max="3079" width="7.875" style="2888" customWidth="1"/>
    <col min="3080" max="3080" width="9" style="2888" customWidth="1"/>
    <col min="3081" max="3082" width="10.625" style="2888" customWidth="1"/>
    <col min="3083" max="3083" width="14.375" style="2888" customWidth="1"/>
    <col min="3084" max="3084" width="6.25" style="2888" customWidth="1"/>
    <col min="3085" max="3085" width="64.125" style="2888" customWidth="1"/>
    <col min="3086" max="3086" width="7.875" style="2888" customWidth="1"/>
    <col min="3087" max="3328" width="9" style="2888"/>
    <col min="3329" max="3329" width="75.375" style="2888" customWidth="1"/>
    <col min="3330" max="3330" width="6.25" style="2888" customWidth="1"/>
    <col min="3331" max="3333" width="13.875" style="2888" customWidth="1"/>
    <col min="3334" max="3334" width="10.875" style="2888" customWidth="1"/>
    <col min="3335" max="3335" width="7.875" style="2888" customWidth="1"/>
    <col min="3336" max="3336" width="9" style="2888" customWidth="1"/>
    <col min="3337" max="3338" width="10.625" style="2888" customWidth="1"/>
    <col min="3339" max="3339" width="14.375" style="2888" customWidth="1"/>
    <col min="3340" max="3340" width="6.25" style="2888" customWidth="1"/>
    <col min="3341" max="3341" width="64.125" style="2888" customWidth="1"/>
    <col min="3342" max="3342" width="7.875" style="2888" customWidth="1"/>
    <col min="3343" max="3584" width="9" style="2888"/>
    <col min="3585" max="3585" width="75.375" style="2888" customWidth="1"/>
    <col min="3586" max="3586" width="6.25" style="2888" customWidth="1"/>
    <col min="3587" max="3589" width="13.875" style="2888" customWidth="1"/>
    <col min="3590" max="3590" width="10.875" style="2888" customWidth="1"/>
    <col min="3591" max="3591" width="7.875" style="2888" customWidth="1"/>
    <col min="3592" max="3592" width="9" style="2888" customWidth="1"/>
    <col min="3593" max="3594" width="10.625" style="2888" customWidth="1"/>
    <col min="3595" max="3595" width="14.375" style="2888" customWidth="1"/>
    <col min="3596" max="3596" width="6.25" style="2888" customWidth="1"/>
    <col min="3597" max="3597" width="64.125" style="2888" customWidth="1"/>
    <col min="3598" max="3598" width="7.875" style="2888" customWidth="1"/>
    <col min="3599" max="3840" width="9" style="2888"/>
    <col min="3841" max="3841" width="75.375" style="2888" customWidth="1"/>
    <col min="3842" max="3842" width="6.25" style="2888" customWidth="1"/>
    <col min="3843" max="3845" width="13.875" style="2888" customWidth="1"/>
    <col min="3846" max="3846" width="10.875" style="2888" customWidth="1"/>
    <col min="3847" max="3847" width="7.875" style="2888" customWidth="1"/>
    <col min="3848" max="3848" width="9" style="2888" customWidth="1"/>
    <col min="3849" max="3850" width="10.625" style="2888" customWidth="1"/>
    <col min="3851" max="3851" width="14.375" style="2888" customWidth="1"/>
    <col min="3852" max="3852" width="6.25" style="2888" customWidth="1"/>
    <col min="3853" max="3853" width="64.125" style="2888" customWidth="1"/>
    <col min="3854" max="3854" width="7.875" style="2888" customWidth="1"/>
    <col min="3855" max="4096" width="9" style="2888"/>
    <col min="4097" max="4097" width="75.375" style="2888" customWidth="1"/>
    <col min="4098" max="4098" width="6.25" style="2888" customWidth="1"/>
    <col min="4099" max="4101" width="13.875" style="2888" customWidth="1"/>
    <col min="4102" max="4102" width="10.875" style="2888" customWidth="1"/>
    <col min="4103" max="4103" width="7.875" style="2888" customWidth="1"/>
    <col min="4104" max="4104" width="9" style="2888" customWidth="1"/>
    <col min="4105" max="4106" width="10.625" style="2888" customWidth="1"/>
    <col min="4107" max="4107" width="14.375" style="2888" customWidth="1"/>
    <col min="4108" max="4108" width="6.25" style="2888" customWidth="1"/>
    <col min="4109" max="4109" width="64.125" style="2888" customWidth="1"/>
    <col min="4110" max="4110" width="7.875" style="2888" customWidth="1"/>
    <col min="4111" max="4352" width="9" style="2888"/>
    <col min="4353" max="4353" width="75.375" style="2888" customWidth="1"/>
    <col min="4354" max="4354" width="6.25" style="2888" customWidth="1"/>
    <col min="4355" max="4357" width="13.875" style="2888" customWidth="1"/>
    <col min="4358" max="4358" width="10.875" style="2888" customWidth="1"/>
    <col min="4359" max="4359" width="7.875" style="2888" customWidth="1"/>
    <col min="4360" max="4360" width="9" style="2888" customWidth="1"/>
    <col min="4361" max="4362" width="10.625" style="2888" customWidth="1"/>
    <col min="4363" max="4363" width="14.375" style="2888" customWidth="1"/>
    <col min="4364" max="4364" width="6.25" style="2888" customWidth="1"/>
    <col min="4365" max="4365" width="64.125" style="2888" customWidth="1"/>
    <col min="4366" max="4366" width="7.875" style="2888" customWidth="1"/>
    <col min="4367" max="4608" width="9" style="2888"/>
    <col min="4609" max="4609" width="75.375" style="2888" customWidth="1"/>
    <col min="4610" max="4610" width="6.25" style="2888" customWidth="1"/>
    <col min="4611" max="4613" width="13.875" style="2888" customWidth="1"/>
    <col min="4614" max="4614" width="10.875" style="2888" customWidth="1"/>
    <col min="4615" max="4615" width="7.875" style="2888" customWidth="1"/>
    <col min="4616" max="4616" width="9" style="2888" customWidth="1"/>
    <col min="4617" max="4618" width="10.625" style="2888" customWidth="1"/>
    <col min="4619" max="4619" width="14.375" style="2888" customWidth="1"/>
    <col min="4620" max="4620" width="6.25" style="2888" customWidth="1"/>
    <col min="4621" max="4621" width="64.125" style="2888" customWidth="1"/>
    <col min="4622" max="4622" width="7.875" style="2888" customWidth="1"/>
    <col min="4623" max="4864" width="9" style="2888"/>
    <col min="4865" max="4865" width="75.375" style="2888" customWidth="1"/>
    <col min="4866" max="4866" width="6.25" style="2888" customWidth="1"/>
    <col min="4867" max="4869" width="13.875" style="2888" customWidth="1"/>
    <col min="4870" max="4870" width="10.875" style="2888" customWidth="1"/>
    <col min="4871" max="4871" width="7.875" style="2888" customWidth="1"/>
    <col min="4872" max="4872" width="9" style="2888" customWidth="1"/>
    <col min="4873" max="4874" width="10.625" style="2888" customWidth="1"/>
    <col min="4875" max="4875" width="14.375" style="2888" customWidth="1"/>
    <col min="4876" max="4876" width="6.25" style="2888" customWidth="1"/>
    <col min="4877" max="4877" width="64.125" style="2888" customWidth="1"/>
    <col min="4878" max="4878" width="7.875" style="2888" customWidth="1"/>
    <col min="4879" max="5120" width="9" style="2888"/>
    <col min="5121" max="5121" width="75.375" style="2888" customWidth="1"/>
    <col min="5122" max="5122" width="6.25" style="2888" customWidth="1"/>
    <col min="5123" max="5125" width="13.875" style="2888" customWidth="1"/>
    <col min="5126" max="5126" width="10.875" style="2888" customWidth="1"/>
    <col min="5127" max="5127" width="7.875" style="2888" customWidth="1"/>
    <col min="5128" max="5128" width="9" style="2888" customWidth="1"/>
    <col min="5129" max="5130" width="10.625" style="2888" customWidth="1"/>
    <col min="5131" max="5131" width="14.375" style="2888" customWidth="1"/>
    <col min="5132" max="5132" width="6.25" style="2888" customWidth="1"/>
    <col min="5133" max="5133" width="64.125" style="2888" customWidth="1"/>
    <col min="5134" max="5134" width="7.875" style="2888" customWidth="1"/>
    <col min="5135" max="5376" width="9" style="2888"/>
    <col min="5377" max="5377" width="75.375" style="2888" customWidth="1"/>
    <col min="5378" max="5378" width="6.25" style="2888" customWidth="1"/>
    <col min="5379" max="5381" width="13.875" style="2888" customWidth="1"/>
    <col min="5382" max="5382" width="10.875" style="2888" customWidth="1"/>
    <col min="5383" max="5383" width="7.875" style="2888" customWidth="1"/>
    <col min="5384" max="5384" width="9" style="2888" customWidth="1"/>
    <col min="5385" max="5386" width="10.625" style="2888" customWidth="1"/>
    <col min="5387" max="5387" width="14.375" style="2888" customWidth="1"/>
    <col min="5388" max="5388" width="6.25" style="2888" customWidth="1"/>
    <col min="5389" max="5389" width="64.125" style="2888" customWidth="1"/>
    <col min="5390" max="5390" width="7.875" style="2888" customWidth="1"/>
    <col min="5391" max="5632" width="9" style="2888"/>
    <col min="5633" max="5633" width="75.375" style="2888" customWidth="1"/>
    <col min="5634" max="5634" width="6.25" style="2888" customWidth="1"/>
    <col min="5635" max="5637" width="13.875" style="2888" customWidth="1"/>
    <col min="5638" max="5638" width="10.875" style="2888" customWidth="1"/>
    <col min="5639" max="5639" width="7.875" style="2888" customWidth="1"/>
    <col min="5640" max="5640" width="9" style="2888" customWidth="1"/>
    <col min="5641" max="5642" width="10.625" style="2888" customWidth="1"/>
    <col min="5643" max="5643" width="14.375" style="2888" customWidth="1"/>
    <col min="5644" max="5644" width="6.25" style="2888" customWidth="1"/>
    <col min="5645" max="5645" width="64.125" style="2888" customWidth="1"/>
    <col min="5646" max="5646" width="7.875" style="2888" customWidth="1"/>
    <col min="5647" max="5888" width="9" style="2888"/>
    <col min="5889" max="5889" width="75.375" style="2888" customWidth="1"/>
    <col min="5890" max="5890" width="6.25" style="2888" customWidth="1"/>
    <col min="5891" max="5893" width="13.875" style="2888" customWidth="1"/>
    <col min="5894" max="5894" width="10.875" style="2888" customWidth="1"/>
    <col min="5895" max="5895" width="7.875" style="2888" customWidth="1"/>
    <col min="5896" max="5896" width="9" style="2888" customWidth="1"/>
    <col min="5897" max="5898" width="10.625" style="2888" customWidth="1"/>
    <col min="5899" max="5899" width="14.375" style="2888" customWidth="1"/>
    <col min="5900" max="5900" width="6.25" style="2888" customWidth="1"/>
    <col min="5901" max="5901" width="64.125" style="2888" customWidth="1"/>
    <col min="5902" max="5902" width="7.875" style="2888" customWidth="1"/>
    <col min="5903" max="6144" width="9" style="2888"/>
    <col min="6145" max="6145" width="75.375" style="2888" customWidth="1"/>
    <col min="6146" max="6146" width="6.25" style="2888" customWidth="1"/>
    <col min="6147" max="6149" width="13.875" style="2888" customWidth="1"/>
    <col min="6150" max="6150" width="10.875" style="2888" customWidth="1"/>
    <col min="6151" max="6151" width="7.875" style="2888" customWidth="1"/>
    <col min="6152" max="6152" width="9" style="2888" customWidth="1"/>
    <col min="6153" max="6154" width="10.625" style="2888" customWidth="1"/>
    <col min="6155" max="6155" width="14.375" style="2888" customWidth="1"/>
    <col min="6156" max="6156" width="6.25" style="2888" customWidth="1"/>
    <col min="6157" max="6157" width="64.125" style="2888" customWidth="1"/>
    <col min="6158" max="6158" width="7.875" style="2888" customWidth="1"/>
    <col min="6159" max="6400" width="9" style="2888"/>
    <col min="6401" max="6401" width="75.375" style="2888" customWidth="1"/>
    <col min="6402" max="6402" width="6.25" style="2888" customWidth="1"/>
    <col min="6403" max="6405" width="13.875" style="2888" customWidth="1"/>
    <col min="6406" max="6406" width="10.875" style="2888" customWidth="1"/>
    <col min="6407" max="6407" width="7.875" style="2888" customWidth="1"/>
    <col min="6408" max="6408" width="9" style="2888" customWidth="1"/>
    <col min="6409" max="6410" width="10.625" style="2888" customWidth="1"/>
    <col min="6411" max="6411" width="14.375" style="2888" customWidth="1"/>
    <col min="6412" max="6412" width="6.25" style="2888" customWidth="1"/>
    <col min="6413" max="6413" width="64.125" style="2888" customWidth="1"/>
    <col min="6414" max="6414" width="7.875" style="2888" customWidth="1"/>
    <col min="6415" max="6656" width="9" style="2888"/>
    <col min="6657" max="6657" width="75.375" style="2888" customWidth="1"/>
    <col min="6658" max="6658" width="6.25" style="2888" customWidth="1"/>
    <col min="6659" max="6661" width="13.875" style="2888" customWidth="1"/>
    <col min="6662" max="6662" width="10.875" style="2888" customWidth="1"/>
    <col min="6663" max="6663" width="7.875" style="2888" customWidth="1"/>
    <col min="6664" max="6664" width="9" style="2888" customWidth="1"/>
    <col min="6665" max="6666" width="10.625" style="2888" customWidth="1"/>
    <col min="6667" max="6667" width="14.375" style="2888" customWidth="1"/>
    <col min="6668" max="6668" width="6.25" style="2888" customWidth="1"/>
    <col min="6669" max="6669" width="64.125" style="2888" customWidth="1"/>
    <col min="6670" max="6670" width="7.875" style="2888" customWidth="1"/>
    <col min="6671" max="6912" width="9" style="2888"/>
    <col min="6913" max="6913" width="75.375" style="2888" customWidth="1"/>
    <col min="6914" max="6914" width="6.25" style="2888" customWidth="1"/>
    <col min="6915" max="6917" width="13.875" style="2888" customWidth="1"/>
    <col min="6918" max="6918" width="10.875" style="2888" customWidth="1"/>
    <col min="6919" max="6919" width="7.875" style="2888" customWidth="1"/>
    <col min="6920" max="6920" width="9" style="2888" customWidth="1"/>
    <col min="6921" max="6922" width="10.625" style="2888" customWidth="1"/>
    <col min="6923" max="6923" width="14.375" style="2888" customWidth="1"/>
    <col min="6924" max="6924" width="6.25" style="2888" customWidth="1"/>
    <col min="6925" max="6925" width="64.125" style="2888" customWidth="1"/>
    <col min="6926" max="6926" width="7.875" style="2888" customWidth="1"/>
    <col min="6927" max="7168" width="9" style="2888"/>
    <col min="7169" max="7169" width="75.375" style="2888" customWidth="1"/>
    <col min="7170" max="7170" width="6.25" style="2888" customWidth="1"/>
    <col min="7171" max="7173" width="13.875" style="2888" customWidth="1"/>
    <col min="7174" max="7174" width="10.875" style="2888" customWidth="1"/>
    <col min="7175" max="7175" width="7.875" style="2888" customWidth="1"/>
    <col min="7176" max="7176" width="9" style="2888" customWidth="1"/>
    <col min="7177" max="7178" width="10.625" style="2888" customWidth="1"/>
    <col min="7179" max="7179" width="14.375" style="2888" customWidth="1"/>
    <col min="7180" max="7180" width="6.25" style="2888" customWidth="1"/>
    <col min="7181" max="7181" width="64.125" style="2888" customWidth="1"/>
    <col min="7182" max="7182" width="7.875" style="2888" customWidth="1"/>
    <col min="7183" max="7424" width="9" style="2888"/>
    <col min="7425" max="7425" width="75.375" style="2888" customWidth="1"/>
    <col min="7426" max="7426" width="6.25" style="2888" customWidth="1"/>
    <col min="7427" max="7429" width="13.875" style="2888" customWidth="1"/>
    <col min="7430" max="7430" width="10.875" style="2888" customWidth="1"/>
    <col min="7431" max="7431" width="7.875" style="2888" customWidth="1"/>
    <col min="7432" max="7432" width="9" style="2888" customWidth="1"/>
    <col min="7433" max="7434" width="10.625" style="2888" customWidth="1"/>
    <col min="7435" max="7435" width="14.375" style="2888" customWidth="1"/>
    <col min="7436" max="7436" width="6.25" style="2888" customWidth="1"/>
    <col min="7437" max="7437" width="64.125" style="2888" customWidth="1"/>
    <col min="7438" max="7438" width="7.875" style="2888" customWidth="1"/>
    <col min="7439" max="7680" width="9" style="2888"/>
    <col min="7681" max="7681" width="75.375" style="2888" customWidth="1"/>
    <col min="7682" max="7682" width="6.25" style="2888" customWidth="1"/>
    <col min="7683" max="7685" width="13.875" style="2888" customWidth="1"/>
    <col min="7686" max="7686" width="10.875" style="2888" customWidth="1"/>
    <col min="7687" max="7687" width="7.875" style="2888" customWidth="1"/>
    <col min="7688" max="7688" width="9" style="2888" customWidth="1"/>
    <col min="7689" max="7690" width="10.625" style="2888" customWidth="1"/>
    <col min="7691" max="7691" width="14.375" style="2888" customWidth="1"/>
    <col min="7692" max="7692" width="6.25" style="2888" customWidth="1"/>
    <col min="7693" max="7693" width="64.125" style="2888" customWidth="1"/>
    <col min="7694" max="7694" width="7.875" style="2888" customWidth="1"/>
    <col min="7695" max="7936" width="9" style="2888"/>
    <col min="7937" max="7937" width="75.375" style="2888" customWidth="1"/>
    <col min="7938" max="7938" width="6.25" style="2888" customWidth="1"/>
    <col min="7939" max="7941" width="13.875" style="2888" customWidth="1"/>
    <col min="7942" max="7942" width="10.875" style="2888" customWidth="1"/>
    <col min="7943" max="7943" width="7.875" style="2888" customWidth="1"/>
    <col min="7944" max="7944" width="9" style="2888" customWidth="1"/>
    <col min="7945" max="7946" width="10.625" style="2888" customWidth="1"/>
    <col min="7947" max="7947" width="14.375" style="2888" customWidth="1"/>
    <col min="7948" max="7948" width="6.25" style="2888" customWidth="1"/>
    <col min="7949" max="7949" width="64.125" style="2888" customWidth="1"/>
    <col min="7950" max="7950" width="7.875" style="2888" customWidth="1"/>
    <col min="7951" max="8192" width="9" style="2888"/>
    <col min="8193" max="8193" width="75.375" style="2888" customWidth="1"/>
    <col min="8194" max="8194" width="6.25" style="2888" customWidth="1"/>
    <col min="8195" max="8197" width="13.875" style="2888" customWidth="1"/>
    <col min="8198" max="8198" width="10.875" style="2888" customWidth="1"/>
    <col min="8199" max="8199" width="7.875" style="2888" customWidth="1"/>
    <col min="8200" max="8200" width="9" style="2888" customWidth="1"/>
    <col min="8201" max="8202" width="10.625" style="2888" customWidth="1"/>
    <col min="8203" max="8203" width="14.375" style="2888" customWidth="1"/>
    <col min="8204" max="8204" width="6.25" style="2888" customWidth="1"/>
    <col min="8205" max="8205" width="64.125" style="2888" customWidth="1"/>
    <col min="8206" max="8206" width="7.875" style="2888" customWidth="1"/>
    <col min="8207" max="8448" width="9" style="2888"/>
    <col min="8449" max="8449" width="75.375" style="2888" customWidth="1"/>
    <col min="8450" max="8450" width="6.25" style="2888" customWidth="1"/>
    <col min="8451" max="8453" width="13.875" style="2888" customWidth="1"/>
    <col min="8454" max="8454" width="10.875" style="2888" customWidth="1"/>
    <col min="8455" max="8455" width="7.875" style="2888" customWidth="1"/>
    <col min="8456" max="8456" width="9" style="2888" customWidth="1"/>
    <col min="8457" max="8458" width="10.625" style="2888" customWidth="1"/>
    <col min="8459" max="8459" width="14.375" style="2888" customWidth="1"/>
    <col min="8460" max="8460" width="6.25" style="2888" customWidth="1"/>
    <col min="8461" max="8461" width="64.125" style="2888" customWidth="1"/>
    <col min="8462" max="8462" width="7.875" style="2888" customWidth="1"/>
    <col min="8463" max="8704" width="9" style="2888"/>
    <col min="8705" max="8705" width="75.375" style="2888" customWidth="1"/>
    <col min="8706" max="8706" width="6.25" style="2888" customWidth="1"/>
    <col min="8707" max="8709" width="13.875" style="2888" customWidth="1"/>
    <col min="8710" max="8710" width="10.875" style="2888" customWidth="1"/>
    <col min="8711" max="8711" width="7.875" style="2888" customWidth="1"/>
    <col min="8712" max="8712" width="9" style="2888" customWidth="1"/>
    <col min="8713" max="8714" width="10.625" style="2888" customWidth="1"/>
    <col min="8715" max="8715" width="14.375" style="2888" customWidth="1"/>
    <col min="8716" max="8716" width="6.25" style="2888" customWidth="1"/>
    <col min="8717" max="8717" width="64.125" style="2888" customWidth="1"/>
    <col min="8718" max="8718" width="7.875" style="2888" customWidth="1"/>
    <col min="8719" max="8960" width="9" style="2888"/>
    <col min="8961" max="8961" width="75.375" style="2888" customWidth="1"/>
    <col min="8962" max="8962" width="6.25" style="2888" customWidth="1"/>
    <col min="8963" max="8965" width="13.875" style="2888" customWidth="1"/>
    <col min="8966" max="8966" width="10.875" style="2888" customWidth="1"/>
    <col min="8967" max="8967" width="7.875" style="2888" customWidth="1"/>
    <col min="8968" max="8968" width="9" style="2888" customWidth="1"/>
    <col min="8969" max="8970" width="10.625" style="2888" customWidth="1"/>
    <col min="8971" max="8971" width="14.375" style="2888" customWidth="1"/>
    <col min="8972" max="8972" width="6.25" style="2888" customWidth="1"/>
    <col min="8973" max="8973" width="64.125" style="2888" customWidth="1"/>
    <col min="8974" max="8974" width="7.875" style="2888" customWidth="1"/>
    <col min="8975" max="9216" width="9" style="2888"/>
    <col min="9217" max="9217" width="75.375" style="2888" customWidth="1"/>
    <col min="9218" max="9218" width="6.25" style="2888" customWidth="1"/>
    <col min="9219" max="9221" width="13.875" style="2888" customWidth="1"/>
    <col min="9222" max="9222" width="10.875" style="2888" customWidth="1"/>
    <col min="9223" max="9223" width="7.875" style="2888" customWidth="1"/>
    <col min="9224" max="9224" width="9" style="2888" customWidth="1"/>
    <col min="9225" max="9226" width="10.625" style="2888" customWidth="1"/>
    <col min="9227" max="9227" width="14.375" style="2888" customWidth="1"/>
    <col min="9228" max="9228" width="6.25" style="2888" customWidth="1"/>
    <col min="9229" max="9229" width="64.125" style="2888" customWidth="1"/>
    <col min="9230" max="9230" width="7.875" style="2888" customWidth="1"/>
    <col min="9231" max="9472" width="9" style="2888"/>
    <col min="9473" max="9473" width="75.375" style="2888" customWidth="1"/>
    <col min="9474" max="9474" width="6.25" style="2888" customWidth="1"/>
    <col min="9475" max="9477" width="13.875" style="2888" customWidth="1"/>
    <col min="9478" max="9478" width="10.875" style="2888" customWidth="1"/>
    <col min="9479" max="9479" width="7.875" style="2888" customWidth="1"/>
    <col min="9480" max="9480" width="9" style="2888" customWidth="1"/>
    <col min="9481" max="9482" width="10.625" style="2888" customWidth="1"/>
    <col min="9483" max="9483" width="14.375" style="2888" customWidth="1"/>
    <col min="9484" max="9484" width="6.25" style="2888" customWidth="1"/>
    <col min="9485" max="9485" width="64.125" style="2888" customWidth="1"/>
    <col min="9486" max="9486" width="7.875" style="2888" customWidth="1"/>
    <col min="9487" max="9728" width="9" style="2888"/>
    <col min="9729" max="9729" width="75.375" style="2888" customWidth="1"/>
    <col min="9730" max="9730" width="6.25" style="2888" customWidth="1"/>
    <col min="9731" max="9733" width="13.875" style="2888" customWidth="1"/>
    <col min="9734" max="9734" width="10.875" style="2888" customWidth="1"/>
    <col min="9735" max="9735" width="7.875" style="2888" customWidth="1"/>
    <col min="9736" max="9736" width="9" style="2888" customWidth="1"/>
    <col min="9737" max="9738" width="10.625" style="2888" customWidth="1"/>
    <col min="9739" max="9739" width="14.375" style="2888" customWidth="1"/>
    <col min="9740" max="9740" width="6.25" style="2888" customWidth="1"/>
    <col min="9741" max="9741" width="64.125" style="2888" customWidth="1"/>
    <col min="9742" max="9742" width="7.875" style="2888" customWidth="1"/>
    <col min="9743" max="9984" width="9" style="2888"/>
    <col min="9985" max="9985" width="75.375" style="2888" customWidth="1"/>
    <col min="9986" max="9986" width="6.25" style="2888" customWidth="1"/>
    <col min="9987" max="9989" width="13.875" style="2888" customWidth="1"/>
    <col min="9990" max="9990" width="10.875" style="2888" customWidth="1"/>
    <col min="9991" max="9991" width="7.875" style="2888" customWidth="1"/>
    <col min="9992" max="9992" width="9" style="2888" customWidth="1"/>
    <col min="9993" max="9994" width="10.625" style="2888" customWidth="1"/>
    <col min="9995" max="9995" width="14.375" style="2888" customWidth="1"/>
    <col min="9996" max="9996" width="6.25" style="2888" customWidth="1"/>
    <col min="9997" max="9997" width="64.125" style="2888" customWidth="1"/>
    <col min="9998" max="9998" width="7.875" style="2888" customWidth="1"/>
    <col min="9999" max="10240" width="9" style="2888"/>
    <col min="10241" max="10241" width="75.375" style="2888" customWidth="1"/>
    <col min="10242" max="10242" width="6.25" style="2888" customWidth="1"/>
    <col min="10243" max="10245" width="13.875" style="2888" customWidth="1"/>
    <col min="10246" max="10246" width="10.875" style="2888" customWidth="1"/>
    <col min="10247" max="10247" width="7.875" style="2888" customWidth="1"/>
    <col min="10248" max="10248" width="9" style="2888" customWidth="1"/>
    <col min="10249" max="10250" width="10.625" style="2888" customWidth="1"/>
    <col min="10251" max="10251" width="14.375" style="2888" customWidth="1"/>
    <col min="10252" max="10252" width="6.25" style="2888" customWidth="1"/>
    <col min="10253" max="10253" width="64.125" style="2888" customWidth="1"/>
    <col min="10254" max="10254" width="7.875" style="2888" customWidth="1"/>
    <col min="10255" max="10496" width="9" style="2888"/>
    <col min="10497" max="10497" width="75.375" style="2888" customWidth="1"/>
    <col min="10498" max="10498" width="6.25" style="2888" customWidth="1"/>
    <col min="10499" max="10501" width="13.875" style="2888" customWidth="1"/>
    <col min="10502" max="10502" width="10.875" style="2888" customWidth="1"/>
    <col min="10503" max="10503" width="7.875" style="2888" customWidth="1"/>
    <col min="10504" max="10504" width="9" style="2888" customWidth="1"/>
    <col min="10505" max="10506" width="10.625" style="2888" customWidth="1"/>
    <col min="10507" max="10507" width="14.375" style="2888" customWidth="1"/>
    <col min="10508" max="10508" width="6.25" style="2888" customWidth="1"/>
    <col min="10509" max="10509" width="64.125" style="2888" customWidth="1"/>
    <col min="10510" max="10510" width="7.875" style="2888" customWidth="1"/>
    <col min="10511" max="10752" width="9" style="2888"/>
    <col min="10753" max="10753" width="75.375" style="2888" customWidth="1"/>
    <col min="10754" max="10754" width="6.25" style="2888" customWidth="1"/>
    <col min="10755" max="10757" width="13.875" style="2888" customWidth="1"/>
    <col min="10758" max="10758" width="10.875" style="2888" customWidth="1"/>
    <col min="10759" max="10759" width="7.875" style="2888" customWidth="1"/>
    <col min="10760" max="10760" width="9" style="2888" customWidth="1"/>
    <col min="10761" max="10762" width="10.625" style="2888" customWidth="1"/>
    <col min="10763" max="10763" width="14.375" style="2888" customWidth="1"/>
    <col min="10764" max="10764" width="6.25" style="2888" customWidth="1"/>
    <col min="10765" max="10765" width="64.125" style="2888" customWidth="1"/>
    <col min="10766" max="10766" width="7.875" style="2888" customWidth="1"/>
    <col min="10767" max="11008" width="9" style="2888"/>
    <col min="11009" max="11009" width="75.375" style="2888" customWidth="1"/>
    <col min="11010" max="11010" width="6.25" style="2888" customWidth="1"/>
    <col min="11011" max="11013" width="13.875" style="2888" customWidth="1"/>
    <col min="11014" max="11014" width="10.875" style="2888" customWidth="1"/>
    <col min="11015" max="11015" width="7.875" style="2888" customWidth="1"/>
    <col min="11016" max="11016" width="9" style="2888" customWidth="1"/>
    <col min="11017" max="11018" width="10.625" style="2888" customWidth="1"/>
    <col min="11019" max="11019" width="14.375" style="2888" customWidth="1"/>
    <col min="11020" max="11020" width="6.25" style="2888" customWidth="1"/>
    <col min="11021" max="11021" width="64.125" style="2888" customWidth="1"/>
    <col min="11022" max="11022" width="7.875" style="2888" customWidth="1"/>
    <col min="11023" max="11264" width="9" style="2888"/>
    <col min="11265" max="11265" width="75.375" style="2888" customWidth="1"/>
    <col min="11266" max="11266" width="6.25" style="2888" customWidth="1"/>
    <col min="11267" max="11269" width="13.875" style="2888" customWidth="1"/>
    <col min="11270" max="11270" width="10.875" style="2888" customWidth="1"/>
    <col min="11271" max="11271" width="7.875" style="2888" customWidth="1"/>
    <col min="11272" max="11272" width="9" style="2888" customWidth="1"/>
    <col min="11273" max="11274" width="10.625" style="2888" customWidth="1"/>
    <col min="11275" max="11275" width="14.375" style="2888" customWidth="1"/>
    <col min="11276" max="11276" width="6.25" style="2888" customWidth="1"/>
    <col min="11277" max="11277" width="64.125" style="2888" customWidth="1"/>
    <col min="11278" max="11278" width="7.875" style="2888" customWidth="1"/>
    <col min="11279" max="11520" width="9" style="2888"/>
    <col min="11521" max="11521" width="75.375" style="2888" customWidth="1"/>
    <col min="11522" max="11522" width="6.25" style="2888" customWidth="1"/>
    <col min="11523" max="11525" width="13.875" style="2888" customWidth="1"/>
    <col min="11526" max="11526" width="10.875" style="2888" customWidth="1"/>
    <col min="11527" max="11527" width="7.875" style="2888" customWidth="1"/>
    <col min="11528" max="11528" width="9" style="2888" customWidth="1"/>
    <col min="11529" max="11530" width="10.625" style="2888" customWidth="1"/>
    <col min="11531" max="11531" width="14.375" style="2888" customWidth="1"/>
    <col min="11532" max="11532" width="6.25" style="2888" customWidth="1"/>
    <col min="11533" max="11533" width="64.125" style="2888" customWidth="1"/>
    <col min="11534" max="11534" width="7.875" style="2888" customWidth="1"/>
    <col min="11535" max="11776" width="9" style="2888"/>
    <col min="11777" max="11777" width="75.375" style="2888" customWidth="1"/>
    <col min="11778" max="11778" width="6.25" style="2888" customWidth="1"/>
    <col min="11779" max="11781" width="13.875" style="2888" customWidth="1"/>
    <col min="11782" max="11782" width="10.875" style="2888" customWidth="1"/>
    <col min="11783" max="11783" width="7.875" style="2888" customWidth="1"/>
    <col min="11784" max="11784" width="9" style="2888" customWidth="1"/>
    <col min="11785" max="11786" width="10.625" style="2888" customWidth="1"/>
    <col min="11787" max="11787" width="14.375" style="2888" customWidth="1"/>
    <col min="11788" max="11788" width="6.25" style="2888" customWidth="1"/>
    <col min="11789" max="11789" width="64.125" style="2888" customWidth="1"/>
    <col min="11790" max="11790" width="7.875" style="2888" customWidth="1"/>
    <col min="11791" max="12032" width="9" style="2888"/>
    <col min="12033" max="12033" width="75.375" style="2888" customWidth="1"/>
    <col min="12034" max="12034" width="6.25" style="2888" customWidth="1"/>
    <col min="12035" max="12037" width="13.875" style="2888" customWidth="1"/>
    <col min="12038" max="12038" width="10.875" style="2888" customWidth="1"/>
    <col min="12039" max="12039" width="7.875" style="2888" customWidth="1"/>
    <col min="12040" max="12040" width="9" style="2888" customWidth="1"/>
    <col min="12041" max="12042" width="10.625" style="2888" customWidth="1"/>
    <col min="12043" max="12043" width="14.375" style="2888" customWidth="1"/>
    <col min="12044" max="12044" width="6.25" style="2888" customWidth="1"/>
    <col min="12045" max="12045" width="64.125" style="2888" customWidth="1"/>
    <col min="12046" max="12046" width="7.875" style="2888" customWidth="1"/>
    <col min="12047" max="12288" width="9" style="2888"/>
    <col min="12289" max="12289" width="75.375" style="2888" customWidth="1"/>
    <col min="12290" max="12290" width="6.25" style="2888" customWidth="1"/>
    <col min="12291" max="12293" width="13.875" style="2888" customWidth="1"/>
    <col min="12294" max="12294" width="10.875" style="2888" customWidth="1"/>
    <col min="12295" max="12295" width="7.875" style="2888" customWidth="1"/>
    <col min="12296" max="12296" width="9" style="2888" customWidth="1"/>
    <col min="12297" max="12298" width="10.625" style="2888" customWidth="1"/>
    <col min="12299" max="12299" width="14.375" style="2888" customWidth="1"/>
    <col min="12300" max="12300" width="6.25" style="2888" customWidth="1"/>
    <col min="12301" max="12301" width="64.125" style="2888" customWidth="1"/>
    <col min="12302" max="12302" width="7.875" style="2888" customWidth="1"/>
    <col min="12303" max="12544" width="9" style="2888"/>
    <col min="12545" max="12545" width="75.375" style="2888" customWidth="1"/>
    <col min="12546" max="12546" width="6.25" style="2888" customWidth="1"/>
    <col min="12547" max="12549" width="13.875" style="2888" customWidth="1"/>
    <col min="12550" max="12550" width="10.875" style="2888" customWidth="1"/>
    <col min="12551" max="12551" width="7.875" style="2888" customWidth="1"/>
    <col min="12552" max="12552" width="9" style="2888" customWidth="1"/>
    <col min="12553" max="12554" width="10.625" style="2888" customWidth="1"/>
    <col min="12555" max="12555" width="14.375" style="2888" customWidth="1"/>
    <col min="12556" max="12556" width="6.25" style="2888" customWidth="1"/>
    <col min="12557" max="12557" width="64.125" style="2888" customWidth="1"/>
    <col min="12558" max="12558" width="7.875" style="2888" customWidth="1"/>
    <col min="12559" max="12800" width="9" style="2888"/>
    <col min="12801" max="12801" width="75.375" style="2888" customWidth="1"/>
    <col min="12802" max="12802" width="6.25" style="2888" customWidth="1"/>
    <col min="12803" max="12805" width="13.875" style="2888" customWidth="1"/>
    <col min="12806" max="12806" width="10.875" style="2888" customWidth="1"/>
    <col min="12807" max="12807" width="7.875" style="2888" customWidth="1"/>
    <col min="12808" max="12808" width="9" style="2888" customWidth="1"/>
    <col min="12809" max="12810" width="10.625" style="2888" customWidth="1"/>
    <col min="12811" max="12811" width="14.375" style="2888" customWidth="1"/>
    <col min="12812" max="12812" width="6.25" style="2888" customWidth="1"/>
    <col min="12813" max="12813" width="64.125" style="2888" customWidth="1"/>
    <col min="12814" max="12814" width="7.875" style="2888" customWidth="1"/>
    <col min="12815" max="13056" width="9" style="2888"/>
    <col min="13057" max="13057" width="75.375" style="2888" customWidth="1"/>
    <col min="13058" max="13058" width="6.25" style="2888" customWidth="1"/>
    <col min="13059" max="13061" width="13.875" style="2888" customWidth="1"/>
    <col min="13062" max="13062" width="10.875" style="2888" customWidth="1"/>
    <col min="13063" max="13063" width="7.875" style="2888" customWidth="1"/>
    <col min="13064" max="13064" width="9" style="2888" customWidth="1"/>
    <col min="13065" max="13066" width="10.625" style="2888" customWidth="1"/>
    <col min="13067" max="13067" width="14.375" style="2888" customWidth="1"/>
    <col min="13068" max="13068" width="6.25" style="2888" customWidth="1"/>
    <col min="13069" max="13069" width="64.125" style="2888" customWidth="1"/>
    <col min="13070" max="13070" width="7.875" style="2888" customWidth="1"/>
    <col min="13071" max="13312" width="9" style="2888"/>
    <col min="13313" max="13313" width="75.375" style="2888" customWidth="1"/>
    <col min="13314" max="13314" width="6.25" style="2888" customWidth="1"/>
    <col min="13315" max="13317" width="13.875" style="2888" customWidth="1"/>
    <col min="13318" max="13318" width="10.875" style="2888" customWidth="1"/>
    <col min="13319" max="13319" width="7.875" style="2888" customWidth="1"/>
    <col min="13320" max="13320" width="9" style="2888" customWidth="1"/>
    <col min="13321" max="13322" width="10.625" style="2888" customWidth="1"/>
    <col min="13323" max="13323" width="14.375" style="2888" customWidth="1"/>
    <col min="13324" max="13324" width="6.25" style="2888" customWidth="1"/>
    <col min="13325" max="13325" width="64.125" style="2888" customWidth="1"/>
    <col min="13326" max="13326" width="7.875" style="2888" customWidth="1"/>
    <col min="13327" max="13568" width="9" style="2888"/>
    <col min="13569" max="13569" width="75.375" style="2888" customWidth="1"/>
    <col min="13570" max="13570" width="6.25" style="2888" customWidth="1"/>
    <col min="13571" max="13573" width="13.875" style="2888" customWidth="1"/>
    <col min="13574" max="13574" width="10.875" style="2888" customWidth="1"/>
    <col min="13575" max="13575" width="7.875" style="2888" customWidth="1"/>
    <col min="13576" max="13576" width="9" style="2888" customWidth="1"/>
    <col min="13577" max="13578" width="10.625" style="2888" customWidth="1"/>
    <col min="13579" max="13579" width="14.375" style="2888" customWidth="1"/>
    <col min="13580" max="13580" width="6.25" style="2888" customWidth="1"/>
    <col min="13581" max="13581" width="64.125" style="2888" customWidth="1"/>
    <col min="13582" max="13582" width="7.875" style="2888" customWidth="1"/>
    <col min="13583" max="13824" width="9" style="2888"/>
    <col min="13825" max="13825" width="75.375" style="2888" customWidth="1"/>
    <col min="13826" max="13826" width="6.25" style="2888" customWidth="1"/>
    <col min="13827" max="13829" width="13.875" style="2888" customWidth="1"/>
    <col min="13830" max="13830" width="10.875" style="2888" customWidth="1"/>
    <col min="13831" max="13831" width="7.875" style="2888" customWidth="1"/>
    <col min="13832" max="13832" width="9" style="2888" customWidth="1"/>
    <col min="13833" max="13834" width="10.625" style="2888" customWidth="1"/>
    <col min="13835" max="13835" width="14.375" style="2888" customWidth="1"/>
    <col min="13836" max="13836" width="6.25" style="2888" customWidth="1"/>
    <col min="13837" max="13837" width="64.125" style="2888" customWidth="1"/>
    <col min="13838" max="13838" width="7.875" style="2888" customWidth="1"/>
    <col min="13839" max="14080" width="9" style="2888"/>
    <col min="14081" max="14081" width="75.375" style="2888" customWidth="1"/>
    <col min="14082" max="14082" width="6.25" style="2888" customWidth="1"/>
    <col min="14083" max="14085" width="13.875" style="2888" customWidth="1"/>
    <col min="14086" max="14086" width="10.875" style="2888" customWidth="1"/>
    <col min="14087" max="14087" width="7.875" style="2888" customWidth="1"/>
    <col min="14088" max="14088" width="9" style="2888" customWidth="1"/>
    <col min="14089" max="14090" width="10.625" style="2888" customWidth="1"/>
    <col min="14091" max="14091" width="14.375" style="2888" customWidth="1"/>
    <col min="14092" max="14092" width="6.25" style="2888" customWidth="1"/>
    <col min="14093" max="14093" width="64.125" style="2888" customWidth="1"/>
    <col min="14094" max="14094" width="7.875" style="2888" customWidth="1"/>
    <col min="14095" max="14336" width="9" style="2888"/>
    <col min="14337" max="14337" width="75.375" style="2888" customWidth="1"/>
    <col min="14338" max="14338" width="6.25" style="2888" customWidth="1"/>
    <col min="14339" max="14341" width="13.875" style="2888" customWidth="1"/>
    <col min="14342" max="14342" width="10.875" style="2888" customWidth="1"/>
    <col min="14343" max="14343" width="7.875" style="2888" customWidth="1"/>
    <col min="14344" max="14344" width="9" style="2888" customWidth="1"/>
    <col min="14345" max="14346" width="10.625" style="2888" customWidth="1"/>
    <col min="14347" max="14347" width="14.375" style="2888" customWidth="1"/>
    <col min="14348" max="14348" width="6.25" style="2888" customWidth="1"/>
    <col min="14349" max="14349" width="64.125" style="2888" customWidth="1"/>
    <col min="14350" max="14350" width="7.875" style="2888" customWidth="1"/>
    <col min="14351" max="14592" width="9" style="2888"/>
    <col min="14593" max="14593" width="75.375" style="2888" customWidth="1"/>
    <col min="14594" max="14594" width="6.25" style="2888" customWidth="1"/>
    <col min="14595" max="14597" width="13.875" style="2888" customWidth="1"/>
    <col min="14598" max="14598" width="10.875" style="2888" customWidth="1"/>
    <col min="14599" max="14599" width="7.875" style="2888" customWidth="1"/>
    <col min="14600" max="14600" width="9" style="2888" customWidth="1"/>
    <col min="14601" max="14602" width="10.625" style="2888" customWidth="1"/>
    <col min="14603" max="14603" width="14.375" style="2888" customWidth="1"/>
    <col min="14604" max="14604" width="6.25" style="2888" customWidth="1"/>
    <col min="14605" max="14605" width="64.125" style="2888" customWidth="1"/>
    <col min="14606" max="14606" width="7.875" style="2888" customWidth="1"/>
    <col min="14607" max="14848" width="9" style="2888"/>
    <col min="14849" max="14849" width="75.375" style="2888" customWidth="1"/>
    <col min="14850" max="14850" width="6.25" style="2888" customWidth="1"/>
    <col min="14851" max="14853" width="13.875" style="2888" customWidth="1"/>
    <col min="14854" max="14854" width="10.875" style="2888" customWidth="1"/>
    <col min="14855" max="14855" width="7.875" style="2888" customWidth="1"/>
    <col min="14856" max="14856" width="9" style="2888" customWidth="1"/>
    <col min="14857" max="14858" width="10.625" style="2888" customWidth="1"/>
    <col min="14859" max="14859" width="14.375" style="2888" customWidth="1"/>
    <col min="14860" max="14860" width="6.25" style="2888" customWidth="1"/>
    <col min="14861" max="14861" width="64.125" style="2888" customWidth="1"/>
    <col min="14862" max="14862" width="7.875" style="2888" customWidth="1"/>
    <col min="14863" max="15104" width="9" style="2888"/>
    <col min="15105" max="15105" width="75.375" style="2888" customWidth="1"/>
    <col min="15106" max="15106" width="6.25" style="2888" customWidth="1"/>
    <col min="15107" max="15109" width="13.875" style="2888" customWidth="1"/>
    <col min="15110" max="15110" width="10.875" style="2888" customWidth="1"/>
    <col min="15111" max="15111" width="7.875" style="2888" customWidth="1"/>
    <col min="15112" max="15112" width="9" style="2888" customWidth="1"/>
    <col min="15113" max="15114" width="10.625" style="2888" customWidth="1"/>
    <col min="15115" max="15115" width="14.375" style="2888" customWidth="1"/>
    <col min="15116" max="15116" width="6.25" style="2888" customWidth="1"/>
    <col min="15117" max="15117" width="64.125" style="2888" customWidth="1"/>
    <col min="15118" max="15118" width="7.875" style="2888" customWidth="1"/>
    <col min="15119" max="15360" width="9" style="2888"/>
    <col min="15361" max="15361" width="75.375" style="2888" customWidth="1"/>
    <col min="15362" max="15362" width="6.25" style="2888" customWidth="1"/>
    <col min="15363" max="15365" width="13.875" style="2888" customWidth="1"/>
    <col min="15366" max="15366" width="10.875" style="2888" customWidth="1"/>
    <col min="15367" max="15367" width="7.875" style="2888" customWidth="1"/>
    <col min="15368" max="15368" width="9" style="2888" customWidth="1"/>
    <col min="15369" max="15370" width="10.625" style="2888" customWidth="1"/>
    <col min="15371" max="15371" width="14.375" style="2888" customWidth="1"/>
    <col min="15372" max="15372" width="6.25" style="2888" customWidth="1"/>
    <col min="15373" max="15373" width="64.125" style="2888" customWidth="1"/>
    <col min="15374" max="15374" width="7.875" style="2888" customWidth="1"/>
    <col min="15375" max="15616" width="9" style="2888"/>
    <col min="15617" max="15617" width="75.375" style="2888" customWidth="1"/>
    <col min="15618" max="15618" width="6.25" style="2888" customWidth="1"/>
    <col min="15619" max="15621" width="13.875" style="2888" customWidth="1"/>
    <col min="15622" max="15622" width="10.875" style="2888" customWidth="1"/>
    <col min="15623" max="15623" width="7.875" style="2888" customWidth="1"/>
    <col min="15624" max="15624" width="9" style="2888" customWidth="1"/>
    <col min="15625" max="15626" width="10.625" style="2888" customWidth="1"/>
    <col min="15627" max="15627" width="14.375" style="2888" customWidth="1"/>
    <col min="15628" max="15628" width="6.25" style="2888" customWidth="1"/>
    <col min="15629" max="15629" width="64.125" style="2888" customWidth="1"/>
    <col min="15630" max="15630" width="7.875" style="2888" customWidth="1"/>
    <col min="15631" max="15872" width="9" style="2888"/>
    <col min="15873" max="15873" width="75.375" style="2888" customWidth="1"/>
    <col min="15874" max="15874" width="6.25" style="2888" customWidth="1"/>
    <col min="15875" max="15877" width="13.875" style="2888" customWidth="1"/>
    <col min="15878" max="15878" width="10.875" style="2888" customWidth="1"/>
    <col min="15879" max="15879" width="7.875" style="2888" customWidth="1"/>
    <col min="15880" max="15880" width="9" style="2888" customWidth="1"/>
    <col min="15881" max="15882" width="10.625" style="2888" customWidth="1"/>
    <col min="15883" max="15883" width="14.375" style="2888" customWidth="1"/>
    <col min="15884" max="15884" width="6.25" style="2888" customWidth="1"/>
    <col min="15885" max="15885" width="64.125" style="2888" customWidth="1"/>
    <col min="15886" max="15886" width="7.875" style="2888" customWidth="1"/>
    <col min="15887" max="16128" width="9" style="2888"/>
    <col min="16129" max="16129" width="75.375" style="2888" customWidth="1"/>
    <col min="16130" max="16130" width="6.25" style="2888" customWidth="1"/>
    <col min="16131" max="16133" width="13.875" style="2888" customWidth="1"/>
    <col min="16134" max="16134" width="10.875" style="2888" customWidth="1"/>
    <col min="16135" max="16135" width="7.875" style="2888" customWidth="1"/>
    <col min="16136" max="16136" width="9" style="2888" customWidth="1"/>
    <col min="16137" max="16138" width="10.625" style="2888" customWidth="1"/>
    <col min="16139" max="16139" width="14.375" style="2888" customWidth="1"/>
    <col min="16140" max="16140" width="6.25" style="2888" customWidth="1"/>
    <col min="16141" max="16141" width="64.125" style="2888" customWidth="1"/>
    <col min="16142" max="16142" width="7.875" style="2888" customWidth="1"/>
    <col min="16143" max="16384" width="9" style="2888"/>
  </cols>
  <sheetData>
    <row r="1" spans="1:14">
      <c r="A1" s="2888" t="s">
        <v>3068</v>
      </c>
      <c r="B1" s="2888" t="s">
        <v>3069</v>
      </c>
      <c r="C1" s="2888" t="s">
        <v>3070</v>
      </c>
      <c r="D1" s="2888" t="s">
        <v>3071</v>
      </c>
      <c r="E1" s="2888" t="s">
        <v>3072</v>
      </c>
      <c r="F1" s="2888" t="s">
        <v>2029</v>
      </c>
      <c r="G1" s="2888" t="s">
        <v>3073</v>
      </c>
      <c r="H1" s="2888" t="s">
        <v>3074</v>
      </c>
      <c r="I1" s="2888" t="s">
        <v>3075</v>
      </c>
      <c r="J1" s="2888" t="s">
        <v>3076</v>
      </c>
      <c r="K1" s="2888" t="s">
        <v>3077</v>
      </c>
      <c r="L1" s="2888" t="s">
        <v>3078</v>
      </c>
      <c r="M1" s="2888" t="s">
        <v>3079</v>
      </c>
      <c r="N1" s="2888" t="s">
        <v>3080</v>
      </c>
    </row>
    <row r="2" spans="1:14">
      <c r="A2" s="2888" t="s">
        <v>3081</v>
      </c>
      <c r="B2" s="2888" t="s">
        <v>3082</v>
      </c>
      <c r="C2" s="2888" t="s">
        <v>3083</v>
      </c>
      <c r="D2" s="2888">
        <v>64461.5</v>
      </c>
      <c r="E2" s="2888">
        <v>96692.3</v>
      </c>
      <c r="F2" s="2888" t="s">
        <v>3084</v>
      </c>
      <c r="G2" s="2888" t="s">
        <v>3085</v>
      </c>
      <c r="H2" s="2888" t="s">
        <v>3086</v>
      </c>
      <c r="I2" s="2888">
        <v>43770</v>
      </c>
      <c r="J2" s="2888">
        <v>43770</v>
      </c>
      <c r="K2" s="2888">
        <v>4526.72</v>
      </c>
      <c r="L2" s="2888">
        <v>0</v>
      </c>
      <c r="M2" s="2888" t="s">
        <v>3087</v>
      </c>
      <c r="N2" s="2888" t="s">
        <v>3088</v>
      </c>
    </row>
    <row r="3" spans="1:14">
      <c r="A3" s="2888" t="s">
        <v>3089</v>
      </c>
      <c r="B3" s="2888" t="s">
        <v>3082</v>
      </c>
      <c r="C3" s="2888" t="s">
        <v>3083</v>
      </c>
      <c r="D3" s="2888">
        <v>163979.4</v>
      </c>
      <c r="E3" s="2888">
        <v>344356.7</v>
      </c>
      <c r="F3" s="2888" t="s">
        <v>3090</v>
      </c>
      <c r="G3" s="2888" t="s">
        <v>3085</v>
      </c>
      <c r="H3" s="2888" t="s">
        <v>3091</v>
      </c>
      <c r="I3" s="2888">
        <v>206614</v>
      </c>
      <c r="J3" s="2888">
        <v>206614</v>
      </c>
      <c r="K3" s="2888">
        <v>6000</v>
      </c>
      <c r="L3" s="2888">
        <v>0</v>
      </c>
      <c r="M3" s="2888" t="s">
        <v>3092</v>
      </c>
      <c r="N3" s="2888" t="s">
        <v>3088</v>
      </c>
    </row>
    <row r="4" spans="1:14" s="3282" customFormat="1">
      <c r="A4" s="3282" t="s">
        <v>3093</v>
      </c>
      <c r="B4" s="3282" t="s">
        <v>3082</v>
      </c>
      <c r="C4" s="3282" t="s">
        <v>3094</v>
      </c>
      <c r="D4" s="3282">
        <v>9997.2000000000007</v>
      </c>
      <c r="E4" s="3282">
        <v>34990.199999999997</v>
      </c>
      <c r="F4" s="3282" t="s">
        <v>3095</v>
      </c>
      <c r="G4" s="3282" t="s">
        <v>3096</v>
      </c>
      <c r="H4" s="3282" t="s">
        <v>3097</v>
      </c>
      <c r="I4" s="3282">
        <v>23794</v>
      </c>
      <c r="J4" s="3282">
        <v>34800</v>
      </c>
      <c r="K4" s="3282">
        <v>9945.6299999999992</v>
      </c>
      <c r="L4" s="3282">
        <v>46.26</v>
      </c>
      <c r="M4" s="3282" t="s">
        <v>3098</v>
      </c>
      <c r="N4" s="3282" t="s">
        <v>3099</v>
      </c>
    </row>
    <row r="5" spans="1:14" s="3282" customFormat="1">
      <c r="A5" s="3282" t="s">
        <v>3100</v>
      </c>
      <c r="B5" s="3282" t="s">
        <v>3082</v>
      </c>
      <c r="C5" s="3282" t="s">
        <v>3083</v>
      </c>
      <c r="D5" s="3282">
        <v>44997</v>
      </c>
      <c r="E5" s="3282">
        <v>44998</v>
      </c>
      <c r="F5" s="3282">
        <v>1</v>
      </c>
      <c r="G5" s="3282" t="s">
        <v>3096</v>
      </c>
      <c r="H5" s="3282" t="s">
        <v>3101</v>
      </c>
      <c r="I5" s="3282">
        <v>30599</v>
      </c>
      <c r="J5" s="3282">
        <v>39800</v>
      </c>
      <c r="K5" s="3282">
        <v>8844.84</v>
      </c>
      <c r="L5" s="3282">
        <v>30.07</v>
      </c>
      <c r="M5" s="3282" t="s">
        <v>3102</v>
      </c>
      <c r="N5" s="3282" t="s">
        <v>3088</v>
      </c>
    </row>
    <row r="6" spans="1:14" s="3190" customFormat="1">
      <c r="A6" s="3190" t="s">
        <v>3103</v>
      </c>
      <c r="B6" s="3190" t="s">
        <v>3082</v>
      </c>
      <c r="C6" s="3190" t="s">
        <v>3083</v>
      </c>
      <c r="D6" s="3190">
        <v>95092.4</v>
      </c>
      <c r="E6" s="3190">
        <v>142638.6</v>
      </c>
      <c r="F6" s="3190" t="s">
        <v>3084</v>
      </c>
      <c r="G6" s="3190" t="s">
        <v>3096</v>
      </c>
      <c r="H6" s="3190" t="s">
        <v>3104</v>
      </c>
      <c r="I6" s="3190">
        <v>78452</v>
      </c>
      <c r="J6" s="3190">
        <v>123000</v>
      </c>
      <c r="K6" s="3190">
        <v>8623.19</v>
      </c>
      <c r="L6" s="3190">
        <v>56.78</v>
      </c>
      <c r="M6" s="3190" t="s">
        <v>3105</v>
      </c>
      <c r="N6" s="3190" t="s">
        <v>3088</v>
      </c>
    </row>
    <row r="7" spans="1:14" s="3190" customFormat="1">
      <c r="A7" s="3190" t="s">
        <v>3106</v>
      </c>
      <c r="B7" s="3190" t="s">
        <v>3082</v>
      </c>
      <c r="C7" s="3190" t="s">
        <v>3083</v>
      </c>
      <c r="D7" s="3190">
        <v>103259.6</v>
      </c>
      <c r="E7" s="3190">
        <v>154889.4</v>
      </c>
      <c r="F7" s="3190" t="s">
        <v>3107</v>
      </c>
      <c r="G7" s="3190" t="s">
        <v>3096</v>
      </c>
      <c r="H7" s="3190" t="s">
        <v>3104</v>
      </c>
      <c r="I7" s="3190">
        <v>85190</v>
      </c>
      <c r="J7" s="3190">
        <v>128000</v>
      </c>
      <c r="K7" s="3190">
        <v>8263.9500000000007</v>
      </c>
      <c r="L7" s="3190">
        <v>50.25</v>
      </c>
      <c r="M7" s="3190" t="s">
        <v>3108</v>
      </c>
      <c r="N7" s="3190" t="s">
        <v>3088</v>
      </c>
    </row>
    <row r="8" spans="1:14">
      <c r="A8" s="2888" t="s">
        <v>3109</v>
      </c>
      <c r="B8" s="2888" t="s">
        <v>3082</v>
      </c>
      <c r="C8" s="2888" t="s">
        <v>3083</v>
      </c>
      <c r="D8" s="2888">
        <v>55157.599999999999</v>
      </c>
      <c r="E8" s="2888">
        <v>82736.399999999994</v>
      </c>
      <c r="F8" s="2888" t="s">
        <v>3084</v>
      </c>
      <c r="G8" s="2888" t="s">
        <v>3096</v>
      </c>
      <c r="H8" s="2888" t="s">
        <v>3110</v>
      </c>
      <c r="I8" s="2888">
        <v>45506</v>
      </c>
      <c r="J8" s="2888">
        <v>68000</v>
      </c>
      <c r="K8" s="2888">
        <v>8218.8700000000008</v>
      </c>
      <c r="L8" s="2888">
        <v>49.43</v>
      </c>
      <c r="M8" s="2888" t="s">
        <v>3111</v>
      </c>
      <c r="N8" s="2888" t="s">
        <v>3088</v>
      </c>
    </row>
    <row r="9" spans="1:14">
      <c r="A9" s="2888" t="s">
        <v>3112</v>
      </c>
      <c r="B9" s="2888" t="s">
        <v>3082</v>
      </c>
      <c r="C9" s="2888" t="s">
        <v>3083</v>
      </c>
      <c r="D9" s="2888">
        <v>179847.6</v>
      </c>
      <c r="E9" s="2888">
        <v>383527.6</v>
      </c>
      <c r="F9" s="2888" t="s">
        <v>3113</v>
      </c>
      <c r="G9" s="2888" t="s">
        <v>3085</v>
      </c>
      <c r="H9" s="2888" t="s">
        <v>3114</v>
      </c>
      <c r="I9" s="2888">
        <v>191764</v>
      </c>
      <c r="J9" s="2888">
        <v>191764</v>
      </c>
      <c r="K9" s="2888">
        <v>5000.01</v>
      </c>
      <c r="L9" s="2888">
        <v>0</v>
      </c>
      <c r="M9" s="2888" t="s">
        <v>3115</v>
      </c>
      <c r="N9" s="2888" t="s">
        <v>3099</v>
      </c>
    </row>
    <row r="10" spans="1:14">
      <c r="A10" s="2888" t="s">
        <v>3116</v>
      </c>
      <c r="B10" s="2888" t="s">
        <v>3082</v>
      </c>
      <c r="C10" s="2888" t="s">
        <v>3094</v>
      </c>
      <c r="D10" s="2888">
        <v>132213.79999999999</v>
      </c>
      <c r="E10" s="2888">
        <v>184092.7</v>
      </c>
      <c r="F10" s="2888" t="s">
        <v>3117</v>
      </c>
      <c r="G10" s="2888" t="s">
        <v>3096</v>
      </c>
      <c r="H10" s="2888" t="s">
        <v>3118</v>
      </c>
      <c r="I10" s="2888">
        <v>82842</v>
      </c>
      <c r="J10" s="2888">
        <v>107000</v>
      </c>
      <c r="K10" s="2888">
        <v>5812.28</v>
      </c>
      <c r="L10" s="2888">
        <v>29.16</v>
      </c>
      <c r="M10" s="2888" t="s">
        <v>3119</v>
      </c>
      <c r="N10" s="2888" t="s">
        <v>3088</v>
      </c>
    </row>
    <row r="11" spans="1:14">
      <c r="A11" s="2888" t="s">
        <v>3120</v>
      </c>
      <c r="B11" s="2888" t="s">
        <v>3082</v>
      </c>
      <c r="C11" s="2888" t="s">
        <v>3083</v>
      </c>
      <c r="D11" s="2888">
        <v>67568.5</v>
      </c>
      <c r="E11" s="2888">
        <v>135137</v>
      </c>
      <c r="F11" s="2888" t="s">
        <v>3121</v>
      </c>
      <c r="G11" s="2888" t="s">
        <v>3096</v>
      </c>
      <c r="H11" s="2888" t="s">
        <v>3122</v>
      </c>
      <c r="I11" s="2888">
        <v>53650</v>
      </c>
      <c r="J11" s="2888">
        <v>67000</v>
      </c>
      <c r="K11" s="2888">
        <v>4957.93</v>
      </c>
      <c r="L11" s="2888">
        <v>24.88</v>
      </c>
      <c r="M11" s="2888" t="s">
        <v>3123</v>
      </c>
      <c r="N11" s="2888" t="s">
        <v>3088</v>
      </c>
    </row>
    <row r="12" spans="1:14">
      <c r="A12" s="2888" t="s">
        <v>3124</v>
      </c>
      <c r="B12" s="2888" t="s">
        <v>3082</v>
      </c>
      <c r="C12" s="2888" t="s">
        <v>3083</v>
      </c>
      <c r="D12" s="2888">
        <v>100409</v>
      </c>
      <c r="E12" s="2888">
        <v>212397.4</v>
      </c>
      <c r="F12" s="2888" t="s">
        <v>3125</v>
      </c>
      <c r="G12" s="2888" t="s">
        <v>3096</v>
      </c>
      <c r="H12" s="2888" t="s">
        <v>3126</v>
      </c>
      <c r="I12" s="2888">
        <v>95579</v>
      </c>
      <c r="J12" s="2888">
        <v>96500</v>
      </c>
      <c r="K12" s="2888">
        <v>4543.3599999999997</v>
      </c>
      <c r="L12" s="2888">
        <v>0.96</v>
      </c>
      <c r="M12" s="2888" t="s">
        <v>3127</v>
      </c>
      <c r="N12" s="2888" t="s">
        <v>3099</v>
      </c>
    </row>
    <row r="13" spans="1:14" s="3282" customFormat="1">
      <c r="A13" s="3282" t="s">
        <v>3128</v>
      </c>
      <c r="B13" s="3282" t="s">
        <v>3082</v>
      </c>
      <c r="C13" s="3282" t="s">
        <v>3083</v>
      </c>
      <c r="D13" s="3282">
        <v>25395</v>
      </c>
      <c r="E13" s="3282">
        <v>76185</v>
      </c>
      <c r="F13" s="3282" t="s">
        <v>3129</v>
      </c>
      <c r="G13" s="3282" t="s">
        <v>3096</v>
      </c>
      <c r="H13" s="3282" t="s">
        <v>3130</v>
      </c>
      <c r="I13" s="3282">
        <v>38093</v>
      </c>
      <c r="J13" s="3282">
        <v>76186</v>
      </c>
      <c r="K13" s="3282">
        <v>10000.120000000001</v>
      </c>
      <c r="L13" s="3282">
        <v>100</v>
      </c>
      <c r="M13" s="3282" t="s">
        <v>3131</v>
      </c>
      <c r="N13" s="3282" t="s">
        <v>3099</v>
      </c>
    </row>
    <row r="14" spans="1:14">
      <c r="A14" s="2888" t="s">
        <v>3132</v>
      </c>
      <c r="B14" s="2888" t="s">
        <v>3082</v>
      </c>
      <c r="C14" s="2888" t="s">
        <v>3094</v>
      </c>
      <c r="D14" s="2888">
        <v>169717</v>
      </c>
      <c r="E14" s="2888">
        <v>278900.8</v>
      </c>
      <c r="F14" s="2888" t="s">
        <v>3133</v>
      </c>
      <c r="G14" s="2888" t="s">
        <v>3096</v>
      </c>
      <c r="H14" s="2888" t="s">
        <v>3130</v>
      </c>
      <c r="I14" s="2888">
        <v>139451</v>
      </c>
      <c r="J14" s="2888">
        <v>140000</v>
      </c>
      <c r="K14" s="2888">
        <v>5019.71</v>
      </c>
      <c r="L14" s="2888">
        <v>0.39</v>
      </c>
      <c r="M14" s="2888" t="s">
        <v>3134</v>
      </c>
      <c r="N14" s="2888" t="s">
        <v>3088</v>
      </c>
    </row>
    <row r="15" spans="1:14">
      <c r="A15" s="2888" t="s">
        <v>3135</v>
      </c>
      <c r="B15" s="2888" t="s">
        <v>3082</v>
      </c>
      <c r="C15" s="2888" t="s">
        <v>3094</v>
      </c>
      <c r="D15" s="2888">
        <v>161804</v>
      </c>
      <c r="E15" s="2888">
        <v>239220.7</v>
      </c>
      <c r="F15" s="2888" t="s">
        <v>3136</v>
      </c>
      <c r="G15" s="2888" t="s">
        <v>3096</v>
      </c>
      <c r="H15" s="2888" t="s">
        <v>3130</v>
      </c>
      <c r="I15" s="2888">
        <v>119611</v>
      </c>
      <c r="J15" s="2888">
        <v>120500</v>
      </c>
      <c r="K15" s="2888">
        <v>5037.18</v>
      </c>
      <c r="L15" s="2888">
        <v>0.74</v>
      </c>
      <c r="M15" s="2888" t="s">
        <v>3119</v>
      </c>
      <c r="N15" s="2888" t="s">
        <v>3099</v>
      </c>
    </row>
    <row r="16" spans="1:14">
      <c r="A16" s="2888" t="s">
        <v>3137</v>
      </c>
      <c r="B16" s="2888" t="s">
        <v>3082</v>
      </c>
      <c r="C16" s="2888" t="s">
        <v>3083</v>
      </c>
      <c r="D16" s="2888">
        <v>11312</v>
      </c>
      <c r="E16" s="2888">
        <v>89365</v>
      </c>
      <c r="F16" s="2888" t="s">
        <v>3138</v>
      </c>
      <c r="G16" s="2888" t="s">
        <v>3085</v>
      </c>
      <c r="H16" s="2888" t="s">
        <v>3139</v>
      </c>
      <c r="I16" s="2888">
        <v>58088</v>
      </c>
      <c r="J16" s="2888">
        <v>58088</v>
      </c>
      <c r="K16" s="2888">
        <v>6500.07</v>
      </c>
      <c r="L16" s="2888">
        <v>0</v>
      </c>
      <c r="M16" s="2888" t="s">
        <v>3140</v>
      </c>
      <c r="N16" s="2888" t="s">
        <v>3141</v>
      </c>
    </row>
  </sheetData>
  <phoneticPr fontId="228"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8" sqref="G3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59"/>
      <c r="C1" s="2086"/>
      <c r="D1" s="2086"/>
      <c r="E1" s="2086"/>
      <c r="F1" s="2086"/>
      <c r="G1" s="2086"/>
      <c r="H1" s="2086"/>
      <c r="I1" s="2086"/>
      <c r="J1" s="2086"/>
      <c r="K1" s="422">
        <f>MATCH(B1,'数据-取费表'!A6:A16,0)+5</f>
        <v>10</v>
      </c>
    </row>
    <row r="2" spans="1:31" s="2023" customFormat="1" ht="18" customHeight="1">
      <c r="A2" s="2083" t="s">
        <v>467</v>
      </c>
      <c r="B2" s="2087">
        <f ca="1">C36</f>
        <v>363887</v>
      </c>
      <c r="C2" s="2086"/>
      <c r="D2" s="2086"/>
      <c r="E2" s="2086"/>
      <c r="F2" s="2086"/>
      <c r="G2" s="2086"/>
      <c r="H2" s="2086"/>
      <c r="I2" s="2086"/>
      <c r="J2" s="2086"/>
      <c r="K2" s="2086"/>
    </row>
    <row r="3" spans="1:31" s="2023" customFormat="1" ht="18" customHeight="1">
      <c r="A3" s="2088" t="s">
        <v>1683</v>
      </c>
      <c r="B3" s="2089">
        <f ca="1">ROUND(B2*10000/IF(B1="",'数据-汇总表'!E3,INDIRECT("'数据-取费表'!K"&amp;$K$1)),0)</f>
        <v>9234</v>
      </c>
      <c r="C3" s="2086"/>
      <c r="D3" s="2086"/>
      <c r="E3" s="2086"/>
      <c r="F3" s="2086"/>
      <c r="G3" s="2086"/>
      <c r="H3" s="2086"/>
      <c r="I3" s="2086"/>
      <c r="J3" s="2086"/>
      <c r="K3" s="2086"/>
    </row>
    <row r="4" spans="1:31" s="2023" customFormat="1" ht="18" customHeight="1">
      <c r="A4" s="426" t="s">
        <v>468</v>
      </c>
      <c r="B4" s="427">
        <f ca="1">ROUND(B2*10000/IF(B1="",'数据-汇总表'!D3,INDIRECT("'数据-取费表'!R"&amp;$K$1)),0)</f>
        <v>159334</v>
      </c>
      <c r="C4" s="428"/>
      <c r="D4" s="422"/>
      <c r="E4" s="422"/>
      <c r="F4" s="422"/>
      <c r="G4" s="422"/>
      <c r="H4" s="422"/>
      <c r="I4" s="422"/>
      <c r="J4" s="422"/>
      <c r="K4" s="422"/>
    </row>
    <row r="5" spans="1:31" s="2023" customFormat="1" ht="18" customHeight="1" thickBot="1">
      <c r="A5" s="429"/>
      <c r="B5" s="430">
        <f ca="1">ROUND(B2/(IF(B1="",'数据-汇总表'!D3,INDIRECT("'数据-取费表'!R"&amp;$K$1))/666.67),0)</f>
        <v>10622</v>
      </c>
      <c r="C5" s="431" t="s">
        <v>469</v>
      </c>
      <c r="D5" s="422"/>
      <c r="E5" s="422"/>
      <c r="F5" s="422"/>
      <c r="G5" s="422"/>
      <c r="H5" s="422"/>
      <c r="I5" s="422"/>
      <c r="J5" s="422"/>
      <c r="K5" s="422"/>
    </row>
    <row r="6" spans="1:31" s="2093" customFormat="1" ht="16.5" customHeight="1">
      <c r="A6" s="2778" t="s">
        <v>1841</v>
      </c>
      <c r="B6" s="2779"/>
      <c r="C6" s="2780">
        <f ca="1">SUM(C10:K10)</f>
        <v>638569</v>
      </c>
      <c r="D6" s="2779"/>
      <c r="E6" s="2779"/>
      <c r="F6" s="2779"/>
      <c r="G6" s="2779"/>
      <c r="H6" s="2779"/>
      <c r="I6" s="2779"/>
      <c r="J6" s="2779"/>
      <c r="K6" s="2781"/>
    </row>
    <row r="7" spans="1:31" s="2095" customFormat="1" ht="15">
      <c r="A7" s="2782" t="s">
        <v>470</v>
      </c>
      <c r="B7" s="2783" t="s">
        <v>471</v>
      </c>
      <c r="C7" s="436" t="s">
        <v>922</v>
      </c>
      <c r="D7" s="436" t="s">
        <v>35</v>
      </c>
      <c r="E7" s="436" t="s">
        <v>3503</v>
      </c>
      <c r="F7" s="436" t="s">
        <v>1676</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1844</v>
      </c>
      <c r="B8" s="261" t="s">
        <v>472</v>
      </c>
      <c r="C8" s="2784">
        <f>'[1]剩余法-待开发'!$C$8</f>
        <v>34685</v>
      </c>
      <c r="D8" s="2784">
        <f>'[2]剩余法-待开发'!$D$8</f>
        <v>4469</v>
      </c>
      <c r="E8" s="2784">
        <f ca="1">'不动产收益法-公寓'!B3</f>
        <v>17871</v>
      </c>
      <c r="F8" s="2784">
        <f ca="1">'不动产收益法-办公'!B3</f>
        <v>12920</v>
      </c>
      <c r="G8" s="2784"/>
      <c r="H8" s="2784"/>
      <c r="I8" s="2784"/>
      <c r="J8" s="2784"/>
      <c r="K8" s="2785"/>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1845</v>
      </c>
      <c r="B9" s="261" t="s">
        <v>473</v>
      </c>
      <c r="C9" s="441">
        <f>SUMIF('数据-汇总表'!$C19:$C33,'剩余法-待开发'!C7,'数据-汇总表'!$E19:$E33)</f>
        <v>66390</v>
      </c>
      <c r="D9" s="441">
        <f>SUMIF('数据-汇总表'!$C19:$C33,'剩余法-待开发'!D7,'数据-汇总表'!$E19:$E33)</f>
        <v>52000</v>
      </c>
      <c r="E9" s="441">
        <f>SUMIF('数据-汇总表'!$C19:$C33,'剩余法-待开发'!E7,'数据-汇总表'!$E19:$E33)</f>
        <v>124382</v>
      </c>
      <c r="F9" s="441">
        <f>SUMIF('数据-汇总表'!$C19:$C33,'剩余法-待开发'!F7,'数据-汇总表'!$E19:$E33)</f>
        <v>125982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6" t="s">
        <v>1846</v>
      </c>
      <c r="B10" s="2772" t="s">
        <v>474</v>
      </c>
      <c r="C10" s="2975">
        <f>ROUND(C8*C9/10000,0)</f>
        <v>230274</v>
      </c>
      <c r="D10" s="2975">
        <f>ROUND(D8*D9/10000,0)</f>
        <v>23239</v>
      </c>
      <c r="E10" s="2975">
        <f ca="1">'不动产收益法-公寓'!B2</f>
        <v>222283</v>
      </c>
      <c r="F10" s="2787">
        <f ca="1">'不动产收益法-办公'!B2</f>
        <v>162773</v>
      </c>
      <c r="G10" s="2787"/>
      <c r="H10" s="2787"/>
      <c r="I10" s="2787"/>
      <c r="J10" s="2787"/>
      <c r="K10" s="2788"/>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89" t="s">
        <v>1842</v>
      </c>
      <c r="B11" s="2779"/>
      <c r="C11" s="2779"/>
      <c r="D11" s="2779"/>
      <c r="E11" s="2779"/>
      <c r="F11" s="2779"/>
      <c r="G11" s="2779"/>
      <c r="H11" s="2779"/>
      <c r="I11" s="2779"/>
      <c r="J11" s="2779"/>
      <c r="K11" s="2781"/>
    </row>
    <row r="12" spans="1:31" s="2067" customFormat="1" ht="13.5" customHeight="1">
      <c r="A12" s="2790" t="s">
        <v>470</v>
      </c>
      <c r="B12" s="2762" t="s">
        <v>471</v>
      </c>
      <c r="C12" s="2791" t="s">
        <v>475</v>
      </c>
      <c r="D12" s="2758" t="s">
        <v>476</v>
      </c>
      <c r="E12" s="2758" t="s">
        <v>477</v>
      </c>
      <c r="F12" s="2758" t="s">
        <v>478</v>
      </c>
      <c r="G12" s="2762"/>
      <c r="H12" s="2763"/>
      <c r="I12" s="2763"/>
      <c r="J12" s="2763"/>
      <c r="K12" s="2764"/>
    </row>
    <row r="13" spans="1:31" s="2098" customFormat="1" ht="13.5" customHeight="1">
      <c r="A13" s="2792" t="s">
        <v>1847</v>
      </c>
      <c r="B13" s="2793" t="s">
        <v>479</v>
      </c>
      <c r="C13" s="450">
        <f ca="1">IF(B1="",'数据-取费表'!P16,INDIRECT("'数据-取费表'!p"&amp;$K$1)+INDIRECT("'数据-取费表'!t"&amp;$K$1))</f>
        <v>105917</v>
      </c>
      <c r="D13" s="2794"/>
      <c r="E13" s="2795"/>
      <c r="F13" s="2796"/>
      <c r="G13" s="2762"/>
      <c r="H13" s="2763"/>
      <c r="I13" s="2763"/>
      <c r="J13" s="2763"/>
      <c r="K13" s="2764"/>
    </row>
    <row r="14" spans="1:31" s="2098" customFormat="1" ht="13.5" customHeight="1">
      <c r="A14" s="2792" t="s">
        <v>1848</v>
      </c>
      <c r="B14" s="2793" t="s">
        <v>480</v>
      </c>
      <c r="C14" s="53">
        <f ca="1">ROUND(C13*F14,0)</f>
        <v>3178</v>
      </c>
      <c r="D14" s="2794"/>
      <c r="E14" s="2795"/>
      <c r="F14" s="2797">
        <f>'数据-取费表'!B33</f>
        <v>0.03</v>
      </c>
      <c r="G14" s="2762" t="s">
        <v>481</v>
      </c>
      <c r="H14" s="2763"/>
      <c r="I14" s="2763"/>
      <c r="J14" s="2763"/>
      <c r="K14" s="2764"/>
    </row>
    <row r="15" spans="1:31" s="2098" customFormat="1" ht="13.5" customHeight="1">
      <c r="A15" s="2792" t="s">
        <v>1849</v>
      </c>
      <c r="B15" s="2793" t="s">
        <v>482</v>
      </c>
      <c r="C15" s="53">
        <f ca="1">ROUND(IF(B1="",SUMIF('数据-取费表'!C:C,"住宅",'数据-取费表'!P:P)*F15,IF(INDIRECT("'数据-取费表'!c"&amp;$K$1)="住宅",INDIRECT("'数据-取费表'!P"&amp;$K$1)*F15,0)),0)</f>
        <v>2671</v>
      </c>
      <c r="D15" s="2794"/>
      <c r="E15" s="2795"/>
      <c r="F15" s="2797">
        <f>'数据-取费表'!B34</f>
        <v>0.05</v>
      </c>
      <c r="G15" s="2762" t="s">
        <v>483</v>
      </c>
      <c r="H15" s="2763"/>
      <c r="I15" s="2763"/>
      <c r="J15" s="2763"/>
      <c r="K15" s="2764"/>
    </row>
    <row r="16" spans="1:31" s="2099" customFormat="1" ht="13.5" customHeight="1">
      <c r="A16" s="2792" t="s">
        <v>1850</v>
      </c>
      <c r="B16" s="2793" t="s">
        <v>484</v>
      </c>
      <c r="C16" s="53">
        <f ca="1">ROUND(D16*E16/10000,0)</f>
        <v>5911</v>
      </c>
      <c r="D16" s="2794">
        <f ca="1">IF(B1="",'数据-汇总表'!E3,INDIRECT("'数据-取费表'!K"&amp;$K$1)+INDIRECT("'数据-取费表'!S"&amp;$K$1))</f>
        <v>394084</v>
      </c>
      <c r="E16" s="53">
        <f>'数据-取费表'!B35</f>
        <v>150</v>
      </c>
      <c r="F16" s="2797"/>
      <c r="G16" s="2762"/>
      <c r="H16" s="2763"/>
      <c r="I16" s="2763"/>
      <c r="J16" s="2763"/>
      <c r="K16" s="2764"/>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2" t="s">
        <v>1851</v>
      </c>
      <c r="B17" s="2793" t="s">
        <v>485</v>
      </c>
      <c r="C17" s="2798">
        <f ca="1">ROUND(C13*F17,0)</f>
        <v>1589</v>
      </c>
      <c r="D17" s="475"/>
      <c r="E17" s="2798"/>
      <c r="F17" s="2799">
        <f>'数据-取费表'!B36</f>
        <v>1.4999999999999999E-2</v>
      </c>
      <c r="G17" s="261" t="s">
        <v>486</v>
      </c>
      <c r="H17" s="2765"/>
      <c r="I17" s="2765"/>
      <c r="J17" s="2765"/>
      <c r="K17" s="279"/>
    </row>
    <row r="18" spans="1:14" s="2098" customFormat="1" ht="13.5" customHeight="1">
      <c r="A18" s="2800" t="s">
        <v>1852</v>
      </c>
      <c r="B18" s="2801" t="s">
        <v>487</v>
      </c>
      <c r="C18" s="2802">
        <f ca="1">SUM(C13:C17)</f>
        <v>119266</v>
      </c>
      <c r="D18" s="2803"/>
      <c r="E18" s="468"/>
      <c r="F18" s="468"/>
      <c r="G18" s="2766" t="s">
        <v>2427</v>
      </c>
      <c r="H18" s="2767"/>
      <c r="I18" s="2767"/>
      <c r="J18" s="2767"/>
      <c r="K18" s="2768"/>
    </row>
    <row r="19" spans="1:14" s="2098" customFormat="1" ht="13.5" customHeight="1">
      <c r="A19" s="2800" t="s">
        <v>1853</v>
      </c>
      <c r="B19" s="2801" t="s">
        <v>488</v>
      </c>
      <c r="C19" s="2758">
        <f ca="1">ROUND(D19*E19/10000,0)</f>
        <v>4335</v>
      </c>
      <c r="D19" s="2804">
        <f ca="1">D16</f>
        <v>394084</v>
      </c>
      <c r="E19" s="2758">
        <f>'数据-取费表'!B32</f>
        <v>110</v>
      </c>
      <c r="F19" s="468"/>
      <c r="G19" s="2762" t="s">
        <v>489</v>
      </c>
      <c r="H19" s="2763"/>
      <c r="I19" s="2767"/>
      <c r="J19" s="2767"/>
      <c r="K19" s="2768"/>
    </row>
    <row r="20" spans="1:14" s="2098" customFormat="1" ht="13.5" customHeight="1">
      <c r="A20" s="2800" t="s">
        <v>1854</v>
      </c>
      <c r="B20" s="2801" t="s">
        <v>490</v>
      </c>
      <c r="C20" s="2758">
        <f ca="1">C21+C22-IF(B1="",'数据-取费表'!B29,IF(G20="已全部缴纳",C21+C22,H20))</f>
        <v>11428</v>
      </c>
      <c r="D20" s="2804"/>
      <c r="E20" s="2758"/>
      <c r="F20" s="2805"/>
      <c r="G20" s="3031"/>
      <c r="H20" s="2760"/>
      <c r="I20" s="2761" t="s">
        <v>2647</v>
      </c>
      <c r="J20" s="2767"/>
      <c r="K20" s="2768"/>
    </row>
    <row r="21" spans="1:14" s="2098" customFormat="1" ht="13.5" customHeight="1">
      <c r="A21" s="2792" t="s">
        <v>1855</v>
      </c>
      <c r="B21" s="2793" t="s">
        <v>491</v>
      </c>
      <c r="C21" s="53">
        <f ca="1">ROUND(D21*E21/10000,0)</f>
        <v>5532</v>
      </c>
      <c r="D21" s="2794">
        <f ca="1">IF(B1="",'数据-汇总表'!E5,IF(INDIRECT("'数据-取费表'!c"&amp;$K$1)="住宅",INDIRECT("'数据-取费表'!k"&amp;$K$1),0))</f>
        <v>190772</v>
      </c>
      <c r="E21" s="53">
        <f>'数据-取费表'!B27</f>
        <v>290</v>
      </c>
      <c r="F21" s="2797"/>
      <c r="G21" s="26"/>
      <c r="H21" s="51"/>
      <c r="I21" s="51"/>
      <c r="J21" s="51"/>
      <c r="K21" s="2769"/>
    </row>
    <row r="22" spans="1:14" s="2098" customFormat="1" ht="13.5" customHeight="1">
      <c r="A22" s="2792" t="s">
        <v>1856</v>
      </c>
      <c r="B22" s="2793" t="s">
        <v>492</v>
      </c>
      <c r="C22" s="53">
        <f ca="1">ROUND(D22*E22/10000,0)</f>
        <v>5896</v>
      </c>
      <c r="D22" s="2794">
        <f ca="1">IF(B1="",'数据-汇总表'!E6,IF(INDIRECT("'数据-取费表'!c"&amp;$K$1)="住宅",INDIRECT("'数据-取费表'!s"&amp;$K$1),INDIRECT("'数据-取费表'!k"&amp;$K$1)+INDIRECT("'数据-取费表'!s"&amp;$K$1)))</f>
        <v>203312</v>
      </c>
      <c r="E22" s="53">
        <f>'数据-取费表'!B28</f>
        <v>290</v>
      </c>
      <c r="F22" s="2797"/>
      <c r="G22" s="26"/>
      <c r="H22" s="51"/>
      <c r="I22" s="51"/>
      <c r="J22" s="51"/>
      <c r="K22" s="2769"/>
    </row>
    <row r="23" spans="1:14" s="2098" customFormat="1" ht="13.5" customHeight="1">
      <c r="A23" s="2800" t="s">
        <v>1857</v>
      </c>
      <c r="B23" s="2981" t="s">
        <v>2830</v>
      </c>
      <c r="C23" s="2802">
        <f ca="1">ROUND((C18+C19+C20)*F23,0)</f>
        <v>2701</v>
      </c>
      <c r="D23" s="468"/>
      <c r="E23" s="468"/>
      <c r="F23" s="2806">
        <f>'数据-取费表'!B37</f>
        <v>0.02</v>
      </c>
      <c r="G23" s="2762" t="s">
        <v>2428</v>
      </c>
      <c r="H23" s="2763"/>
      <c r="I23" s="2763"/>
      <c r="J23" s="2763"/>
      <c r="K23" s="2764"/>
      <c r="L23" s="2100"/>
      <c r="M23" s="2100"/>
      <c r="N23" s="2100"/>
    </row>
    <row r="24" spans="1:14" s="2098" customFormat="1" ht="13.5" customHeight="1">
      <c r="A24" s="2800" t="s">
        <v>1858</v>
      </c>
      <c r="B24" s="2981" t="s">
        <v>2833</v>
      </c>
      <c r="C24" s="2802">
        <f ca="1">ROUND(C6*F24,0)</f>
        <v>12771</v>
      </c>
      <c r="D24" s="475"/>
      <c r="E24" s="473"/>
      <c r="F24" s="2806">
        <f>'数据-取费表'!B38</f>
        <v>0.02</v>
      </c>
      <c r="G24" s="2771" t="s">
        <v>499</v>
      </c>
      <c r="H24" s="2765"/>
      <c r="I24" s="2765"/>
      <c r="J24" s="2765"/>
      <c r="K24" s="279"/>
      <c r="L24" s="2100"/>
      <c r="M24" s="2100"/>
      <c r="N24" s="2100"/>
    </row>
    <row r="25" spans="1:14" s="2101" customFormat="1" ht="13.5" customHeight="1">
      <c r="A25" s="2800" t="s">
        <v>1859</v>
      </c>
      <c r="B25" s="2981" t="s">
        <v>2831</v>
      </c>
      <c r="C25" s="467">
        <f>ROUND(F25/(1+'数据-取费表'!C42),4)</f>
        <v>2.9000000000000001E-2</v>
      </c>
      <c r="D25" s="462" t="s">
        <v>2825</v>
      </c>
      <c r="E25" s="469"/>
      <c r="F25" s="2806">
        <f>'数据-取费表'!B48+'数据-取费表'!B49</f>
        <v>3.0499999999999999E-2</v>
      </c>
      <c r="G25" s="2770" t="s">
        <v>2286</v>
      </c>
      <c r="H25" s="2763"/>
      <c r="I25" s="2763"/>
      <c r="J25" s="2763"/>
      <c r="K25" s="2764"/>
    </row>
    <row r="26" spans="1:14" s="2100" customFormat="1" ht="13.5" customHeight="1">
      <c r="A26" s="2800" t="s">
        <v>1860</v>
      </c>
      <c r="B26" s="2982" t="s">
        <v>2832</v>
      </c>
      <c r="C26" s="2807">
        <f ca="1">C28</f>
        <v>5330</v>
      </c>
      <c r="D26" s="467">
        <f ca="1">C27</f>
        <v>7.4200000000000002E-2</v>
      </c>
      <c r="E26" s="469" t="s">
        <v>495</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2" customFormat="1" ht="13.5" customHeight="1">
      <c r="A27" s="803" t="s">
        <v>1855</v>
      </c>
      <c r="B27" s="2808" t="s">
        <v>496</v>
      </c>
      <c r="C27" s="2809">
        <f ca="1">ROUND(IF('数据-取费表'!B22&lt;=1,(1+C25)*F26*'数据-取费表'!B24,(1+C25)*(POWER((1+F26),'数据-取费表'!B24)-1)),4)</f>
        <v>7.4200000000000002E-2</v>
      </c>
      <c r="D27" s="472"/>
      <c r="E27" s="473"/>
      <c r="F27" s="474"/>
      <c r="G27" s="2531" t="str">
        <f>IF('数据-取费表'!B22&lt;=1,"（1+取得税费率/(1+5%)）×年利率×建设期","（1+取得税费率）/(1+5%)×((1+年利率)^建设期-1)")</f>
        <v>（1+取得税费率）/(1+5%)×((1+年利率)^建设期-1)</v>
      </c>
      <c r="H27" s="2765"/>
      <c r="I27" s="2765"/>
      <c r="J27" s="2765"/>
      <c r="K27" s="279"/>
    </row>
    <row r="28" spans="1:14" s="2102" customFormat="1" ht="13.5" customHeight="1">
      <c r="A28" s="803" t="s">
        <v>1856</v>
      </c>
      <c r="B28" s="2808" t="s">
        <v>2834</v>
      </c>
      <c r="C28" s="2810">
        <f ca="1">ROUND(IF('数据-取费表'!B22&lt;=1,(C18+C19+C20+C23+C24)*F26*'数据-取费表'!B24/2,(C18+C19+C20+C23+C24)*(POWER((1+F26),'数据-取费表'!B24/2)-1)),0)</f>
        <v>5330</v>
      </c>
      <c r="D28" s="472"/>
      <c r="E28" s="473"/>
      <c r="F28" s="474"/>
      <c r="G28" s="2531" t="str">
        <f>IF('数据-取费表'!B22&lt;=1,"（1）-（4）项×年利率×建设期÷2","（1）-（4）项×((1+年利率)^(建设期÷2)-1)")</f>
        <v>（1）-（4）项×((1+年利率)^(建设期÷2)-1)</v>
      </c>
      <c r="H28" s="2765"/>
      <c r="I28" s="2765"/>
      <c r="J28" s="2765"/>
      <c r="K28" s="279"/>
    </row>
    <row r="29" spans="1:14" s="2102" customFormat="1" ht="13.5" customHeight="1">
      <c r="A29" s="2811" t="s">
        <v>1861</v>
      </c>
      <c r="B29" s="2801" t="s">
        <v>497</v>
      </c>
      <c r="C29" s="2802">
        <f ca="1">ROUND(C6*F29/(1+'数据-取费表'!C42),0)</f>
        <v>34057</v>
      </c>
      <c r="D29" s="468"/>
      <c r="E29" s="468"/>
      <c r="F29" s="2983">
        <f>'数据-取费表'!B41</f>
        <v>5.6000000000000001E-2</v>
      </c>
      <c r="G29" s="2771" t="s">
        <v>498</v>
      </c>
      <c r="H29" s="2763"/>
      <c r="I29" s="2763"/>
      <c r="J29" s="2763"/>
      <c r="K29" s="2764"/>
    </row>
    <row r="30" spans="1:14" s="2103" customFormat="1" ht="13.5" customHeight="1">
      <c r="A30" s="1619" t="s">
        <v>1862</v>
      </c>
      <c r="B30" s="2812" t="s">
        <v>500</v>
      </c>
      <c r="C30" s="2807">
        <f ca="1">C31</f>
        <v>189888</v>
      </c>
      <c r="D30" s="477">
        <f ca="1">C32</f>
        <v>0.1032</v>
      </c>
      <c r="E30" s="469" t="s">
        <v>495</v>
      </c>
      <c r="F30" s="471"/>
      <c r="G30" s="2770" t="s">
        <v>2963</v>
      </c>
      <c r="H30" s="2763"/>
      <c r="I30" s="2763"/>
      <c r="J30" s="2763"/>
      <c r="K30" s="2764"/>
    </row>
    <row r="31" spans="1:14" s="2102" customFormat="1" ht="13.5" customHeight="1">
      <c r="A31" s="803" t="s">
        <v>1855</v>
      </c>
      <c r="B31" s="2808"/>
      <c r="C31" s="450">
        <f ca="1">C18+C19+C20+C23+C24+C26+C29</f>
        <v>189888</v>
      </c>
      <c r="D31" s="472"/>
      <c r="E31" s="473"/>
      <c r="F31" s="474"/>
      <c r="G31" s="261"/>
      <c r="H31" s="2765"/>
      <c r="I31" s="2765"/>
      <c r="J31" s="2765"/>
      <c r="K31" s="279"/>
    </row>
    <row r="32" spans="1:14" s="2102" customFormat="1" ht="13.5" customHeight="1">
      <c r="A32" s="803" t="s">
        <v>1856</v>
      </c>
      <c r="B32" s="2808"/>
      <c r="C32" s="53">
        <f ca="1">ROUND(C25+D26,4)</f>
        <v>0.1032</v>
      </c>
      <c r="D32" s="472"/>
      <c r="E32" s="473"/>
      <c r="F32" s="474"/>
      <c r="G32" s="261"/>
      <c r="H32" s="2765"/>
      <c r="I32" s="2765"/>
      <c r="J32" s="2765"/>
      <c r="K32" s="279"/>
    </row>
    <row r="33" spans="1:11" s="2104" customFormat="1" ht="13.5" customHeight="1">
      <c r="A33" s="2980" t="s">
        <v>2829</v>
      </c>
      <c r="B33" s="2978" t="s">
        <v>2827</v>
      </c>
      <c r="C33" s="478">
        <f ca="1">C35</f>
        <v>13545</v>
      </c>
      <c r="D33" s="467">
        <f ca="1">C34</f>
        <v>9.2600000000000002E-2</v>
      </c>
      <c r="E33" s="469" t="s">
        <v>495</v>
      </c>
      <c r="F33" s="479">
        <f ca="1">IF(B1="",'数据-取费表'!Q16,INDIRECT("'数据-取费表'!q"&amp;$K$1))</f>
        <v>0.09</v>
      </c>
      <c r="G33" s="2766"/>
      <c r="H33" s="2767"/>
      <c r="I33" s="2767"/>
      <c r="J33" s="2767"/>
      <c r="K33" s="2768"/>
    </row>
    <row r="34" spans="1:11" s="2105" customFormat="1" ht="13.5" customHeight="1">
      <c r="A34" s="375" t="s">
        <v>1855</v>
      </c>
      <c r="B34" s="2813" t="s">
        <v>501</v>
      </c>
      <c r="C34" s="472">
        <f ca="1">ROUND((1+C25)*F33,4)</f>
        <v>9.2600000000000002E-2</v>
      </c>
      <c r="D34" s="472"/>
      <c r="E34" s="473"/>
      <c r="F34" s="480"/>
      <c r="G34" s="261" t="s">
        <v>2287</v>
      </c>
      <c r="H34" s="2765"/>
      <c r="I34" s="2765"/>
      <c r="J34" s="2765"/>
      <c r="K34" s="279"/>
    </row>
    <row r="35" spans="1:11" s="2105" customFormat="1" ht="13.5" customHeight="1" thickBot="1">
      <c r="A35" s="1620" t="s">
        <v>1856</v>
      </c>
      <c r="B35" s="2979" t="s">
        <v>2835</v>
      </c>
      <c r="C35" s="1612">
        <f ca="1">ROUND((C18+C19+C20+C23+C24)*F33,0)</f>
        <v>13545</v>
      </c>
      <c r="D35" s="1613"/>
      <c r="E35" s="2814"/>
      <c r="F35" s="1614"/>
      <c r="G35" s="2772"/>
      <c r="H35" s="2773"/>
      <c r="I35" s="2773"/>
      <c r="J35" s="2773"/>
      <c r="K35" s="2774"/>
    </row>
    <row r="36" spans="1:11" s="2067" customFormat="1" ht="13.5" customHeight="1" thickBot="1">
      <c r="A36" s="284" t="s">
        <v>1843</v>
      </c>
      <c r="B36" s="2776"/>
      <c r="C36" s="2815">
        <f ca="1">ROUND((C6-C30-C33)/(1+D30+D33),0)</f>
        <v>363887</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7" sqref="M3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2" t="s">
        <v>719</v>
      </c>
      <c r="C1" s="2583" t="s">
        <v>720</v>
      </c>
      <c r="D1" s="2584" t="s">
        <v>922</v>
      </c>
      <c r="E1" s="2585"/>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1">
        <f>ROUND(B3*D3/10000,0)</f>
        <v>220986</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33286</v>
      </c>
      <c r="C3" s="852" t="s">
        <v>722</v>
      </c>
      <c r="D3" s="851">
        <f>SUMIF('数据-汇总表'!$C19:$C33,D1,'数据-汇总表'!$E19:$E33)</f>
        <v>66390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2" t="s">
        <v>521</v>
      </c>
      <c r="B4" s="513"/>
      <c r="C4" s="3503" t="s">
        <v>522</v>
      </c>
      <c r="D4" s="3504"/>
      <c r="E4" s="3527" t="s">
        <v>523</v>
      </c>
      <c r="F4" s="3528"/>
      <c r="G4" s="3503" t="s">
        <v>524</v>
      </c>
      <c r="H4" s="3504"/>
      <c r="I4" s="3503" t="s">
        <v>525</v>
      </c>
      <c r="J4" s="3504"/>
      <c r="K4" s="853" t="s">
        <v>526</v>
      </c>
      <c r="L4" s="2115"/>
      <c r="M4" s="2116"/>
      <c r="N4" s="2116"/>
      <c r="O4" s="2116"/>
      <c r="P4" s="3505" t="s">
        <v>527</v>
      </c>
      <c r="Q4" s="3506"/>
      <c r="R4" s="3491" t="s">
        <v>523</v>
      </c>
      <c r="S4" s="3492"/>
      <c r="T4" s="3491" t="s">
        <v>524</v>
      </c>
      <c r="U4" s="3492"/>
      <c r="V4" s="3511" t="s">
        <v>525</v>
      </c>
      <c r="W4" s="3511"/>
      <c r="X4" s="1552"/>
      <c r="Y4" s="3491" t="s">
        <v>527</v>
      </c>
      <c r="Z4" s="3492"/>
      <c r="AA4" s="3486" t="s">
        <v>523</v>
      </c>
      <c r="AB4" s="3486" t="s">
        <v>524</v>
      </c>
      <c r="AC4" s="3486" t="s">
        <v>525</v>
      </c>
    </row>
    <row r="5" spans="1:29" ht="15">
      <c r="A5" s="515"/>
      <c r="B5" s="516"/>
      <c r="C5" s="3514" t="s">
        <v>2920</v>
      </c>
      <c r="D5" s="3515"/>
      <c r="E5" s="3577" t="s">
        <v>3158</v>
      </c>
      <c r="F5" s="3530"/>
      <c r="G5" s="3578" t="s">
        <v>3486</v>
      </c>
      <c r="H5" s="3515"/>
      <c r="I5" s="3578" t="s">
        <v>3487</v>
      </c>
      <c r="J5" s="3515"/>
      <c r="K5" s="854"/>
      <c r="L5" s="2115"/>
      <c r="M5" s="2116"/>
      <c r="N5" s="2116"/>
      <c r="O5" s="2116"/>
      <c r="P5" s="3507"/>
      <c r="Q5" s="3508"/>
      <c r="R5" s="3493"/>
      <c r="S5" s="3494"/>
      <c r="T5" s="3493"/>
      <c r="U5" s="3494"/>
      <c r="V5" s="3511"/>
      <c r="W5" s="3511"/>
      <c r="X5" s="1552"/>
      <c r="Y5" s="3493"/>
      <c r="Z5" s="3494"/>
      <c r="AA5" s="3487"/>
      <c r="AB5" s="3487"/>
      <c r="AC5" s="3487"/>
    </row>
    <row r="6" spans="1:29" ht="15.75" thickBot="1">
      <c r="A6" s="517"/>
      <c r="B6" s="518"/>
      <c r="C6" s="3512" t="s">
        <v>2924</v>
      </c>
      <c r="D6" s="3513"/>
      <c r="E6" s="3531" t="s">
        <v>2924</v>
      </c>
      <c r="F6" s="3532"/>
      <c r="G6" s="3512" t="s">
        <v>2924</v>
      </c>
      <c r="H6" s="3513"/>
      <c r="I6" s="3512" t="s">
        <v>2924</v>
      </c>
      <c r="J6" s="3513"/>
      <c r="K6" s="854" t="s">
        <v>528</v>
      </c>
      <c r="L6" s="2115"/>
      <c r="M6" s="2116"/>
      <c r="N6" s="2116"/>
      <c r="O6" s="2116"/>
      <c r="P6" s="3509"/>
      <c r="Q6" s="3510"/>
      <c r="R6" s="3493"/>
      <c r="S6" s="3494"/>
      <c r="T6" s="3495"/>
      <c r="U6" s="3496"/>
      <c r="V6" s="3511"/>
      <c r="W6" s="3511"/>
      <c r="X6" s="1552"/>
      <c r="Y6" s="3495"/>
      <c r="Z6" s="3496"/>
      <c r="AA6" s="3488"/>
      <c r="AB6" s="3488"/>
      <c r="AC6" s="3488"/>
    </row>
    <row r="7" spans="1:29" s="1215" customFormat="1" ht="15.75" thickBot="1">
      <c r="A7" s="2861"/>
      <c r="B7" s="2868" t="s">
        <v>529</v>
      </c>
      <c r="C7" s="519">
        <f>'数据-取费表'!B2</f>
        <v>43602</v>
      </c>
      <c r="D7" s="520">
        <v>100</v>
      </c>
      <c r="E7" s="521">
        <f>C7</f>
        <v>43602</v>
      </c>
      <c r="F7" s="522">
        <f>SUMIF(58:58,YEAR(E7)&amp;"-"&amp;MONTH(E7),59:59)</f>
        <v>100</v>
      </c>
      <c r="G7" s="523">
        <f>C7</f>
        <v>43602</v>
      </c>
      <c r="H7" s="520">
        <f>SUMIF(58:58,YEAR(G7)&amp;"-"&amp;MONTH(G7),59:59)</f>
        <v>100</v>
      </c>
      <c r="I7" s="523">
        <f>C7</f>
        <v>43602</v>
      </c>
      <c r="J7" s="520">
        <f>SUMIF(58:58,YEAR(I7)&amp;"-"&amp;MONTH(I7),59:59)</f>
        <v>100</v>
      </c>
      <c r="K7" s="855"/>
      <c r="L7" s="2117"/>
      <c r="M7" s="2118"/>
      <c r="N7" s="2118"/>
      <c r="O7" s="2118"/>
      <c r="P7" s="3489" t="s">
        <v>530</v>
      </c>
      <c r="Q7" s="3498"/>
      <c r="R7" s="1553" t="s">
        <v>13</v>
      </c>
      <c r="S7" s="1554">
        <f t="shared" ref="S7:S15" si="0">F7</f>
        <v>100</v>
      </c>
      <c r="T7" s="1553" t="s">
        <v>13</v>
      </c>
      <c r="U7" s="1554">
        <f t="shared" ref="U7:U15" si="1">H7</f>
        <v>100</v>
      </c>
      <c r="V7" s="1553" t="s">
        <v>13</v>
      </c>
      <c r="W7" s="1554">
        <f t="shared" ref="W7:W15" si="2">J7</f>
        <v>100</v>
      </c>
      <c r="X7" s="1555"/>
      <c r="Y7" s="3489" t="s">
        <v>530</v>
      </c>
      <c r="Z7" s="3490"/>
      <c r="AA7" s="1556">
        <f>D7/F7</f>
        <v>1</v>
      </c>
      <c r="AB7" s="1556">
        <f>D7/H7</f>
        <v>1</v>
      </c>
      <c r="AC7" s="1556">
        <f>D7/J7</f>
        <v>1</v>
      </c>
    </row>
    <row r="8" spans="1:29" s="1215" customFormat="1" ht="15.75" thickBot="1">
      <c r="A8" s="2862"/>
      <c r="B8" s="2869" t="s">
        <v>531</v>
      </c>
      <c r="C8" s="525" t="s">
        <v>576</v>
      </c>
      <c r="D8" s="520">
        <v>100</v>
      </c>
      <c r="E8" s="856" t="s">
        <v>3065</v>
      </c>
      <c r="F8" s="522">
        <f>SUMIF(61:61,E8,62:62)-SUMIF(61:61,C8,62:62)+100</f>
        <v>100</v>
      </c>
      <c r="G8" s="525" t="s">
        <v>3065</v>
      </c>
      <c r="H8" s="520">
        <f>SUMIF(61:61,G8,62:62)-SUMIF(61:61,C8,62:62)+100</f>
        <v>100</v>
      </c>
      <c r="I8" s="856" t="s">
        <v>3065</v>
      </c>
      <c r="J8" s="520">
        <f>SUMIF(61:61,I8,62:62)-SUMIF(61:61,C8,62:62)+100</f>
        <v>100</v>
      </c>
      <c r="K8" s="855"/>
      <c r="L8" s="2117"/>
      <c r="M8" s="2118"/>
      <c r="N8" s="2118"/>
      <c r="O8" s="2118"/>
      <c r="P8" s="3489" t="s">
        <v>533</v>
      </c>
      <c r="Q8" s="3490"/>
      <c r="R8" s="1553" t="s">
        <v>13</v>
      </c>
      <c r="S8" s="1554">
        <f t="shared" si="0"/>
        <v>100</v>
      </c>
      <c r="T8" s="1553" t="s">
        <v>13</v>
      </c>
      <c r="U8" s="1554">
        <f t="shared" si="1"/>
        <v>100</v>
      </c>
      <c r="V8" s="1553" t="s">
        <v>13</v>
      </c>
      <c r="W8" s="1554">
        <f t="shared" si="2"/>
        <v>100</v>
      </c>
      <c r="X8" s="1555"/>
      <c r="Y8" s="3489" t="s">
        <v>533</v>
      </c>
      <c r="Z8" s="3490"/>
      <c r="AA8" s="1556">
        <f t="shared" ref="AA8:AA46" si="3">D8/F8</f>
        <v>1</v>
      </c>
      <c r="AB8" s="1556">
        <f t="shared" ref="AB8:AB46" si="4">D8/H8</f>
        <v>1</v>
      </c>
      <c r="AC8" s="1556">
        <f t="shared" ref="AC8:AC46" si="5">D8/J8</f>
        <v>1</v>
      </c>
    </row>
    <row r="9" spans="1:29" s="1215" customFormat="1" ht="15">
      <c r="A9" s="2863"/>
      <c r="B9" s="2870" t="s">
        <v>2752</v>
      </c>
      <c r="C9" s="3189" t="s">
        <v>3066</v>
      </c>
      <c r="D9" s="254">
        <v>100</v>
      </c>
      <c r="E9" s="858" t="s">
        <v>922</v>
      </c>
      <c r="F9" s="859">
        <f>SUMIF(63:63,E9,64:64)-SUMIF(63:63,C9,64:64)+100</f>
        <v>100</v>
      </c>
      <c r="G9" s="860" t="s">
        <v>922</v>
      </c>
      <c r="H9" s="254">
        <f>SUMIF(63:63,G9,64:64)-SUMIF(63:63,C9,64:64)+100</f>
        <v>100</v>
      </c>
      <c r="I9" s="860" t="s">
        <v>922</v>
      </c>
      <c r="J9" s="254">
        <f>SUMIF(63:63,I9,64:64)-SUMIF(63:63,C9,64:64)+100</f>
        <v>100</v>
      </c>
      <c r="K9" s="855"/>
      <c r="L9" s="2117"/>
      <c r="M9" s="2118"/>
      <c r="N9" s="2118"/>
      <c r="O9" s="2119"/>
      <c r="P9" s="3497" t="s">
        <v>535</v>
      </c>
      <c r="Q9" s="1146" t="str">
        <f t="shared" ref="Q9:Q15" si="6">B9</f>
        <v>用途</v>
      </c>
      <c r="R9" s="1553" t="s">
        <v>8</v>
      </c>
      <c r="S9" s="1554">
        <f t="shared" si="0"/>
        <v>100</v>
      </c>
      <c r="T9" s="1553" t="s">
        <v>8</v>
      </c>
      <c r="U9" s="1554">
        <f t="shared" si="1"/>
        <v>100</v>
      </c>
      <c r="V9" s="1553" t="s">
        <v>8</v>
      </c>
      <c r="W9" s="1554">
        <f t="shared" si="2"/>
        <v>100</v>
      </c>
      <c r="X9" s="1555"/>
      <c r="Y9" s="3454" t="s">
        <v>536</v>
      </c>
      <c r="Z9" s="1145" t="str">
        <f t="shared" ref="Z9:Z15" si="7">Q9</f>
        <v>用途</v>
      </c>
      <c r="AA9" s="1556">
        <f t="shared" si="3"/>
        <v>1</v>
      </c>
      <c r="AB9" s="1556">
        <f t="shared" si="4"/>
        <v>1</v>
      </c>
      <c r="AC9" s="1556">
        <f t="shared" si="5"/>
        <v>1</v>
      </c>
    </row>
    <row r="10" spans="1:29" s="1333" customFormat="1" ht="27">
      <c r="A10" s="2864"/>
      <c r="B10" s="2869" t="s">
        <v>2753</v>
      </c>
      <c r="C10" s="861" t="s">
        <v>3067</v>
      </c>
      <c r="D10" s="255">
        <v>100</v>
      </c>
      <c r="E10" s="862" t="s">
        <v>3488</v>
      </c>
      <c r="F10" s="863">
        <f>SUMIF(65:65,E10,66:66)-SUMIF(65:65,C10,66:66)+100</f>
        <v>102</v>
      </c>
      <c r="G10" s="861" t="s">
        <v>3488</v>
      </c>
      <c r="H10" s="255">
        <f>SUMIF(65:65,G10,66:66)-SUMIF(65:65,C10,66:66)+100</f>
        <v>102</v>
      </c>
      <c r="I10" s="861" t="s">
        <v>3488</v>
      </c>
      <c r="J10" s="255">
        <f>SUMIF(65:65,I10,66:66)-SUMIF(65:65,C10,66:66)+100</f>
        <v>102</v>
      </c>
      <c r="K10" s="864">
        <v>2</v>
      </c>
      <c r="L10" s="2120"/>
      <c r="M10" s="2160"/>
      <c r="N10" s="2160"/>
      <c r="O10" s="2121"/>
      <c r="P10" s="3497"/>
      <c r="Q10" s="1146" t="str">
        <f t="shared" si="6"/>
        <v>土地使用年限（年）</v>
      </c>
      <c r="R10" s="1553" t="s">
        <v>8</v>
      </c>
      <c r="S10" s="1554">
        <f t="shared" si="0"/>
        <v>102</v>
      </c>
      <c r="T10" s="1553" t="s">
        <v>8</v>
      </c>
      <c r="U10" s="1554">
        <f t="shared" si="1"/>
        <v>102</v>
      </c>
      <c r="V10" s="1553" t="s">
        <v>8</v>
      </c>
      <c r="W10" s="1554">
        <f t="shared" si="2"/>
        <v>102</v>
      </c>
      <c r="X10" s="1555"/>
      <c r="Y10" s="3454"/>
      <c r="Z10" s="1145" t="str">
        <f t="shared" si="7"/>
        <v>土地使用年限（年）</v>
      </c>
      <c r="AA10" s="1556">
        <f t="shared" si="3"/>
        <v>0.98039215686274506</v>
      </c>
      <c r="AB10" s="1556">
        <f t="shared" si="4"/>
        <v>0.98039215686274506</v>
      </c>
      <c r="AC10" s="1556">
        <f t="shared" si="5"/>
        <v>0.98039215686274506</v>
      </c>
    </row>
    <row r="11" spans="1:29" ht="15">
      <c r="A11" s="2865"/>
      <c r="B11" s="2869" t="s">
        <v>2754</v>
      </c>
      <c r="C11" s="533">
        <f>'数据-汇总表'!I7</f>
        <v>3.07</v>
      </c>
      <c r="D11" s="255">
        <v>100</v>
      </c>
      <c r="E11" s="534">
        <v>3.98</v>
      </c>
      <c r="F11" s="863">
        <f>LOOKUP(E11,68:68,69:69)-LOOKUP(C11,68:68,69:69)+100</f>
        <v>100</v>
      </c>
      <c r="G11" s="533">
        <v>3.75</v>
      </c>
      <c r="H11" s="255">
        <f>LOOKUP(G11,68:68,69:69)-LOOKUP(C11,68:68,69:69)+100</f>
        <v>100</v>
      </c>
      <c r="I11" s="533">
        <v>12</v>
      </c>
      <c r="J11" s="255">
        <f>LOOKUP(I11,68:68,69:69)-LOOKUP(C11,68:68,69:69)+100</f>
        <v>94</v>
      </c>
      <c r="K11" s="864">
        <v>2</v>
      </c>
      <c r="L11" s="2122"/>
      <c r="M11" s="2116"/>
      <c r="N11" s="2116"/>
      <c r="O11" s="2123"/>
      <c r="P11" s="3497"/>
      <c r="Q11" s="1146" t="str">
        <f t="shared" si="6"/>
        <v>容积率</v>
      </c>
      <c r="R11" s="1553" t="s">
        <v>11</v>
      </c>
      <c r="S11" s="1554">
        <f t="shared" si="0"/>
        <v>100</v>
      </c>
      <c r="T11" s="1553" t="s">
        <v>11</v>
      </c>
      <c r="U11" s="1554">
        <f t="shared" si="1"/>
        <v>100</v>
      </c>
      <c r="V11" s="1553" t="s">
        <v>11</v>
      </c>
      <c r="W11" s="1554">
        <f t="shared" si="2"/>
        <v>94</v>
      </c>
      <c r="X11" s="1555"/>
      <c r="Y11" s="3454"/>
      <c r="Z11" s="1145" t="str">
        <f t="shared" si="7"/>
        <v>容积率</v>
      </c>
      <c r="AA11" s="1556">
        <f t="shared" si="3"/>
        <v>1</v>
      </c>
      <c r="AB11" s="1556">
        <f t="shared" si="4"/>
        <v>1</v>
      </c>
      <c r="AC11" s="1556">
        <f t="shared" si="5"/>
        <v>1.0638297872340425</v>
      </c>
    </row>
    <row r="12" spans="1:29" s="1215" customFormat="1" ht="15">
      <c r="A12" s="2866"/>
      <c r="B12" s="2872">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497"/>
      <c r="Q12" s="1146">
        <f t="shared" si="6"/>
        <v>111</v>
      </c>
      <c r="R12" s="1553" t="s">
        <v>11</v>
      </c>
      <c r="S12" s="1554">
        <f t="shared" si="0"/>
        <v>100</v>
      </c>
      <c r="T12" s="1553" t="s">
        <v>11</v>
      </c>
      <c r="U12" s="1554">
        <f t="shared" si="1"/>
        <v>100</v>
      </c>
      <c r="V12" s="1553" t="s">
        <v>11</v>
      </c>
      <c r="W12" s="1554">
        <f t="shared" si="2"/>
        <v>100</v>
      </c>
      <c r="X12" s="1555"/>
      <c r="Y12" s="3454"/>
      <c r="Z12" s="1145">
        <f t="shared" si="7"/>
        <v>111</v>
      </c>
      <c r="AA12" s="1556">
        <f>D12/F12</f>
        <v>1</v>
      </c>
      <c r="AB12" s="1556">
        <f>D12/H12</f>
        <v>1</v>
      </c>
      <c r="AC12" s="1556">
        <f>D12/J12</f>
        <v>1</v>
      </c>
    </row>
    <row r="13" spans="1:29" ht="15">
      <c r="A13" s="2866"/>
      <c r="B13" s="2872">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497"/>
      <c r="Q13" s="1146">
        <f t="shared" si="6"/>
        <v>111</v>
      </c>
      <c r="R13" s="1553" t="s">
        <v>11</v>
      </c>
      <c r="S13" s="1554">
        <f t="shared" si="0"/>
        <v>100</v>
      </c>
      <c r="T13" s="1553" t="s">
        <v>11</v>
      </c>
      <c r="U13" s="1554">
        <f t="shared" si="1"/>
        <v>100</v>
      </c>
      <c r="V13" s="1553" t="s">
        <v>11</v>
      </c>
      <c r="W13" s="1554">
        <f t="shared" si="2"/>
        <v>100</v>
      </c>
      <c r="X13" s="1555"/>
      <c r="Y13" s="3454"/>
      <c r="Z13" s="1145">
        <f t="shared" si="7"/>
        <v>111</v>
      </c>
      <c r="AA13" s="1556">
        <f t="shared" si="3"/>
        <v>1</v>
      </c>
      <c r="AB13" s="1556">
        <f t="shared" si="4"/>
        <v>1</v>
      </c>
      <c r="AC13" s="1556">
        <f t="shared" si="5"/>
        <v>1</v>
      </c>
    </row>
    <row r="14" spans="1:29" ht="15.75" thickBot="1">
      <c r="A14" s="2867"/>
      <c r="B14" s="2873">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497"/>
      <c r="Q14" s="1146">
        <f t="shared" si="6"/>
        <v>111</v>
      </c>
      <c r="R14" s="1553" t="s">
        <v>11</v>
      </c>
      <c r="S14" s="1554">
        <f t="shared" si="0"/>
        <v>100</v>
      </c>
      <c r="T14" s="1553" t="s">
        <v>11</v>
      </c>
      <c r="U14" s="1554">
        <f t="shared" si="1"/>
        <v>100</v>
      </c>
      <c r="V14" s="1553" t="s">
        <v>11</v>
      </c>
      <c r="W14" s="1554">
        <f t="shared" si="2"/>
        <v>100</v>
      </c>
      <c r="X14" s="1555"/>
      <c r="Y14" s="3454"/>
      <c r="Z14" s="1145">
        <f t="shared" si="7"/>
        <v>111</v>
      </c>
      <c r="AA14" s="1556">
        <f t="shared" si="3"/>
        <v>1</v>
      </c>
      <c r="AB14" s="1556">
        <f t="shared" si="4"/>
        <v>1</v>
      </c>
      <c r="AC14" s="1556">
        <f t="shared" si="5"/>
        <v>1</v>
      </c>
    </row>
    <row r="15" spans="1:29" ht="114">
      <c r="A15" s="2859" t="s">
        <v>2750</v>
      </c>
      <c r="B15" s="166" t="s">
        <v>295</v>
      </c>
      <c r="C15" s="867" t="str">
        <f>估价对象房地状况!C3</f>
        <v>估价对象周边有怡景园、汇丰江山汇等住宅社区，分布密度一般，规模一般，入住率一般，综合评价居住社区成熟度一般。</v>
      </c>
      <c r="D15" s="549">
        <v>100</v>
      </c>
      <c r="E15" s="3196" t="s">
        <v>3159</v>
      </c>
      <c r="F15" s="551">
        <f>SUMIF(76:76,E16,77:77)-SUMIF(76:76,C16,77:77)+100</f>
        <v>100</v>
      </c>
      <c r="G15" s="3196" t="s">
        <v>3489</v>
      </c>
      <c r="H15" s="549">
        <f>SUMIF(76:76,G16,77:77)-SUMIF(76:76,C16,77:77)+100</f>
        <v>100</v>
      </c>
      <c r="I15" s="3196"/>
      <c r="J15" s="549">
        <f>SUMIF(76:76,I16,77:77)-SUMIF(76:76,C16,77:77)+100</f>
        <v>102</v>
      </c>
      <c r="K15" s="868">
        <v>2</v>
      </c>
      <c r="L15" s="2124"/>
      <c r="M15" s="2116"/>
      <c r="N15" s="2116"/>
      <c r="O15" s="2123"/>
      <c r="P15" s="3499" t="s">
        <v>540</v>
      </c>
      <c r="Q15" s="1557" t="str">
        <f t="shared" si="6"/>
        <v>居住社区成熟度</v>
      </c>
      <c r="R15" s="1558" t="s">
        <v>11</v>
      </c>
      <c r="S15" s="1559">
        <f t="shared" si="0"/>
        <v>100</v>
      </c>
      <c r="T15" s="1558" t="s">
        <v>11</v>
      </c>
      <c r="U15" s="1559">
        <f t="shared" si="1"/>
        <v>100</v>
      </c>
      <c r="V15" s="1558" t="s">
        <v>11</v>
      </c>
      <c r="W15" s="1559">
        <f t="shared" si="2"/>
        <v>102</v>
      </c>
      <c r="X15" s="1552"/>
      <c r="Y15" s="3499" t="s">
        <v>540</v>
      </c>
      <c r="Z15" s="1560" t="str">
        <f t="shared" si="7"/>
        <v>居住社区成熟度</v>
      </c>
      <c r="AA15" s="1561">
        <f t="shared" si="3"/>
        <v>1</v>
      </c>
      <c r="AB15" s="1561">
        <f t="shared" si="4"/>
        <v>1</v>
      </c>
      <c r="AC15" s="1561">
        <f t="shared" si="5"/>
        <v>0.98039215686274506</v>
      </c>
    </row>
    <row r="16" spans="1:29" ht="15">
      <c r="A16" s="532"/>
      <c r="B16" s="869"/>
      <c r="C16" s="576" t="s">
        <v>3143</v>
      </c>
      <c r="D16" s="555"/>
      <c r="E16" s="556" t="s">
        <v>3143</v>
      </c>
      <c r="F16" s="557"/>
      <c r="G16" s="558" t="s">
        <v>3143</v>
      </c>
      <c r="H16" s="559"/>
      <c r="I16" s="556" t="s">
        <v>3145</v>
      </c>
      <c r="J16" s="555"/>
      <c r="K16" s="870"/>
      <c r="L16" s="2124"/>
      <c r="M16" s="2116"/>
      <c r="N16" s="2116"/>
      <c r="O16" s="2123"/>
      <c r="P16" s="3500"/>
      <c r="Q16" s="1557"/>
      <c r="R16" s="1558"/>
      <c r="S16" s="1559"/>
      <c r="T16" s="1558"/>
      <c r="U16" s="1559"/>
      <c r="V16" s="1558"/>
      <c r="W16" s="1559"/>
      <c r="X16" s="1552"/>
      <c r="Y16" s="3500"/>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3160</v>
      </c>
      <c r="F17" s="563">
        <f>SUMIF(78:78,E18,79:79)-SUMIF(78:78,C18,79:79)+100</f>
        <v>100</v>
      </c>
      <c r="G17" s="562" t="s">
        <v>3490</v>
      </c>
      <c r="H17" s="565">
        <f>SUMIF(78:78,G18,79:79)-SUMIF(78:78,C18,79:79)+100</f>
        <v>100</v>
      </c>
      <c r="I17" s="562"/>
      <c r="J17" s="565">
        <f>SUMIF(78:78,I18,79:79)-SUMIF(78:78,C18,79:79)+100</f>
        <v>100</v>
      </c>
      <c r="K17" s="868">
        <v>2</v>
      </c>
      <c r="L17" s="2124"/>
      <c r="M17" s="2116"/>
      <c r="N17" s="2116"/>
      <c r="O17" s="2123"/>
      <c r="P17" s="3500"/>
      <c r="Q17" s="1557" t="str">
        <f>B17</f>
        <v>交通便捷度</v>
      </c>
      <c r="R17" s="1558" t="s">
        <v>11</v>
      </c>
      <c r="S17" s="1559">
        <f>F17</f>
        <v>100</v>
      </c>
      <c r="T17" s="1558" t="s">
        <v>11</v>
      </c>
      <c r="U17" s="1559">
        <f>H17</f>
        <v>100</v>
      </c>
      <c r="V17" s="1558" t="s">
        <v>11</v>
      </c>
      <c r="W17" s="1559">
        <f>J17</f>
        <v>100</v>
      </c>
      <c r="X17" s="1552"/>
      <c r="Y17" s="3500"/>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70"/>
      <c r="L18" s="2124"/>
      <c r="M18" s="2116"/>
      <c r="N18" s="2116"/>
      <c r="O18" s="2123"/>
      <c r="P18" s="3500"/>
      <c r="Q18" s="1557"/>
      <c r="R18" s="1558"/>
      <c r="S18" s="1559"/>
      <c r="T18" s="1558"/>
      <c r="U18" s="1559"/>
      <c r="V18" s="1558"/>
      <c r="W18" s="1559"/>
      <c r="X18" s="1552"/>
      <c r="Y18" s="3500"/>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3161</v>
      </c>
      <c r="F19" s="571">
        <f>SUMIF(80:80,E20,81:81)-SUMIF(80:80,C20,81:81)+100</f>
        <v>100</v>
      </c>
      <c r="G19" s="3197" t="s">
        <v>3161</v>
      </c>
      <c r="H19" s="559">
        <f>SUMIF(80:80,G20,81:81)-SUMIF(80:80,C20,81:81)+100</f>
        <v>100</v>
      </c>
      <c r="I19" s="3197" t="s">
        <v>3161</v>
      </c>
      <c r="J19" s="559">
        <f>SUMIF(80:80,I20,81:81)-SUMIF(80:80,C20,81:81)+100</f>
        <v>100</v>
      </c>
      <c r="K19" s="868">
        <v>2</v>
      </c>
      <c r="L19" s="2124"/>
      <c r="M19" s="2116"/>
      <c r="N19" s="2116"/>
      <c r="O19" s="2123"/>
      <c r="P19" s="3500"/>
      <c r="Q19" s="1557" t="str">
        <f>B19</f>
        <v>公共配套设施</v>
      </c>
      <c r="R19" s="1558" t="s">
        <v>11</v>
      </c>
      <c r="S19" s="1559">
        <f>F19</f>
        <v>100</v>
      </c>
      <c r="T19" s="1558" t="s">
        <v>11</v>
      </c>
      <c r="U19" s="1559">
        <f>H19</f>
        <v>100</v>
      </c>
      <c r="V19" s="1558" t="s">
        <v>11</v>
      </c>
      <c r="W19" s="1559">
        <f>J19</f>
        <v>100</v>
      </c>
      <c r="X19" s="1552"/>
      <c r="Y19" s="3500"/>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70"/>
      <c r="L20" s="2124"/>
      <c r="M20" s="2116"/>
      <c r="N20" s="2116"/>
      <c r="O20" s="2123"/>
      <c r="P20" s="3500"/>
      <c r="Q20" s="1557"/>
      <c r="R20" s="1558"/>
      <c r="S20" s="1559"/>
      <c r="T20" s="1558"/>
      <c r="U20" s="1559"/>
      <c r="V20" s="1558"/>
      <c r="W20" s="1559"/>
      <c r="X20" s="1552"/>
      <c r="Y20" s="3500"/>
      <c r="Z20" s="1560"/>
      <c r="AA20" s="1561">
        <v>1</v>
      </c>
      <c r="AB20" s="1561">
        <v>1</v>
      </c>
      <c r="AC20" s="1561">
        <v>1</v>
      </c>
    </row>
    <row r="21" spans="1:29" ht="42.75">
      <c r="A21" s="532"/>
      <c r="B21" s="2552" t="s">
        <v>2555</v>
      </c>
      <c r="C21" s="872" t="str">
        <f>估价对象房地状况!C8</f>
        <v>估价对象所在区域基础设施水平达“六通”。</v>
      </c>
      <c r="D21" s="565">
        <v>100</v>
      </c>
      <c r="E21" s="572" t="s">
        <v>3162</v>
      </c>
      <c r="F21" s="571">
        <f>SUMIF(82:82,E22,83:83)-SUMIF(82:82,C22,83:83)+100</f>
        <v>100</v>
      </c>
      <c r="G21" s="572" t="s">
        <v>3162</v>
      </c>
      <c r="H21" s="565">
        <f>SUMIF(82:82,G22,83:83)-SUMIF(82:82,C22,83:83)+100</f>
        <v>100</v>
      </c>
      <c r="I21" s="572" t="s">
        <v>3162</v>
      </c>
      <c r="J21" s="565">
        <f>SUMIF(82:82,I22,83:83)-SUMIF(82:82,C22,83:83)+100</f>
        <v>100</v>
      </c>
      <c r="K21" s="868">
        <v>2</v>
      </c>
      <c r="L21" s="2124"/>
      <c r="M21" s="2116"/>
      <c r="N21" s="2116"/>
      <c r="O21" s="2123"/>
      <c r="P21" s="3500"/>
      <c r="Q21" s="2538" t="str">
        <f>B21</f>
        <v>基础设施水平</v>
      </c>
      <c r="R21" s="1558" t="s">
        <v>11</v>
      </c>
      <c r="S21" s="1559">
        <f>F21</f>
        <v>100</v>
      </c>
      <c r="T21" s="1558" t="s">
        <v>11</v>
      </c>
      <c r="U21" s="1559">
        <f>H21</f>
        <v>100</v>
      </c>
      <c r="V21" s="1558" t="s">
        <v>11</v>
      </c>
      <c r="W21" s="1559">
        <f>J21</f>
        <v>100</v>
      </c>
      <c r="X21" s="2540"/>
      <c r="Y21" s="3500"/>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58"/>
      <c r="L22" s="2124"/>
      <c r="M22" s="2116"/>
      <c r="N22" s="2116"/>
      <c r="O22" s="2123"/>
      <c r="P22" s="3500"/>
      <c r="Q22" s="2538"/>
      <c r="R22" s="1558"/>
      <c r="S22" s="1559"/>
      <c r="T22" s="1558"/>
      <c r="U22" s="1559"/>
      <c r="V22" s="1558"/>
      <c r="W22" s="1559"/>
      <c r="X22" s="2540"/>
      <c r="Y22" s="3500"/>
      <c r="Z22" s="2539"/>
      <c r="AA22" s="1561">
        <v>1</v>
      </c>
      <c r="AB22" s="1561">
        <v>1</v>
      </c>
      <c r="AC22" s="1561">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4" t="s">
        <v>3163</v>
      </c>
      <c r="F23" s="563">
        <f>SUMIF(84:84,E24,85:85)-SUMIF(84:84,C24,85:85)+100</f>
        <v>100</v>
      </c>
      <c r="G23" s="3194" t="s">
        <v>3491</v>
      </c>
      <c r="H23" s="559">
        <f>SUMIF(84:84,G24,85:85)-SUMIF(84:84,C24,85:85)+100</f>
        <v>100</v>
      </c>
      <c r="I23" s="3194"/>
      <c r="J23" s="559">
        <f>SUMIF(84:84,I24,85:85)-SUMIF(84:84,C24,85:85)+100</f>
        <v>102</v>
      </c>
      <c r="K23" s="868">
        <v>2</v>
      </c>
      <c r="L23" s="2124"/>
      <c r="M23" s="2116"/>
      <c r="N23" s="2116"/>
      <c r="O23" s="2123"/>
      <c r="P23" s="3500"/>
      <c r="Q23" s="1557" t="str">
        <f>B23</f>
        <v>自然及人文环境</v>
      </c>
      <c r="R23" s="1558" t="s">
        <v>11</v>
      </c>
      <c r="S23" s="1559">
        <f>F23</f>
        <v>100</v>
      </c>
      <c r="T23" s="1558" t="s">
        <v>11</v>
      </c>
      <c r="U23" s="1559">
        <f>H23</f>
        <v>100</v>
      </c>
      <c r="V23" s="1558" t="s">
        <v>11</v>
      </c>
      <c r="W23" s="1559">
        <f>J23</f>
        <v>102</v>
      </c>
      <c r="X23" s="1552"/>
      <c r="Y23" s="3500"/>
      <c r="Z23" s="1560" t="str">
        <f>Q23</f>
        <v>自然及人文环境</v>
      </c>
      <c r="AA23" s="1561">
        <f t="shared" si="3"/>
        <v>1</v>
      </c>
      <c r="AB23" s="1561">
        <f t="shared" si="4"/>
        <v>1</v>
      </c>
      <c r="AC23" s="1561">
        <f t="shared" si="5"/>
        <v>0.98039215686274506</v>
      </c>
    </row>
    <row r="24" spans="1:29" ht="15">
      <c r="A24" s="532"/>
      <c r="B24" s="595"/>
      <c r="C24" s="576" t="s">
        <v>3143</v>
      </c>
      <c r="D24" s="555"/>
      <c r="E24" s="556" t="s">
        <v>3143</v>
      </c>
      <c r="F24" s="557"/>
      <c r="G24" s="558" t="s">
        <v>3143</v>
      </c>
      <c r="H24" s="555"/>
      <c r="I24" s="556" t="s">
        <v>3145</v>
      </c>
      <c r="J24" s="555"/>
      <c r="K24" s="870"/>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
      <c r="A25" s="532"/>
      <c r="B25" s="1877"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4"/>
      <c r="M25" s="2116"/>
      <c r="N25" s="2116"/>
      <c r="O25" s="2123"/>
      <c r="P25" s="3500"/>
      <c r="Q25" s="1557" t="str">
        <f t="shared" ref="Q25:Q46" si="11">B25</f>
        <v>楼层-1</v>
      </c>
      <c r="R25" s="1558" t="s">
        <v>11</v>
      </c>
      <c r="S25" s="1559">
        <f>F25</f>
        <v>100</v>
      </c>
      <c r="T25" s="1558" t="s">
        <v>11</v>
      </c>
      <c r="U25" s="1559">
        <f>H25</f>
        <v>100</v>
      </c>
      <c r="V25" s="1558" t="s">
        <v>11</v>
      </c>
      <c r="W25" s="1559">
        <f>J25</f>
        <v>100</v>
      </c>
      <c r="X25" s="1552"/>
      <c r="Y25" s="350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4"/>
      <c r="M26" s="2116"/>
      <c r="N26" s="2116"/>
      <c r="O26" s="2123"/>
      <c r="P26" s="3500"/>
      <c r="Q26" s="1557" t="str">
        <f t="shared" si="11"/>
        <v>朝向</v>
      </c>
      <c r="R26" s="1558" t="s">
        <v>11</v>
      </c>
      <c r="S26" s="1559">
        <f>F26</f>
        <v>100</v>
      </c>
      <c r="T26" s="1558" t="s">
        <v>11</v>
      </c>
      <c r="U26" s="1559">
        <f>H26</f>
        <v>100</v>
      </c>
      <c r="V26" s="1558" t="s">
        <v>11</v>
      </c>
      <c r="W26" s="1559">
        <f>J26</f>
        <v>100</v>
      </c>
      <c r="X26" s="1552"/>
      <c r="Y26" s="3500"/>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500"/>
      <c r="Q27" s="1146" t="str">
        <f t="shared" si="11"/>
        <v>道路级别</v>
      </c>
      <c r="R27" s="1553" t="s">
        <v>11</v>
      </c>
      <c r="S27" s="1554">
        <f>F27</f>
        <v>100</v>
      </c>
      <c r="T27" s="1553" t="s">
        <v>11</v>
      </c>
      <c r="U27" s="1554">
        <f>H27</f>
        <v>100</v>
      </c>
      <c r="V27" s="1553" t="s">
        <v>11</v>
      </c>
      <c r="W27" s="1554">
        <f>J27</f>
        <v>100</v>
      </c>
      <c r="X27" s="1555"/>
      <c r="Y27" s="3500"/>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00"/>
      <c r="Q28" s="1557">
        <f t="shared" si="11"/>
        <v>111</v>
      </c>
      <c r="R28" s="1558" t="s">
        <v>11</v>
      </c>
      <c r="S28" s="1559">
        <f t="shared" ref="S28:S46" si="12">F28</f>
        <v>100</v>
      </c>
      <c r="T28" s="1558" t="s">
        <v>11</v>
      </c>
      <c r="U28" s="1559">
        <f t="shared" ref="U28:U46" si="13">H28</f>
        <v>100</v>
      </c>
      <c r="V28" s="1558" t="s">
        <v>11</v>
      </c>
      <c r="W28" s="1559">
        <f t="shared" ref="W28:W46" si="14">J28</f>
        <v>100</v>
      </c>
      <c r="X28" s="1552"/>
      <c r="Y28" s="350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00"/>
      <c r="Q29" s="1557">
        <f t="shared" si="11"/>
        <v>111</v>
      </c>
      <c r="R29" s="1558" t="s">
        <v>11</v>
      </c>
      <c r="S29" s="1559">
        <f t="shared" si="12"/>
        <v>100</v>
      </c>
      <c r="T29" s="1558" t="s">
        <v>11</v>
      </c>
      <c r="U29" s="1559">
        <f t="shared" si="13"/>
        <v>100</v>
      </c>
      <c r="V29" s="1558" t="s">
        <v>11</v>
      </c>
      <c r="W29" s="1559">
        <f t="shared" si="14"/>
        <v>100</v>
      </c>
      <c r="X29" s="1552"/>
      <c r="Y29" s="350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00"/>
      <c r="Q30" s="1557">
        <f t="shared" si="11"/>
        <v>111</v>
      </c>
      <c r="R30" s="1558" t="s">
        <v>11</v>
      </c>
      <c r="S30" s="1559">
        <f t="shared" si="12"/>
        <v>100</v>
      </c>
      <c r="T30" s="1558" t="s">
        <v>11</v>
      </c>
      <c r="U30" s="1559">
        <f t="shared" si="13"/>
        <v>100</v>
      </c>
      <c r="V30" s="1558" t="s">
        <v>11</v>
      </c>
      <c r="W30" s="1559">
        <f t="shared" si="14"/>
        <v>100</v>
      </c>
      <c r="X30" s="1552"/>
      <c r="Y30" s="3500"/>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00"/>
      <c r="Q31" s="1557">
        <f t="shared" si="11"/>
        <v>111</v>
      </c>
      <c r="R31" s="1558" t="s">
        <v>11</v>
      </c>
      <c r="S31" s="1559">
        <f t="shared" si="12"/>
        <v>100</v>
      </c>
      <c r="T31" s="1558" t="s">
        <v>11</v>
      </c>
      <c r="U31" s="1559">
        <f t="shared" si="13"/>
        <v>100</v>
      </c>
      <c r="V31" s="1558" t="s">
        <v>11</v>
      </c>
      <c r="W31" s="1559">
        <f t="shared" si="14"/>
        <v>100</v>
      </c>
      <c r="X31" s="1552"/>
      <c r="Y31" s="3500"/>
      <c r="Z31" s="1560">
        <f t="shared" si="15"/>
        <v>111</v>
      </c>
      <c r="AA31" s="1561">
        <f t="shared" si="3"/>
        <v>1</v>
      </c>
      <c r="AB31" s="1561">
        <f t="shared" si="4"/>
        <v>1</v>
      </c>
      <c r="AC31" s="1561">
        <f t="shared" si="5"/>
        <v>1</v>
      </c>
    </row>
    <row r="32" spans="1:29" ht="15">
      <c r="A32" s="2857" t="s">
        <v>2751</v>
      </c>
      <c r="B32" s="172" t="s">
        <v>725</v>
      </c>
      <c r="C32" s="878" t="s">
        <v>3164</v>
      </c>
      <c r="D32" s="597">
        <v>100</v>
      </c>
      <c r="E32" s="879" t="s">
        <v>3164</v>
      </c>
      <c r="F32" s="575">
        <f>SUMIF(100:100,E32,101:101)-SUMIF(100:100,C32,101:101)+100</f>
        <v>100</v>
      </c>
      <c r="G32" s="878" t="s">
        <v>3164</v>
      </c>
      <c r="H32" s="597">
        <f>SUMIF(100:100,G32,101:101)-SUMIF(100:100,C32,101:101)+100</f>
        <v>100</v>
      </c>
      <c r="I32" s="879" t="s">
        <v>3164</v>
      </c>
      <c r="J32" s="540">
        <f>SUMIF(100:100,I32,101:101)-SUMIF(100:100,C32,101:101)+100</f>
        <v>100</v>
      </c>
      <c r="K32" s="864">
        <v>5</v>
      </c>
      <c r="L32" s="2124"/>
      <c r="M32" s="2116"/>
      <c r="N32" s="2116"/>
      <c r="O32" s="2123"/>
      <c r="P32" s="3501" t="s">
        <v>550</v>
      </c>
      <c r="Q32" s="1557" t="str">
        <f t="shared" si="11"/>
        <v>建筑类型</v>
      </c>
      <c r="R32" s="1558" t="s">
        <v>11</v>
      </c>
      <c r="S32" s="1559">
        <f t="shared" si="12"/>
        <v>100</v>
      </c>
      <c r="T32" s="1558" t="s">
        <v>11</v>
      </c>
      <c r="U32" s="1559">
        <f t="shared" si="13"/>
        <v>100</v>
      </c>
      <c r="V32" s="1558" t="s">
        <v>11</v>
      </c>
      <c r="W32" s="1559">
        <f t="shared" si="14"/>
        <v>100</v>
      </c>
      <c r="X32" s="1552"/>
      <c r="Y32" s="3502" t="s">
        <v>550</v>
      </c>
      <c r="Z32" s="1560" t="str">
        <f t="shared" si="15"/>
        <v>建筑类型</v>
      </c>
      <c r="AA32" s="1561">
        <f t="shared" si="3"/>
        <v>1</v>
      </c>
      <c r="AB32" s="1561">
        <f t="shared" si="4"/>
        <v>1</v>
      </c>
      <c r="AC32" s="1561">
        <f t="shared" si="5"/>
        <v>1</v>
      </c>
    </row>
    <row r="33" spans="1:29" s="1334" customFormat="1" ht="15">
      <c r="A33" s="603"/>
      <c r="B33" s="527" t="s">
        <v>726</v>
      </c>
      <c r="C33" s="880">
        <f>'数据-汇总表'!E3</f>
        <v>394084</v>
      </c>
      <c r="D33" s="255">
        <v>100</v>
      </c>
      <c r="E33" s="534">
        <v>1500000</v>
      </c>
      <c r="F33" s="863">
        <f>LOOKUP(E33,103:103,104:104)-LOOKUP(C33,103:103,104:104)+100</f>
        <v>103</v>
      </c>
      <c r="G33" s="533">
        <v>110000</v>
      </c>
      <c r="H33" s="255">
        <f>LOOKUP(G33,103:103,104:104)-LOOKUP(C33,103:103,104:104)+100</f>
        <v>95</v>
      </c>
      <c r="I33" s="534">
        <v>1130000</v>
      </c>
      <c r="J33" s="255">
        <f>LOOKUP(I33,103:103,104:104)-LOOKUP(C33,103:103,104:104)+100</f>
        <v>103</v>
      </c>
      <c r="K33" s="865"/>
      <c r="L33" s="2122"/>
      <c r="M33" s="2153"/>
      <c r="N33" s="2153"/>
      <c r="O33" s="2125"/>
      <c r="P33" s="3502"/>
      <c r="Q33" s="1589" t="str">
        <f t="shared" si="11"/>
        <v>项目建筑规模</v>
      </c>
      <c r="R33" s="1562" t="s">
        <v>11</v>
      </c>
      <c r="S33" s="1563">
        <f t="shared" si="12"/>
        <v>103</v>
      </c>
      <c r="T33" s="1562" t="s">
        <v>11</v>
      </c>
      <c r="U33" s="1563">
        <f t="shared" si="13"/>
        <v>95</v>
      </c>
      <c r="V33" s="1562" t="s">
        <v>11</v>
      </c>
      <c r="W33" s="1563">
        <f t="shared" si="14"/>
        <v>103</v>
      </c>
      <c r="X33" s="1564"/>
      <c r="Y33" s="3502"/>
      <c r="Z33" s="1565" t="str">
        <f t="shared" si="15"/>
        <v>项目建筑规模</v>
      </c>
      <c r="AA33" s="1561">
        <f t="shared" si="3"/>
        <v>0.970873786407767</v>
      </c>
      <c r="AB33" s="1561">
        <f t="shared" si="4"/>
        <v>1.0526315789473684</v>
      </c>
      <c r="AC33" s="1561">
        <f t="shared" si="5"/>
        <v>0.970873786407767</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2" t="s">
        <v>3165</v>
      </c>
      <c r="J34" s="540">
        <f>SUMIF(105:105,I34,106:106)-SUMIF(105:105,C34,106:106)+100</f>
        <v>100</v>
      </c>
      <c r="K34" s="864">
        <v>2</v>
      </c>
      <c r="L34" s="2124"/>
      <c r="M34" s="2116"/>
      <c r="N34" s="2116"/>
      <c r="O34" s="2123"/>
      <c r="P34" s="3502"/>
      <c r="Q34" s="1557" t="str">
        <f t="shared" si="11"/>
        <v>建筑结构</v>
      </c>
      <c r="R34" s="1558" t="s">
        <v>11</v>
      </c>
      <c r="S34" s="1559">
        <f t="shared" si="12"/>
        <v>100</v>
      </c>
      <c r="T34" s="1558" t="s">
        <v>11</v>
      </c>
      <c r="U34" s="1559">
        <f t="shared" si="13"/>
        <v>100</v>
      </c>
      <c r="V34" s="1558" t="s">
        <v>11</v>
      </c>
      <c r="W34" s="1559">
        <f t="shared" si="14"/>
        <v>100</v>
      </c>
      <c r="X34" s="1552"/>
      <c r="Y34" s="3502"/>
      <c r="Z34" s="1560" t="str">
        <f t="shared" si="15"/>
        <v>建筑结构</v>
      </c>
      <c r="AA34" s="1561">
        <f t="shared" si="3"/>
        <v>1</v>
      </c>
      <c r="AB34" s="1561">
        <f t="shared" si="4"/>
        <v>1</v>
      </c>
      <c r="AC34" s="1561">
        <f t="shared" si="5"/>
        <v>1</v>
      </c>
    </row>
    <row r="35" spans="1:29" ht="15">
      <c r="A35" s="594"/>
      <c r="B35" s="527" t="s">
        <v>728</v>
      </c>
      <c r="C35" s="599" t="s">
        <v>3166</v>
      </c>
      <c r="D35" s="540">
        <v>100</v>
      </c>
      <c r="E35" s="874" t="s">
        <v>3166</v>
      </c>
      <c r="F35" s="575">
        <f>SUMIF(107:107,E35,108:108)-SUMIF(107:107,C35,108:108)+100</f>
        <v>100</v>
      </c>
      <c r="G35" s="599" t="s">
        <v>3166</v>
      </c>
      <c r="H35" s="540">
        <f>SUMIF(107:107,G35,108:108)-SUMIF(107:107,C35,108:108)+100</f>
        <v>100</v>
      </c>
      <c r="I35" s="874" t="s">
        <v>3166</v>
      </c>
      <c r="J35" s="540">
        <f>SUMIF(107:107,I35,108:108)-SUMIF(107:107,C35,108:108)+100</f>
        <v>100</v>
      </c>
      <c r="K35" s="864">
        <v>2</v>
      </c>
      <c r="L35" s="2124"/>
      <c r="M35" s="2116"/>
      <c r="N35" s="2116"/>
      <c r="O35" s="2123"/>
      <c r="P35" s="3502"/>
      <c r="Q35" s="1557" t="str">
        <f t="shared" si="11"/>
        <v>建筑品质</v>
      </c>
      <c r="R35" s="1558" t="s">
        <v>11</v>
      </c>
      <c r="S35" s="1559">
        <f t="shared" si="12"/>
        <v>100</v>
      </c>
      <c r="T35" s="1558" t="s">
        <v>11</v>
      </c>
      <c r="U35" s="1559">
        <f t="shared" si="13"/>
        <v>100</v>
      </c>
      <c r="V35" s="1558" t="s">
        <v>11</v>
      </c>
      <c r="W35" s="1559">
        <f t="shared" si="14"/>
        <v>100</v>
      </c>
      <c r="X35" s="1552"/>
      <c r="Y35" s="3502"/>
      <c r="Z35" s="1560" t="str">
        <f t="shared" si="15"/>
        <v>建筑品质</v>
      </c>
      <c r="AA35" s="1561">
        <f t="shared" si="3"/>
        <v>1</v>
      </c>
      <c r="AB35" s="1561">
        <f t="shared" si="4"/>
        <v>1</v>
      </c>
      <c r="AC35" s="1561">
        <f t="shared" si="5"/>
        <v>1</v>
      </c>
    </row>
    <row r="36" spans="1:29" ht="15">
      <c r="A36" s="594"/>
      <c r="B36" s="527" t="s">
        <v>729</v>
      </c>
      <c r="C36" s="599" t="s">
        <v>3167</v>
      </c>
      <c r="D36" s="540">
        <v>100</v>
      </c>
      <c r="E36" s="874" t="s">
        <v>3167</v>
      </c>
      <c r="F36" s="575">
        <f>SUMIF(109:109,E36,110:110)-SUMIF(109:109,C36,110:110)+100</f>
        <v>100</v>
      </c>
      <c r="G36" s="599" t="s">
        <v>3167</v>
      </c>
      <c r="H36" s="540">
        <f>SUMIF(109:109,G36,110:110)-SUMIF(109:109,C36,110:110)+100</f>
        <v>100</v>
      </c>
      <c r="I36" s="874" t="s">
        <v>3167</v>
      </c>
      <c r="J36" s="540">
        <f>SUMIF(109:109,I36,110:110)-SUMIF(109:109,C36,110:110)+100</f>
        <v>100</v>
      </c>
      <c r="K36" s="864">
        <v>2</v>
      </c>
      <c r="L36" s="2124"/>
      <c r="M36" s="2116"/>
      <c r="N36" s="2116"/>
      <c r="O36" s="2123"/>
      <c r="P36" s="3502"/>
      <c r="Q36" s="1557" t="str">
        <f t="shared" si="11"/>
        <v>公共部分装修</v>
      </c>
      <c r="R36" s="1558" t="s">
        <v>11</v>
      </c>
      <c r="S36" s="1559">
        <f t="shared" si="12"/>
        <v>100</v>
      </c>
      <c r="T36" s="1558" t="s">
        <v>11</v>
      </c>
      <c r="U36" s="1559">
        <f t="shared" si="13"/>
        <v>100</v>
      </c>
      <c r="V36" s="1558" t="s">
        <v>11</v>
      </c>
      <c r="W36" s="1559">
        <f t="shared" si="14"/>
        <v>100</v>
      </c>
      <c r="X36" s="1552"/>
      <c r="Y36" s="3502"/>
      <c r="Z36" s="1560" t="str">
        <f t="shared" si="15"/>
        <v>公共部分装修</v>
      </c>
      <c r="AA36" s="1561">
        <f t="shared" si="3"/>
        <v>1</v>
      </c>
      <c r="AB36" s="1561">
        <f t="shared" si="4"/>
        <v>1</v>
      </c>
      <c r="AC36" s="1561">
        <f t="shared" si="5"/>
        <v>1</v>
      </c>
    </row>
    <row r="37" spans="1:29" s="1215"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7"/>
      <c r="M37" s="2118"/>
      <c r="N37" s="2118"/>
      <c r="O37" s="2119"/>
      <c r="P37" s="3502"/>
      <c r="Q37" s="1146" t="str">
        <f t="shared" si="11"/>
        <v>成新度</v>
      </c>
      <c r="R37" s="1553" t="s">
        <v>11</v>
      </c>
      <c r="S37" s="1554">
        <f t="shared" si="12"/>
        <v>100</v>
      </c>
      <c r="T37" s="1553" t="s">
        <v>11</v>
      </c>
      <c r="U37" s="1554">
        <f t="shared" si="13"/>
        <v>100</v>
      </c>
      <c r="V37" s="1553" t="s">
        <v>11</v>
      </c>
      <c r="W37" s="1554">
        <f t="shared" si="14"/>
        <v>100</v>
      </c>
      <c r="X37" s="1555"/>
      <c r="Y37" s="3502"/>
      <c r="Z37" s="1145" t="str">
        <f t="shared" si="15"/>
        <v>成新度</v>
      </c>
      <c r="AA37" s="1556">
        <f t="shared" si="3"/>
        <v>1</v>
      </c>
      <c r="AB37" s="1556">
        <f t="shared" si="4"/>
        <v>1</v>
      </c>
      <c r="AC37" s="1556">
        <f t="shared" si="5"/>
        <v>1</v>
      </c>
    </row>
    <row r="38" spans="1:29" ht="15">
      <c r="A38" s="594"/>
      <c r="B38" s="527" t="s">
        <v>731</v>
      </c>
      <c r="C38" s="599" t="s">
        <v>3168</v>
      </c>
      <c r="D38" s="540">
        <v>100</v>
      </c>
      <c r="E38" s="874" t="s">
        <v>3168</v>
      </c>
      <c r="F38" s="575">
        <f>SUMIF(114:114,E38,115:115)-SUMIF(114:114,C38,115:115)+100</f>
        <v>100</v>
      </c>
      <c r="G38" s="599" t="s">
        <v>3168</v>
      </c>
      <c r="H38" s="540">
        <f>SUMIF(114:114,G38,115:115)-SUMIF(114:114,C38,115:115)+100</f>
        <v>100</v>
      </c>
      <c r="I38" s="874" t="s">
        <v>3168</v>
      </c>
      <c r="J38" s="540">
        <f>SUMIF(114:114,I38,115:115)-SUMIF(114:114,C38,115:115)+100</f>
        <v>100</v>
      </c>
      <c r="K38" s="864">
        <v>2</v>
      </c>
      <c r="L38" s="2124"/>
      <c r="M38" s="2116"/>
      <c r="N38" s="2116"/>
      <c r="O38" s="2123"/>
      <c r="P38" s="3502" t="s">
        <v>550</v>
      </c>
      <c r="Q38" s="1557" t="str">
        <f t="shared" si="11"/>
        <v>物业管理</v>
      </c>
      <c r="R38" s="1558" t="s">
        <v>11</v>
      </c>
      <c r="S38" s="1559">
        <f t="shared" si="12"/>
        <v>100</v>
      </c>
      <c r="T38" s="1558" t="s">
        <v>11</v>
      </c>
      <c r="U38" s="1559">
        <f t="shared" si="13"/>
        <v>100</v>
      </c>
      <c r="V38" s="1558" t="s">
        <v>11</v>
      </c>
      <c r="W38" s="1559">
        <f t="shared" si="14"/>
        <v>100</v>
      </c>
      <c r="X38" s="1552"/>
      <c r="Y38" s="3502" t="s">
        <v>550</v>
      </c>
      <c r="Z38" s="1560" t="str">
        <f t="shared" si="15"/>
        <v>物业管理</v>
      </c>
      <c r="AA38" s="1561">
        <f t="shared" si="3"/>
        <v>1</v>
      </c>
      <c r="AB38" s="1561">
        <f t="shared" si="4"/>
        <v>1</v>
      </c>
      <c r="AC38" s="1561">
        <f t="shared" si="5"/>
        <v>1</v>
      </c>
    </row>
    <row r="39" spans="1:29" ht="15">
      <c r="A39" s="594"/>
      <c r="B39" s="1877" t="s">
        <v>2561</v>
      </c>
      <c r="C39" s="599" t="s">
        <v>3146</v>
      </c>
      <c r="D39" s="540">
        <v>100</v>
      </c>
      <c r="E39" s="874" t="s">
        <v>3146</v>
      </c>
      <c r="F39" s="575">
        <f>SUMIF(116:116,E39,117:117)-SUMIF(116:116,C39,117:117)+100</f>
        <v>100</v>
      </c>
      <c r="G39" s="599" t="s">
        <v>3146</v>
      </c>
      <c r="H39" s="540">
        <f>SUMIF(116:116,G39,117:117)-SUMIF(116:116,C39,117:117)+100</f>
        <v>100</v>
      </c>
      <c r="I39" s="874" t="s">
        <v>3146</v>
      </c>
      <c r="J39" s="540">
        <f>SUMIF(116:116,I39,117:117)-SUMIF(116:116,C39,117:117)+100</f>
        <v>100</v>
      </c>
      <c r="K39" s="864">
        <v>2</v>
      </c>
      <c r="L39" s="2124"/>
      <c r="M39" s="2116"/>
      <c r="N39" s="2116"/>
      <c r="O39" s="2123"/>
      <c r="P39" s="3502"/>
      <c r="Q39" s="1557" t="str">
        <f t="shared" si="11"/>
        <v>市政基础设施</v>
      </c>
      <c r="R39" s="1558" t="s">
        <v>11</v>
      </c>
      <c r="S39" s="1559">
        <f t="shared" si="12"/>
        <v>100</v>
      </c>
      <c r="T39" s="1558" t="s">
        <v>11</v>
      </c>
      <c r="U39" s="1559">
        <f t="shared" si="13"/>
        <v>100</v>
      </c>
      <c r="V39" s="1558" t="s">
        <v>11</v>
      </c>
      <c r="W39" s="1559">
        <f t="shared" si="14"/>
        <v>100</v>
      </c>
      <c r="X39" s="1552"/>
      <c r="Y39" s="3502"/>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4"/>
      <c r="M40" s="2116"/>
      <c r="N40" s="2116"/>
      <c r="O40" s="2123"/>
      <c r="P40" s="3502"/>
      <c r="Q40" s="1557" t="str">
        <f t="shared" si="11"/>
        <v>房型</v>
      </c>
      <c r="R40" s="1558" t="s">
        <v>11</v>
      </c>
      <c r="S40" s="1559">
        <f t="shared" si="12"/>
        <v>100</v>
      </c>
      <c r="T40" s="1558" t="s">
        <v>11</v>
      </c>
      <c r="U40" s="1559">
        <f t="shared" si="13"/>
        <v>100</v>
      </c>
      <c r="V40" s="1558" t="s">
        <v>11</v>
      </c>
      <c r="W40" s="1559">
        <f t="shared" si="14"/>
        <v>100</v>
      </c>
      <c r="X40" s="1552"/>
      <c r="Y40" s="3502"/>
      <c r="Z40" s="1560" t="str">
        <f t="shared" si="15"/>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02"/>
      <c r="Q41" s="1589" t="str">
        <f t="shared" si="11"/>
        <v>单套/主力户型建筑面积</v>
      </c>
      <c r="R41" s="1562" t="s">
        <v>11</v>
      </c>
      <c r="S41" s="1563">
        <f t="shared" si="12"/>
        <v>100</v>
      </c>
      <c r="T41" s="1562" t="s">
        <v>11</v>
      </c>
      <c r="U41" s="1563">
        <f t="shared" si="13"/>
        <v>100</v>
      </c>
      <c r="V41" s="1562" t="s">
        <v>11</v>
      </c>
      <c r="W41" s="1563">
        <f t="shared" si="14"/>
        <v>100</v>
      </c>
      <c r="X41" s="1564"/>
      <c r="Y41" s="3502"/>
      <c r="Z41" s="1565" t="str">
        <f t="shared" si="15"/>
        <v>单套/主力户型建筑面积</v>
      </c>
      <c r="AA41" s="1561">
        <f t="shared" si="3"/>
        <v>1</v>
      </c>
      <c r="AB41" s="1561">
        <f t="shared" si="4"/>
        <v>1</v>
      </c>
      <c r="AC41" s="1561">
        <f t="shared" si="5"/>
        <v>1</v>
      </c>
    </row>
    <row r="42" spans="1:29" ht="15">
      <c r="A42" s="594"/>
      <c r="B42" s="527" t="s">
        <v>734</v>
      </c>
      <c r="C42" s="599" t="s">
        <v>3167</v>
      </c>
      <c r="D42" s="540">
        <v>100</v>
      </c>
      <c r="E42" s="874" t="s">
        <v>3169</v>
      </c>
      <c r="F42" s="575">
        <f>SUMIF(122:122,E42,123:123)-SUMIF(122:122,C42,123:123)+100</f>
        <v>94</v>
      </c>
      <c r="G42" s="599" t="s">
        <v>3167</v>
      </c>
      <c r="H42" s="540">
        <f>SUMIF(122:122,G42,123:123)-SUMIF(122:122,C42,123:123)+100</f>
        <v>100</v>
      </c>
      <c r="I42" s="874" t="s">
        <v>3480</v>
      </c>
      <c r="J42" s="540">
        <f>SUMIF(122:122,I42,123:123)-SUMIF(122:122,C42,123:123)+100</f>
        <v>96</v>
      </c>
      <c r="K42" s="864">
        <v>2</v>
      </c>
      <c r="L42" s="2124"/>
      <c r="M42" s="2116"/>
      <c r="N42" s="2116"/>
      <c r="O42" s="2123"/>
      <c r="P42" s="3502"/>
      <c r="Q42" s="1557" t="str">
        <f t="shared" si="11"/>
        <v>内部装修</v>
      </c>
      <c r="R42" s="1558" t="s">
        <v>11</v>
      </c>
      <c r="S42" s="1559">
        <f t="shared" si="12"/>
        <v>94</v>
      </c>
      <c r="T42" s="1558" t="s">
        <v>11</v>
      </c>
      <c r="U42" s="1559">
        <f t="shared" si="13"/>
        <v>100</v>
      </c>
      <c r="V42" s="1558" t="s">
        <v>11</v>
      </c>
      <c r="W42" s="1559">
        <f t="shared" si="14"/>
        <v>96</v>
      </c>
      <c r="X42" s="1552"/>
      <c r="Y42" s="3502"/>
      <c r="Z42" s="1560" t="str">
        <f t="shared" si="15"/>
        <v>内部装修</v>
      </c>
      <c r="AA42" s="1561">
        <f t="shared" si="3"/>
        <v>1.0638297872340425</v>
      </c>
      <c r="AB42" s="1561">
        <f t="shared" si="4"/>
        <v>1</v>
      </c>
      <c r="AC42" s="1561">
        <f t="shared" si="5"/>
        <v>1.0416666666666667</v>
      </c>
    </row>
    <row r="43" spans="1:29" ht="27">
      <c r="A43" s="594"/>
      <c r="B43" s="527" t="s">
        <v>735</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4"/>
      <c r="M43" s="2116"/>
      <c r="N43" s="2116"/>
      <c r="O43" s="2123"/>
      <c r="P43" s="3502"/>
      <c r="Q43" s="1557" t="str">
        <f t="shared" si="11"/>
        <v>内部装修维护情况</v>
      </c>
      <c r="R43" s="1558" t="s">
        <v>11</v>
      </c>
      <c r="S43" s="1559">
        <f t="shared" si="12"/>
        <v>100</v>
      </c>
      <c r="T43" s="1558" t="s">
        <v>11</v>
      </c>
      <c r="U43" s="1559">
        <f t="shared" si="13"/>
        <v>100</v>
      </c>
      <c r="V43" s="1558" t="s">
        <v>11</v>
      </c>
      <c r="W43" s="1559">
        <f t="shared" si="14"/>
        <v>100</v>
      </c>
      <c r="X43" s="1552"/>
      <c r="Y43" s="3502"/>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502"/>
      <c r="Q44" s="1146">
        <f t="shared" si="11"/>
        <v>111</v>
      </c>
      <c r="R44" s="1553" t="s">
        <v>11</v>
      </c>
      <c r="S44" s="1554">
        <f t="shared" si="12"/>
        <v>100</v>
      </c>
      <c r="T44" s="1553" t="s">
        <v>11</v>
      </c>
      <c r="U44" s="1554">
        <f t="shared" si="13"/>
        <v>100</v>
      </c>
      <c r="V44" s="1553" t="s">
        <v>11</v>
      </c>
      <c r="W44" s="1554">
        <f t="shared" si="14"/>
        <v>100</v>
      </c>
      <c r="X44" s="1555"/>
      <c r="Y44" s="350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02"/>
      <c r="Q45" s="1557">
        <f t="shared" si="11"/>
        <v>111</v>
      </c>
      <c r="R45" s="1558" t="s">
        <v>11</v>
      </c>
      <c r="S45" s="1559">
        <f t="shared" si="12"/>
        <v>100</v>
      </c>
      <c r="T45" s="1558" t="s">
        <v>11</v>
      </c>
      <c r="U45" s="1559">
        <f t="shared" si="13"/>
        <v>100</v>
      </c>
      <c r="V45" s="1558" t="s">
        <v>11</v>
      </c>
      <c r="W45" s="1559">
        <f t="shared" si="14"/>
        <v>100</v>
      </c>
      <c r="X45" s="1552"/>
      <c r="Y45" s="3502"/>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81"/>
      <c r="Q46" s="1557">
        <f t="shared" si="11"/>
        <v>111</v>
      </c>
      <c r="R46" s="1558" t="s">
        <v>10</v>
      </c>
      <c r="S46" s="1559">
        <f t="shared" si="12"/>
        <v>100</v>
      </c>
      <c r="T46" s="1558" t="s">
        <v>10</v>
      </c>
      <c r="U46" s="1559">
        <f t="shared" si="13"/>
        <v>100</v>
      </c>
      <c r="V46" s="1558" t="s">
        <v>10</v>
      </c>
      <c r="W46" s="1559">
        <f t="shared" si="14"/>
        <v>100</v>
      </c>
      <c r="X46" s="1552"/>
      <c r="Y46" s="3581"/>
      <c r="Z46" s="1560">
        <f t="shared" si="15"/>
        <v>111</v>
      </c>
      <c r="AA46" s="1561">
        <f t="shared" si="3"/>
        <v>1</v>
      </c>
      <c r="AB46" s="1561">
        <f t="shared" si="4"/>
        <v>1</v>
      </c>
      <c r="AC46" s="1561">
        <f t="shared" si="5"/>
        <v>1</v>
      </c>
    </row>
    <row r="47" spans="1:29" ht="15">
      <c r="A47" s="607" t="s">
        <v>736</v>
      </c>
      <c r="B47" s="887"/>
      <c r="C47" s="2586" t="s">
        <v>9</v>
      </c>
      <c r="D47" s="2587"/>
      <c r="E47" s="2588">
        <v>35000</v>
      </c>
      <c r="F47" s="2589"/>
      <c r="G47" s="2590">
        <v>30000</v>
      </c>
      <c r="H47" s="2591"/>
      <c r="I47" s="2588">
        <v>33000</v>
      </c>
      <c r="J47" s="2591"/>
      <c r="K47" s="1590"/>
      <c r="L47" s="2126"/>
      <c r="M47" s="2127"/>
      <c r="N47" s="2116"/>
      <c r="O47" s="2127"/>
      <c r="P47" s="3497" t="str">
        <f>A47</f>
        <v>成交单价（元/平方米）</v>
      </c>
      <c r="Q47" s="3497"/>
      <c r="R47" s="3580">
        <f>E47</f>
        <v>35000</v>
      </c>
      <c r="S47" s="3580"/>
      <c r="T47" s="3580">
        <f>G47</f>
        <v>30000</v>
      </c>
      <c r="U47" s="3580"/>
      <c r="V47" s="3580">
        <f>I47</f>
        <v>33000</v>
      </c>
      <c r="W47" s="3580"/>
      <c r="X47" s="1544"/>
      <c r="Y47" s="1566"/>
      <c r="Z47" s="1544"/>
      <c r="AA47" s="1544"/>
      <c r="AB47" s="1544"/>
      <c r="AC47" s="1544"/>
    </row>
    <row r="48" spans="1:29" ht="15.75" thickBot="1">
      <c r="A48" s="615" t="s">
        <v>2756</v>
      </c>
      <c r="B48" s="888"/>
      <c r="C48" s="2592">
        <f>R49</f>
        <v>33286</v>
      </c>
      <c r="D48" s="2593"/>
      <c r="E48" s="2594">
        <f>R48</f>
        <v>35441</v>
      </c>
      <c r="F48" s="2594"/>
      <c r="G48" s="2592">
        <f>T48</f>
        <v>30960</v>
      </c>
      <c r="H48" s="2593"/>
      <c r="I48" s="2594">
        <f>V48</f>
        <v>33456</v>
      </c>
      <c r="J48" s="2593"/>
      <c r="K48" s="1591"/>
      <c r="L48" s="2126"/>
      <c r="M48" s="2127"/>
      <c r="N48" s="2127"/>
      <c r="O48" s="2127"/>
      <c r="P48" s="3497" t="str">
        <f>A48</f>
        <v>比较价格（元/平方米）</v>
      </c>
      <c r="Q48" s="3497"/>
      <c r="R48" s="3580">
        <f>IF(F1="售价",ROUND(PRODUCT(R47,AA7:AA46),0),ROUND(PRODUCT(R47,AA7:AA46),1))</f>
        <v>35441</v>
      </c>
      <c r="S48" s="3580"/>
      <c r="T48" s="3580">
        <f>IF(F1="售价",ROUND(PRODUCT(T47,AB7:AB46),0),ROUND(PRODUCT(T47,AB7:AB46),1))</f>
        <v>30960</v>
      </c>
      <c r="U48" s="3580"/>
      <c r="V48" s="3580">
        <f>IF(F1="售价",ROUND(PRODUCT(V47,AC7:AC46),0),ROUND(PRODUCT(V47,AC7:AC46),1))</f>
        <v>33456</v>
      </c>
      <c r="W48" s="3580"/>
      <c r="X48" s="1544"/>
      <c r="Y48" s="1544"/>
      <c r="Z48" s="1544"/>
      <c r="AA48" s="1544"/>
      <c r="AB48" s="1544"/>
      <c r="AC48" s="1544"/>
    </row>
    <row r="49" spans="1:29" ht="15.75" thickBot="1">
      <c r="A49" s="621" t="s">
        <v>2926</v>
      </c>
      <c r="B49" s="622"/>
      <c r="C49" s="2595">
        <f>R49</f>
        <v>33286</v>
      </c>
      <c r="D49" s="2595"/>
      <c r="E49" s="2595"/>
      <c r="F49" s="2595"/>
      <c r="G49" s="2595"/>
      <c r="H49" s="2595"/>
      <c r="I49" s="2595"/>
      <c r="J49" s="2595"/>
      <c r="K49" s="1592"/>
      <c r="L49" s="2126"/>
      <c r="M49" s="2127"/>
      <c r="N49" s="2127"/>
      <c r="O49" s="2127"/>
      <c r="P49" s="3518" t="str">
        <f>A49</f>
        <v>估价对象XX用房的比较价格（楼面单价，元/平方米）</v>
      </c>
      <c r="Q49" s="3519"/>
      <c r="R49" s="3579">
        <f>IF(F1="售价",ROUND(AVERAGE(R48:V48),0),ROUND(AVERAGE(R48:V48),1))</f>
        <v>33286</v>
      </c>
      <c r="S49" s="3579"/>
      <c r="T49" s="3579"/>
      <c r="U49" s="3579"/>
      <c r="V49" s="3579"/>
      <c r="W49" s="3579"/>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1.2599999999999945E-2</v>
      </c>
      <c r="F52" s="627" t="str">
        <f>IF(OR(E52&gt;=0.3,E52&lt;=-0.3),"超过30%","")</f>
        <v/>
      </c>
      <c r="G52" s="626">
        <f>IF(G47&lt;G48,G48/G47-1,G47/G48-1)</f>
        <v>3.2000000000000028E-2</v>
      </c>
      <c r="H52" s="627" t="str">
        <f>IF(OR(G52&gt;=0.3,G52&lt;=-0.3),"超过30%","")</f>
        <v/>
      </c>
      <c r="I52" s="626">
        <f>IF(I47&lt;I48,I48/I47-1,I47/I48-1)</f>
        <v>1.381818181818173E-2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0.14473514211886296</v>
      </c>
      <c r="F53" s="627" t="str">
        <f>IF(OR(E53&gt;=0.2,E53&lt;=-0.2),"超过20%","")</f>
        <v/>
      </c>
      <c r="G53" s="626">
        <f>IF(G48&lt;I48,I48/G48-1,G48/I48-1)</f>
        <v>8.0620155038759744E-2</v>
      </c>
      <c r="H53" s="627" t="str">
        <f>IF(OR(G53&gt;=0.2,G53&lt;=-0.2),"超过20%","")</f>
        <v/>
      </c>
      <c r="I53" s="626">
        <f>IF(I48&lt;E48,E48/I48-1,I48/E48-1)</f>
        <v>5.9331659493065514E-2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0.16666666666666674</v>
      </c>
      <c r="F54" s="627" t="str">
        <f>IF(OR(E54&gt;=0.3,E54&lt;=-0.3),"超过30%","")</f>
        <v/>
      </c>
      <c r="G54" s="626">
        <f>IF(G47&lt;I47,I47/G47-1,G47/I47-1)</f>
        <v>0.10000000000000009</v>
      </c>
      <c r="H54" s="627" t="str">
        <f>IF(OR(G54&gt;=0.3,G54&lt;=-0.3),"超过30%","")</f>
        <v/>
      </c>
      <c r="I54" s="626">
        <f>IF(I47&lt;E47,E47/I47-1,I47/E47-1)</f>
        <v>6.0606060606060552E-2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v>5</v>
      </c>
      <c r="I68" s="541">
        <v>6</v>
      </c>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2254</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7"/>
      <c r="D90" s="3187"/>
      <c r="E90" s="3187"/>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6" t="s">
        <v>3047</v>
      </c>
      <c r="D100" s="3186" t="s">
        <v>3048</v>
      </c>
      <c r="E100" s="3186" t="s">
        <v>3049</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3050</v>
      </c>
      <c r="D105" s="3187" t="s">
        <v>3051</v>
      </c>
      <c r="E105" s="3188" t="s">
        <v>3052</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8" t="s">
        <v>3053</v>
      </c>
      <c r="D107" s="3188" t="s">
        <v>3054</v>
      </c>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7" t="s">
        <v>3055</v>
      </c>
      <c r="D109" s="3187" t="s">
        <v>3056</v>
      </c>
      <c r="E109" s="3187" t="s">
        <v>3057</v>
      </c>
      <c r="F109" s="3188" t="s">
        <v>3170</v>
      </c>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7" t="s">
        <v>3058</v>
      </c>
      <c r="D114" s="3187" t="s">
        <v>3059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7" t="s">
        <v>3060</v>
      </c>
      <c r="D116" s="3187" t="s">
        <v>3061</v>
      </c>
      <c r="E116" s="3187" t="s">
        <v>3062</v>
      </c>
      <c r="F116" s="3187" t="s">
        <v>3063</v>
      </c>
      <c r="G116" s="3187" t="s">
        <v>3064</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3055</v>
      </c>
      <c r="D122" s="3187" t="s">
        <v>3056</v>
      </c>
      <c r="E122" s="3187" t="s">
        <v>3057</v>
      </c>
      <c r="F122" s="3188" t="s">
        <v>3170</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92" sqref="C92:F9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29" t="s">
        <v>3322</v>
      </c>
      <c r="E1" s="506"/>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f>ROUND(B3*D3/10000,0)</f>
        <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519</v>
      </c>
      <c r="B3" s="510">
        <f>C49</f>
        <v>28429</v>
      </c>
      <c r="C3" s="852" t="s">
        <v>722</v>
      </c>
      <c r="D3" s="851">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8"/>
    </row>
    <row r="4" spans="1:29" ht="15">
      <c r="A4" s="512" t="s">
        <v>521</v>
      </c>
      <c r="B4" s="513"/>
      <c r="C4" s="3503" t="s">
        <v>522</v>
      </c>
      <c r="D4" s="3504"/>
      <c r="E4" s="3527" t="s">
        <v>523</v>
      </c>
      <c r="F4" s="3528"/>
      <c r="G4" s="3503" t="s">
        <v>524</v>
      </c>
      <c r="H4" s="3504"/>
      <c r="I4" s="3503" t="s">
        <v>525</v>
      </c>
      <c r="J4" s="3504"/>
      <c r="K4" s="514" t="s">
        <v>526</v>
      </c>
      <c r="L4" s="2115"/>
      <c r="M4" s="2116"/>
      <c r="N4" s="2116"/>
      <c r="O4" s="2116"/>
      <c r="P4" s="3505" t="s">
        <v>527</v>
      </c>
      <c r="Q4" s="3506"/>
      <c r="R4" s="3491" t="s">
        <v>523</v>
      </c>
      <c r="S4" s="3492"/>
      <c r="T4" s="3491" t="s">
        <v>524</v>
      </c>
      <c r="U4" s="3492"/>
      <c r="V4" s="3511" t="s">
        <v>525</v>
      </c>
      <c r="W4" s="3511"/>
      <c r="X4" s="1552"/>
      <c r="Y4" s="3491" t="s">
        <v>527</v>
      </c>
      <c r="Z4" s="3492"/>
      <c r="AA4" s="3486" t="s">
        <v>523</v>
      </c>
      <c r="AB4" s="3511" t="s">
        <v>524</v>
      </c>
      <c r="AC4" s="3486" t="s">
        <v>525</v>
      </c>
    </row>
    <row r="5" spans="1:29" ht="15">
      <c r="A5" s="515"/>
      <c r="B5" s="516"/>
      <c r="C5" s="3514" t="s">
        <v>2920</v>
      </c>
      <c r="D5" s="3515"/>
      <c r="E5" s="3577" t="s">
        <v>3466</v>
      </c>
      <c r="F5" s="3530"/>
      <c r="G5" s="3577" t="s">
        <v>3466</v>
      </c>
      <c r="H5" s="3530"/>
      <c r="I5" s="3578" t="s">
        <v>3467</v>
      </c>
      <c r="J5" s="3515"/>
      <c r="K5" s="514"/>
      <c r="L5" s="2115"/>
      <c r="M5" s="2116"/>
      <c r="N5" s="2116"/>
      <c r="O5" s="2116"/>
      <c r="P5" s="3507"/>
      <c r="Q5" s="3508"/>
      <c r="R5" s="3493"/>
      <c r="S5" s="3494"/>
      <c r="T5" s="3493"/>
      <c r="U5" s="3494"/>
      <c r="V5" s="3511"/>
      <c r="W5" s="3511"/>
      <c r="X5" s="1552"/>
      <c r="Y5" s="3493"/>
      <c r="Z5" s="3494"/>
      <c r="AA5" s="3487"/>
      <c r="AB5" s="3511"/>
      <c r="AC5" s="3487"/>
    </row>
    <row r="6" spans="1:29" ht="15.75" thickBot="1">
      <c r="A6" s="517"/>
      <c r="B6" s="518"/>
      <c r="C6" s="3512" t="s">
        <v>2924</v>
      </c>
      <c r="D6" s="3513"/>
      <c r="E6" s="3531" t="s">
        <v>2924</v>
      </c>
      <c r="F6" s="3532"/>
      <c r="G6" s="3512" t="s">
        <v>2924</v>
      </c>
      <c r="H6" s="3513"/>
      <c r="I6" s="3512" t="s">
        <v>2924</v>
      </c>
      <c r="J6" s="3513"/>
      <c r="K6" s="514" t="s">
        <v>528</v>
      </c>
      <c r="L6" s="2115"/>
      <c r="M6" s="2116"/>
      <c r="N6" s="2116"/>
      <c r="O6" s="2116"/>
      <c r="P6" s="3509"/>
      <c r="Q6" s="3510"/>
      <c r="R6" s="3493"/>
      <c r="S6" s="3494"/>
      <c r="T6" s="3495"/>
      <c r="U6" s="3496"/>
      <c r="V6" s="3511"/>
      <c r="W6" s="3511"/>
      <c r="X6" s="1552"/>
      <c r="Y6" s="3495"/>
      <c r="Z6" s="3496"/>
      <c r="AA6" s="3488"/>
      <c r="AB6" s="3511"/>
      <c r="AC6" s="3488"/>
    </row>
    <row r="7" spans="1:29" s="1215" customFormat="1" ht="15.75" thickBot="1">
      <c r="A7" s="2861"/>
      <c r="B7" s="2868" t="s">
        <v>529</v>
      </c>
      <c r="C7" s="519">
        <f>'数据-取费表'!B2</f>
        <v>43602</v>
      </c>
      <c r="D7" s="520">
        <v>100</v>
      </c>
      <c r="E7" s="521">
        <f>C7</f>
        <v>43602</v>
      </c>
      <c r="F7" s="522">
        <f>SUMIF(58:58,YEAR(E7)&amp;"-"&amp;MONTH(E7),59:59)</f>
        <v>100</v>
      </c>
      <c r="G7" s="521">
        <f>C7</f>
        <v>43602</v>
      </c>
      <c r="H7" s="520">
        <f>SUMIF(58:58,YEAR(G7)&amp;"-"&amp;MONTH(G7),59:59)</f>
        <v>100</v>
      </c>
      <c r="I7" s="521">
        <f>C7</f>
        <v>43602</v>
      </c>
      <c r="J7" s="520">
        <f>SUMIF(58:58,YEAR(I7)&amp;"-"&amp;MONTH(I7),59:59)</f>
        <v>100</v>
      </c>
      <c r="K7" s="524"/>
      <c r="L7" s="2117"/>
      <c r="M7" s="2118"/>
      <c r="N7" s="2118"/>
      <c r="O7" s="2118"/>
      <c r="P7" s="3489" t="s">
        <v>530</v>
      </c>
      <c r="Q7" s="3498"/>
      <c r="R7" s="1553" t="s">
        <v>8</v>
      </c>
      <c r="S7" s="1554">
        <f t="shared" ref="S7:S15" si="0">F7</f>
        <v>100</v>
      </c>
      <c r="T7" s="1553" t="s">
        <v>8</v>
      </c>
      <c r="U7" s="1554">
        <f t="shared" ref="U7:U15" si="1">H7</f>
        <v>100</v>
      </c>
      <c r="V7" s="1553" t="s">
        <v>8</v>
      </c>
      <c r="W7" s="1554">
        <f t="shared" ref="W7:W15" si="2">J7</f>
        <v>100</v>
      </c>
      <c r="X7" s="1555"/>
      <c r="Y7" s="3489" t="s">
        <v>530</v>
      </c>
      <c r="Z7" s="3490"/>
      <c r="AA7" s="1556">
        <f>D7/F7</f>
        <v>1</v>
      </c>
      <c r="AB7" s="1556">
        <f>D7/H7</f>
        <v>1</v>
      </c>
      <c r="AC7" s="1556">
        <f>D7/J7</f>
        <v>1</v>
      </c>
    </row>
    <row r="8" spans="1:29" s="1215" customFormat="1" ht="15.75" thickBot="1">
      <c r="A8" s="2862"/>
      <c r="B8" s="2869" t="s">
        <v>531</v>
      </c>
      <c r="C8" s="525" t="s">
        <v>576</v>
      </c>
      <c r="D8" s="520">
        <v>100</v>
      </c>
      <c r="E8" s="525" t="s">
        <v>3065</v>
      </c>
      <c r="F8" s="522">
        <f>SUMIF(61:61,E8,62:62)-SUMIF(61:61,C8,62:62)+100</f>
        <v>100</v>
      </c>
      <c r="G8" s="525" t="s">
        <v>3065</v>
      </c>
      <c r="H8" s="520">
        <f>SUMIF(61:61,G8,62:62)-SUMIF(61:61,C8,62:62)+100</f>
        <v>100</v>
      </c>
      <c r="I8" s="525" t="s">
        <v>3065</v>
      </c>
      <c r="J8" s="520">
        <f>SUMIF(61:61,I8,62:62)-SUMIF(61:61,C8,62:62)+100</f>
        <v>100</v>
      </c>
      <c r="K8" s="524"/>
      <c r="L8" s="2117"/>
      <c r="M8" s="2118"/>
      <c r="N8" s="2118"/>
      <c r="O8" s="2118"/>
      <c r="P8" s="3489" t="s">
        <v>533</v>
      </c>
      <c r="Q8" s="3490"/>
      <c r="R8" s="1553" t="s">
        <v>8</v>
      </c>
      <c r="S8" s="1554">
        <f t="shared" si="0"/>
        <v>100</v>
      </c>
      <c r="T8" s="1553" t="s">
        <v>8</v>
      </c>
      <c r="U8" s="1554">
        <f t="shared" si="1"/>
        <v>100</v>
      </c>
      <c r="V8" s="1553" t="s">
        <v>8</v>
      </c>
      <c r="W8" s="1554">
        <f t="shared" si="2"/>
        <v>100</v>
      </c>
      <c r="X8" s="1555"/>
      <c r="Y8" s="3489" t="s">
        <v>533</v>
      </c>
      <c r="Z8" s="3490"/>
      <c r="AA8" s="1556">
        <f t="shared" ref="AA8:AA46" si="3">D8/F8</f>
        <v>1</v>
      </c>
      <c r="AB8" s="1556">
        <f t="shared" ref="AB8:AB46" si="4">D8/H8</f>
        <v>1</v>
      </c>
      <c r="AC8" s="1556">
        <f t="shared" ref="AC8:AC46" si="5">D8/J8</f>
        <v>1</v>
      </c>
    </row>
    <row r="9" spans="1:29" s="1215" customFormat="1" ht="15">
      <c r="A9" s="2863"/>
      <c r="B9" s="2870" t="s">
        <v>2752</v>
      </c>
      <c r="C9" s="3189" t="s">
        <v>3468</v>
      </c>
      <c r="D9" s="254">
        <v>100</v>
      </c>
      <c r="E9" s="860" t="s">
        <v>3322</v>
      </c>
      <c r="F9" s="254">
        <f>SUMIF(63:63,E9,64:64)-SUMIF(63:63,C9,64:64)+100</f>
        <v>100</v>
      </c>
      <c r="G9" s="858" t="s">
        <v>3322</v>
      </c>
      <c r="H9" s="254">
        <f>SUMIF(63:63,G9,64:64)-SUMIF(63:63,C9,64:64)+100</f>
        <v>100</v>
      </c>
      <c r="I9" s="858" t="s">
        <v>3322</v>
      </c>
      <c r="J9" s="254">
        <f>SUMIF(63:63,I9,64:64)-SUMIF(63:63,C9,64:64)+100</f>
        <v>100</v>
      </c>
      <c r="K9" s="524"/>
      <c r="L9" s="2117"/>
      <c r="M9" s="2118"/>
      <c r="N9" s="2118"/>
      <c r="O9" s="2119"/>
      <c r="P9" s="3497" t="s">
        <v>535</v>
      </c>
      <c r="Q9" s="1146" t="str">
        <f t="shared" ref="Q9:Q15" si="6">B9</f>
        <v>用途</v>
      </c>
      <c r="R9" s="1553" t="s">
        <v>8</v>
      </c>
      <c r="S9" s="1554">
        <f t="shared" si="0"/>
        <v>100</v>
      </c>
      <c r="T9" s="1553" t="s">
        <v>8</v>
      </c>
      <c r="U9" s="1554">
        <f t="shared" si="1"/>
        <v>100</v>
      </c>
      <c r="V9" s="1553" t="s">
        <v>8</v>
      </c>
      <c r="W9" s="1554">
        <f t="shared" si="2"/>
        <v>100</v>
      </c>
      <c r="X9" s="1555"/>
      <c r="Y9" s="3454" t="s">
        <v>536</v>
      </c>
      <c r="Z9" s="1145" t="str">
        <f t="shared" ref="Z9:Z15" si="7">Q9</f>
        <v>用途</v>
      </c>
      <c r="AA9" s="1556">
        <f t="shared" si="3"/>
        <v>1</v>
      </c>
      <c r="AB9" s="1556">
        <f t="shared" si="4"/>
        <v>1</v>
      </c>
      <c r="AC9" s="1556">
        <f t="shared" si="5"/>
        <v>1</v>
      </c>
    </row>
    <row r="10" spans="1:29" s="1333" customFormat="1" ht="27">
      <c r="A10" s="2864"/>
      <c r="B10" s="2869" t="s">
        <v>2753</v>
      </c>
      <c r="C10" s="861" t="s">
        <v>3477</v>
      </c>
      <c r="D10" s="255">
        <v>100</v>
      </c>
      <c r="E10" s="861" t="s">
        <v>3067</v>
      </c>
      <c r="F10" s="255">
        <f>SUMIF(65:65,E10,66:66)-SUMIF(65:65,C10,66:66)+100</f>
        <v>103</v>
      </c>
      <c r="G10" s="862" t="s">
        <v>3067</v>
      </c>
      <c r="H10" s="255">
        <f>SUMIF(65:65,G10,66:66)-SUMIF(65:65,C10,66:66)+100</f>
        <v>103</v>
      </c>
      <c r="I10" s="861" t="s">
        <v>3067</v>
      </c>
      <c r="J10" s="255">
        <f>SUMIF(65:65,I10,66:66)-SUMIF(65:65,C10,66:66)+100</f>
        <v>103</v>
      </c>
      <c r="K10" s="3275">
        <v>3</v>
      </c>
      <c r="L10" s="2120"/>
      <c r="M10" s="2160"/>
      <c r="N10" s="2160"/>
      <c r="O10" s="2121"/>
      <c r="P10" s="3497"/>
      <c r="Q10" s="1146" t="str">
        <f t="shared" si="6"/>
        <v>土地使用年限（年）</v>
      </c>
      <c r="R10" s="1553" t="s">
        <v>8</v>
      </c>
      <c r="S10" s="1554">
        <f t="shared" si="0"/>
        <v>103</v>
      </c>
      <c r="T10" s="1553" t="s">
        <v>8</v>
      </c>
      <c r="U10" s="1554">
        <f t="shared" si="1"/>
        <v>103</v>
      </c>
      <c r="V10" s="1553" t="s">
        <v>8</v>
      </c>
      <c r="W10" s="1554">
        <f t="shared" si="2"/>
        <v>103</v>
      </c>
      <c r="X10" s="1555"/>
      <c r="Y10" s="3454"/>
      <c r="Z10" s="1145" t="str">
        <f t="shared" si="7"/>
        <v>土地使用年限（年）</v>
      </c>
      <c r="AA10" s="1556">
        <f t="shared" si="3"/>
        <v>0.970873786407767</v>
      </c>
      <c r="AB10" s="1556">
        <f t="shared" si="4"/>
        <v>0.970873786407767</v>
      </c>
      <c r="AC10" s="1556">
        <f t="shared" si="5"/>
        <v>0.970873786407767</v>
      </c>
    </row>
    <row r="11" spans="1:29" ht="15">
      <c r="A11" s="2865"/>
      <c r="B11" s="2869" t="s">
        <v>2754</v>
      </c>
      <c r="C11" s="533"/>
      <c r="D11" s="255">
        <v>100</v>
      </c>
      <c r="E11" s="533"/>
      <c r="F11" s="255">
        <f>LOOKUP(E11,68:68,69:69)-LOOKUP(C11,68:68,69:69)+100</f>
        <v>100</v>
      </c>
      <c r="G11" s="534"/>
      <c r="H11" s="255">
        <f>LOOKUP(G11,68:68,69:69)-LOOKUP(C11,68:68,69:69)+100</f>
        <v>100</v>
      </c>
      <c r="I11" s="533"/>
      <c r="J11" s="255">
        <f>LOOKUP(I11,68:68,69:69)-LOOKUP(C11,68:68,69:69)+100</f>
        <v>100</v>
      </c>
      <c r="K11" s="584"/>
      <c r="L11" s="2122"/>
      <c r="M11" s="2116"/>
      <c r="N11" s="2116"/>
      <c r="O11" s="2123"/>
      <c r="P11" s="3497"/>
      <c r="Q11" s="1146" t="str">
        <f t="shared" si="6"/>
        <v>容积率</v>
      </c>
      <c r="R11" s="1553" t="s">
        <v>8</v>
      </c>
      <c r="S11" s="1554">
        <f t="shared" si="0"/>
        <v>100</v>
      </c>
      <c r="T11" s="1553" t="s">
        <v>8</v>
      </c>
      <c r="U11" s="1554">
        <f t="shared" si="1"/>
        <v>100</v>
      </c>
      <c r="V11" s="1553" t="s">
        <v>8</v>
      </c>
      <c r="W11" s="1554">
        <f t="shared" si="2"/>
        <v>100</v>
      </c>
      <c r="X11" s="1555"/>
      <c r="Y11" s="3454"/>
      <c r="Z11" s="1145" t="str">
        <f t="shared" si="7"/>
        <v>容积率</v>
      </c>
      <c r="AA11" s="1556">
        <f t="shared" si="3"/>
        <v>1</v>
      </c>
      <c r="AB11" s="1556">
        <f t="shared" si="4"/>
        <v>1</v>
      </c>
      <c r="AC11" s="1556">
        <f t="shared" si="5"/>
        <v>1</v>
      </c>
    </row>
    <row r="12" spans="1:29" s="1215" customFormat="1" ht="15">
      <c r="A12" s="2866"/>
      <c r="B12" s="2872">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497"/>
      <c r="Q12" s="1146">
        <f t="shared" si="6"/>
        <v>111</v>
      </c>
      <c r="R12" s="1553" t="s">
        <v>8</v>
      </c>
      <c r="S12" s="1554">
        <f t="shared" si="0"/>
        <v>100</v>
      </c>
      <c r="T12" s="1553" t="s">
        <v>8</v>
      </c>
      <c r="U12" s="1554">
        <f t="shared" si="1"/>
        <v>100</v>
      </c>
      <c r="V12" s="1553" t="s">
        <v>8</v>
      </c>
      <c r="W12" s="1554">
        <f t="shared" si="2"/>
        <v>100</v>
      </c>
      <c r="X12" s="1555"/>
      <c r="Y12" s="3454"/>
      <c r="Z12" s="1145">
        <f t="shared" si="7"/>
        <v>111</v>
      </c>
      <c r="AA12" s="1556">
        <f>D12/F12</f>
        <v>1</v>
      </c>
      <c r="AB12" s="1556">
        <f>D12/H12</f>
        <v>1</v>
      </c>
      <c r="AC12" s="1556">
        <f>D12/J12</f>
        <v>1</v>
      </c>
    </row>
    <row r="13" spans="1:29" ht="15">
      <c r="A13" s="2866"/>
      <c r="B13" s="2872">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497"/>
      <c r="Q13" s="1146">
        <f t="shared" si="6"/>
        <v>111</v>
      </c>
      <c r="R13" s="1553" t="s">
        <v>8</v>
      </c>
      <c r="S13" s="1554">
        <f t="shared" si="0"/>
        <v>100</v>
      </c>
      <c r="T13" s="1553" t="s">
        <v>8</v>
      </c>
      <c r="U13" s="1554">
        <f t="shared" si="1"/>
        <v>100</v>
      </c>
      <c r="V13" s="1553" t="s">
        <v>8</v>
      </c>
      <c r="W13" s="1554">
        <f t="shared" si="2"/>
        <v>100</v>
      </c>
      <c r="X13" s="1555"/>
      <c r="Y13" s="3454"/>
      <c r="Z13" s="1145">
        <f t="shared" si="7"/>
        <v>111</v>
      </c>
      <c r="AA13" s="1556">
        <f t="shared" si="3"/>
        <v>1</v>
      </c>
      <c r="AB13" s="1556">
        <f t="shared" si="4"/>
        <v>1</v>
      </c>
      <c r="AC13" s="1556">
        <f t="shared" si="5"/>
        <v>1</v>
      </c>
    </row>
    <row r="14" spans="1:29" ht="15.75" thickBot="1">
      <c r="A14" s="2867"/>
      <c r="B14" s="2873">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497"/>
      <c r="Q14" s="1146">
        <f t="shared" si="6"/>
        <v>111</v>
      </c>
      <c r="R14" s="1553" t="s">
        <v>8</v>
      </c>
      <c r="S14" s="1554">
        <f t="shared" si="0"/>
        <v>100</v>
      </c>
      <c r="T14" s="1553" t="s">
        <v>8</v>
      </c>
      <c r="U14" s="1554">
        <f t="shared" si="1"/>
        <v>100</v>
      </c>
      <c r="V14" s="1553" t="s">
        <v>8</v>
      </c>
      <c r="W14" s="1554">
        <f t="shared" si="2"/>
        <v>100</v>
      </c>
      <c r="X14" s="1555"/>
      <c r="Y14" s="3454"/>
      <c r="Z14" s="1145">
        <f t="shared" si="7"/>
        <v>111</v>
      </c>
      <c r="AA14" s="1556">
        <f t="shared" si="3"/>
        <v>1</v>
      </c>
      <c r="AB14" s="1556">
        <f t="shared" si="4"/>
        <v>1</v>
      </c>
      <c r="AC14" s="1556">
        <f t="shared" si="5"/>
        <v>1</v>
      </c>
    </row>
    <row r="15" spans="1:29" ht="99.75">
      <c r="A15" s="2859" t="s">
        <v>2750</v>
      </c>
      <c r="B15" s="166" t="s">
        <v>541</v>
      </c>
      <c r="C15" s="867" t="str">
        <f>估价对象房地状况!C4</f>
        <v>估价对象周边有长嘉汇购物公园、重庆来福士广场，周边商业氛围成熟度一般，人流量一般，商业繁华度一般。</v>
      </c>
      <c r="D15" s="549">
        <v>100</v>
      </c>
      <c r="E15" s="3196" t="s">
        <v>3469</v>
      </c>
      <c r="F15" s="551">
        <f>SUMIF(76:76,E16,77:77)-SUMIF(76:76,C16,77:77)+100</f>
        <v>100</v>
      </c>
      <c r="G15" s="3196" t="s">
        <v>3469</v>
      </c>
      <c r="H15" s="549">
        <f>SUMIF(76:76,G16,77:77)-SUMIF(76:76,C16,77:77)+100</f>
        <v>100</v>
      </c>
      <c r="I15" s="3196" t="s">
        <v>3469</v>
      </c>
      <c r="J15" s="549">
        <f>SUMIF(76:76,I16,77:77)-SUMIF(76:76,C16,77:77)+100</f>
        <v>100</v>
      </c>
      <c r="K15" s="898">
        <v>2</v>
      </c>
      <c r="L15" s="2124"/>
      <c r="M15" s="2116"/>
      <c r="N15" s="2116"/>
      <c r="O15" s="2123"/>
      <c r="P15" s="3499" t="s">
        <v>540</v>
      </c>
      <c r="Q15" s="1557" t="str">
        <f t="shared" si="6"/>
        <v>商业繁华度</v>
      </c>
      <c r="R15" s="1558" t="s">
        <v>8</v>
      </c>
      <c r="S15" s="1559">
        <f t="shared" si="0"/>
        <v>100</v>
      </c>
      <c r="T15" s="1558" t="s">
        <v>8</v>
      </c>
      <c r="U15" s="1559">
        <f t="shared" si="1"/>
        <v>100</v>
      </c>
      <c r="V15" s="1558" t="s">
        <v>8</v>
      </c>
      <c r="W15" s="1559">
        <f t="shared" si="2"/>
        <v>100</v>
      </c>
      <c r="X15" s="1552"/>
      <c r="Y15" s="3499" t="s">
        <v>540</v>
      </c>
      <c r="Z15" s="1560" t="str">
        <f t="shared" si="7"/>
        <v>商业繁华度</v>
      </c>
      <c r="AA15" s="1561">
        <f t="shared" si="3"/>
        <v>1</v>
      </c>
      <c r="AB15" s="1561">
        <f t="shared" si="4"/>
        <v>1</v>
      </c>
      <c r="AC15" s="1561">
        <f t="shared" si="5"/>
        <v>1</v>
      </c>
    </row>
    <row r="16" spans="1:29" ht="15">
      <c r="A16" s="532"/>
      <c r="B16" s="869"/>
      <c r="C16" s="576" t="s">
        <v>3143</v>
      </c>
      <c r="D16" s="555"/>
      <c r="E16" s="576" t="s">
        <v>3143</v>
      </c>
      <c r="F16" s="557"/>
      <c r="G16" s="576" t="s">
        <v>3143</v>
      </c>
      <c r="H16" s="559"/>
      <c r="I16" s="576" t="s">
        <v>3143</v>
      </c>
      <c r="J16" s="555"/>
      <c r="K16" s="899"/>
      <c r="L16" s="2124"/>
      <c r="M16" s="2116"/>
      <c r="N16" s="2116"/>
      <c r="O16" s="2123"/>
      <c r="P16" s="3500"/>
      <c r="Q16" s="1557"/>
      <c r="R16" s="1558"/>
      <c r="S16" s="1559"/>
      <c r="T16" s="1558"/>
      <c r="U16" s="1559"/>
      <c r="V16" s="1558"/>
      <c r="W16" s="1559"/>
      <c r="X16" s="1552"/>
      <c r="Y16" s="3500"/>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3470</v>
      </c>
      <c r="F17" s="563">
        <f>SUMIF(78:78,E18,79:79)-SUMIF(78:78,C18,79:79)+100</f>
        <v>100</v>
      </c>
      <c r="G17" s="562" t="s">
        <v>3470</v>
      </c>
      <c r="H17" s="565">
        <f>SUMIF(78:78,G18,79:79)-SUMIF(78:78,C18,79:79)+100</f>
        <v>100</v>
      </c>
      <c r="I17" s="562" t="s">
        <v>3470</v>
      </c>
      <c r="J17" s="565">
        <f>SUMIF(78:78,I18,79:79)-SUMIF(78:78,C18,79:79)+100</f>
        <v>100</v>
      </c>
      <c r="K17" s="898">
        <v>2</v>
      </c>
      <c r="L17" s="2124"/>
      <c r="M17" s="2116"/>
      <c r="N17" s="2116"/>
      <c r="O17" s="2123"/>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99"/>
      <c r="L18" s="2124"/>
      <c r="M18" s="2116"/>
      <c r="N18" s="2116"/>
      <c r="O18" s="2123"/>
      <c r="P18" s="3500"/>
      <c r="Q18" s="1557"/>
      <c r="R18" s="1558"/>
      <c r="S18" s="1559"/>
      <c r="T18" s="1558"/>
      <c r="U18" s="1559"/>
      <c r="V18" s="1558"/>
      <c r="W18" s="1559"/>
      <c r="X18" s="1552"/>
      <c r="Y18" s="3500"/>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3471</v>
      </c>
      <c r="F19" s="571">
        <f>SUMIF(80:80,E20,81:81)-SUMIF(80:80,C20,81:81)+100</f>
        <v>100</v>
      </c>
      <c r="G19" s="3197" t="s">
        <v>3471</v>
      </c>
      <c r="H19" s="559">
        <f>SUMIF(80:80,G20,81:81)-SUMIF(80:80,C20,81:81)+100</f>
        <v>100</v>
      </c>
      <c r="I19" s="3197" t="s">
        <v>3471</v>
      </c>
      <c r="J19" s="559">
        <f>SUMIF(80:80,I20,81:81)-SUMIF(80:80,C20,81:81)+100</f>
        <v>100</v>
      </c>
      <c r="K19" s="898">
        <v>2</v>
      </c>
      <c r="L19" s="2124"/>
      <c r="M19" s="2116"/>
      <c r="N19" s="2116"/>
      <c r="O19" s="2123"/>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99"/>
      <c r="L20" s="2124"/>
      <c r="M20" s="2116"/>
      <c r="N20" s="2116"/>
      <c r="O20" s="2123"/>
      <c r="P20" s="3500"/>
      <c r="Q20" s="1557"/>
      <c r="R20" s="1558"/>
      <c r="S20" s="1559"/>
      <c r="T20" s="1558"/>
      <c r="U20" s="1559"/>
      <c r="V20" s="1558"/>
      <c r="W20" s="1559"/>
      <c r="X20" s="1552"/>
      <c r="Y20" s="3500"/>
      <c r="Z20" s="1560"/>
      <c r="AA20" s="1561">
        <v>1</v>
      </c>
      <c r="AB20" s="1561">
        <v>1</v>
      </c>
      <c r="AC20" s="1561">
        <v>1</v>
      </c>
    </row>
    <row r="21" spans="1:29" ht="42.75">
      <c r="A21" s="532"/>
      <c r="B21" s="2552" t="s">
        <v>2555</v>
      </c>
      <c r="C21" s="872" t="str">
        <f>估价对象房地状况!C8</f>
        <v>估价对象所在区域基础设施水平达“六通”。</v>
      </c>
      <c r="D21" s="565">
        <v>100</v>
      </c>
      <c r="E21" s="572" t="s">
        <v>3472</v>
      </c>
      <c r="F21" s="571">
        <f>SUMIF(82:82,E22,83:83)-SUMIF(82:82,C22,83:83)+100</f>
        <v>100</v>
      </c>
      <c r="G21" s="572" t="s">
        <v>3472</v>
      </c>
      <c r="H21" s="565">
        <f>SUMIF(82:82,G22,83:83)-SUMIF(82:82,C22,83:83)+100</f>
        <v>100</v>
      </c>
      <c r="I21" s="572" t="s">
        <v>3472</v>
      </c>
      <c r="J21" s="565">
        <f>SUMIF(82:82,I22,83:83)-SUMIF(82:82,C22,83:83)+100</f>
        <v>100</v>
      </c>
      <c r="K21" s="898">
        <v>2</v>
      </c>
      <c r="L21" s="2124"/>
      <c r="M21" s="2116"/>
      <c r="N21" s="2116"/>
      <c r="O21" s="2123"/>
      <c r="P21" s="3500"/>
      <c r="Q21" s="2538" t="str">
        <f>B21</f>
        <v>基础设施水平</v>
      </c>
      <c r="R21" s="1558" t="s">
        <v>8</v>
      </c>
      <c r="S21" s="1559">
        <f>F21</f>
        <v>100</v>
      </c>
      <c r="T21" s="1558" t="s">
        <v>8</v>
      </c>
      <c r="U21" s="1559">
        <f>H21</f>
        <v>100</v>
      </c>
      <c r="V21" s="1558" t="s">
        <v>8</v>
      </c>
      <c r="W21" s="1559">
        <f>J21</f>
        <v>100</v>
      </c>
      <c r="X21" s="2540"/>
      <c r="Y21" s="3500"/>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61"/>
      <c r="L22" s="2124"/>
      <c r="M22" s="2116"/>
      <c r="N22" s="2116"/>
      <c r="O22" s="2123"/>
      <c r="P22" s="3500"/>
      <c r="Q22" s="2538"/>
      <c r="R22" s="1558"/>
      <c r="S22" s="1559"/>
      <c r="T22" s="1558"/>
      <c r="U22" s="1559"/>
      <c r="V22" s="1558"/>
      <c r="W22" s="1559"/>
      <c r="X22" s="2540"/>
      <c r="Y22" s="3500"/>
      <c r="Z22" s="2539"/>
      <c r="AA22" s="1561">
        <v>1</v>
      </c>
      <c r="AB22" s="1561">
        <v>1</v>
      </c>
      <c r="AC22" s="1561">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3194" t="s">
        <v>3172</v>
      </c>
      <c r="F23" s="563">
        <f>SUMIF(84:84,E24,85:85)-SUMIF(84:84,C24,85:85)+100</f>
        <v>100</v>
      </c>
      <c r="G23" s="3194" t="s">
        <v>3172</v>
      </c>
      <c r="H23" s="559">
        <f>SUMIF(84:84,G24,85:85)-SUMIF(84:84,C24,85:85)+100</f>
        <v>100</v>
      </c>
      <c r="I23" s="3194" t="s">
        <v>3172</v>
      </c>
      <c r="J23" s="559">
        <f>SUMIF(84:84,I24,85:85)-SUMIF(84:84,C24,85:85)+100</f>
        <v>100</v>
      </c>
      <c r="K23" s="898">
        <v>2</v>
      </c>
      <c r="L23" s="2124"/>
      <c r="M23" s="2116"/>
      <c r="N23" s="2116"/>
      <c r="O23" s="2123"/>
      <c r="P23" s="3500"/>
      <c r="Q23" s="1557" t="str">
        <f>B23</f>
        <v>自然及人文环境</v>
      </c>
      <c r="R23" s="1558" t="s">
        <v>8</v>
      </c>
      <c r="S23" s="1559">
        <f>F23</f>
        <v>100</v>
      </c>
      <c r="T23" s="1558" t="s">
        <v>8</v>
      </c>
      <c r="U23" s="1559">
        <f>H23</f>
        <v>100</v>
      </c>
      <c r="V23" s="1558" t="s">
        <v>8</v>
      </c>
      <c r="W23" s="1559">
        <f>J23</f>
        <v>100</v>
      </c>
      <c r="X23" s="1552"/>
      <c r="Y23" s="3500"/>
      <c r="Z23" s="1560" t="str">
        <f>Q23</f>
        <v>自然及人文环境</v>
      </c>
      <c r="AA23" s="1561">
        <f t="shared" si="3"/>
        <v>1</v>
      </c>
      <c r="AB23" s="1561">
        <f t="shared" si="4"/>
        <v>1</v>
      </c>
      <c r="AC23" s="1561">
        <f t="shared" si="5"/>
        <v>1</v>
      </c>
    </row>
    <row r="24" spans="1:29" ht="15">
      <c r="A24" s="532"/>
      <c r="B24" s="595"/>
      <c r="C24" s="576" t="s">
        <v>3143</v>
      </c>
      <c r="D24" s="555"/>
      <c r="E24" s="556" t="s">
        <v>3143</v>
      </c>
      <c r="F24" s="557"/>
      <c r="G24" s="558" t="s">
        <v>3143</v>
      </c>
      <c r="H24" s="555"/>
      <c r="I24" s="556" t="s">
        <v>3143</v>
      </c>
      <c r="J24" s="555"/>
      <c r="K24" s="899"/>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
      <c r="A25" s="532"/>
      <c r="B25" s="527" t="s">
        <v>547</v>
      </c>
      <c r="C25" s="583" t="s">
        <v>3021</v>
      </c>
      <c r="D25" s="540">
        <v>100</v>
      </c>
      <c r="E25" s="583" t="s">
        <v>3428</v>
      </c>
      <c r="F25" s="575">
        <f>SUMIF(86:86,E25,87:87)-SUMIF(86:86,C25,87:87)+100</f>
        <v>104</v>
      </c>
      <c r="G25" s="583" t="s">
        <v>3428</v>
      </c>
      <c r="H25" s="540">
        <f>SUMIF(86:86,G25,87:87)-SUMIF(86:86,C25,87:87)+100</f>
        <v>104</v>
      </c>
      <c r="I25" s="583" t="s">
        <v>3021</v>
      </c>
      <c r="J25" s="540">
        <f>SUMIF(86:86,I25,87:87)-SUMIF(86:86,C25,87:87)+100</f>
        <v>100</v>
      </c>
      <c r="K25" s="584">
        <v>2</v>
      </c>
      <c r="L25" s="2124"/>
      <c r="M25" s="2116"/>
      <c r="N25" s="2116"/>
      <c r="O25" s="2123"/>
      <c r="P25" s="3500"/>
      <c r="Q25" s="1557" t="str">
        <f t="shared" ref="Q25:Q46" si="11">B25</f>
        <v>临街状况</v>
      </c>
      <c r="R25" s="1558" t="s">
        <v>8</v>
      </c>
      <c r="S25" s="1559">
        <f>F25</f>
        <v>104</v>
      </c>
      <c r="T25" s="1558" t="s">
        <v>8</v>
      </c>
      <c r="U25" s="1559">
        <f>H25</f>
        <v>104</v>
      </c>
      <c r="V25" s="1558" t="s">
        <v>8</v>
      </c>
      <c r="W25" s="1559">
        <f>J25</f>
        <v>100</v>
      </c>
      <c r="X25" s="1552"/>
      <c r="Y25" s="3500"/>
      <c r="Z25" s="1560" t="str">
        <f>Q25</f>
        <v>临街状况</v>
      </c>
      <c r="AA25" s="1561">
        <f t="shared" si="3"/>
        <v>0.96153846153846156</v>
      </c>
      <c r="AB25" s="1561">
        <f t="shared" si="4"/>
        <v>0.96153846153846156</v>
      </c>
      <c r="AC25" s="1561">
        <f t="shared" si="5"/>
        <v>1</v>
      </c>
    </row>
    <row r="26" spans="1:29" ht="15">
      <c r="A26" s="532"/>
      <c r="B26" s="877" t="s">
        <v>758</v>
      </c>
      <c r="C26" s="3276" t="s">
        <v>3435</v>
      </c>
      <c r="D26" s="540">
        <v>100</v>
      </c>
      <c r="E26" s="3276" t="s">
        <v>3434</v>
      </c>
      <c r="F26" s="575">
        <f>SUMIF(88:88,E26,89:89)-SUMIF(88:88,C26,89:89)+100</f>
        <v>102</v>
      </c>
      <c r="G26" s="3276" t="s">
        <v>3434</v>
      </c>
      <c r="H26" s="540">
        <f>SUMIF(88:88,G26,89:89)-SUMIF(88:88,C26,89:89)+100</f>
        <v>102</v>
      </c>
      <c r="I26" s="3276" t="s">
        <v>3481</v>
      </c>
      <c r="J26" s="540">
        <f>SUMIF(88:88,I26,89:89)-SUMIF(88:88,C26,89:89)+100</f>
        <v>100</v>
      </c>
      <c r="K26" s="581"/>
      <c r="L26" s="2124"/>
      <c r="M26" s="2116"/>
      <c r="N26" s="2116"/>
      <c r="O26" s="2123"/>
      <c r="P26" s="3500"/>
      <c r="Q26" s="1557" t="str">
        <f t="shared" si="11"/>
        <v>平面位置/可视性</v>
      </c>
      <c r="R26" s="1558" t="s">
        <v>8</v>
      </c>
      <c r="S26" s="1559">
        <f>F26</f>
        <v>102</v>
      </c>
      <c r="T26" s="1558" t="s">
        <v>8</v>
      </c>
      <c r="U26" s="1559">
        <f>H26</f>
        <v>102</v>
      </c>
      <c r="V26" s="1558" t="s">
        <v>8</v>
      </c>
      <c r="W26" s="1559">
        <f>J26</f>
        <v>100</v>
      </c>
      <c r="X26" s="1552"/>
      <c r="Y26" s="3500"/>
      <c r="Z26" s="1560" t="str">
        <f>Q26</f>
        <v>平面位置/可视性</v>
      </c>
      <c r="AA26" s="1561">
        <f t="shared" si="3"/>
        <v>0.98039215686274506</v>
      </c>
      <c r="AB26" s="1561">
        <f t="shared" si="4"/>
        <v>0.98039215686274506</v>
      </c>
      <c r="AC26" s="1561">
        <f t="shared" si="5"/>
        <v>1</v>
      </c>
    </row>
    <row r="27" spans="1:29" s="1215" customFormat="1" ht="15">
      <c r="A27" s="536"/>
      <c r="B27" s="871" t="s">
        <v>759</v>
      </c>
      <c r="C27" s="901" t="s">
        <v>3143</v>
      </c>
      <c r="D27" s="875">
        <v>100</v>
      </c>
      <c r="E27" s="901" t="s">
        <v>3145</v>
      </c>
      <c r="F27" s="876">
        <f>SUMIF(90:90,E27,91:91)-SUMIF(90:90,C27,91:91)+100</f>
        <v>101</v>
      </c>
      <c r="G27" s="901" t="s">
        <v>3145</v>
      </c>
      <c r="H27" s="875">
        <f>SUMIF(90:90,G27,91:91)-SUMIF(90:90,C27,91:91)+100</f>
        <v>101</v>
      </c>
      <c r="I27" s="901" t="s">
        <v>3143</v>
      </c>
      <c r="J27" s="875">
        <f>SUMIF(90:90,I27,91:91)-SUMIF(90:90,C27,91:91)+100</f>
        <v>100</v>
      </c>
      <c r="K27" s="584">
        <v>1</v>
      </c>
      <c r="L27" s="2117"/>
      <c r="M27" s="2118"/>
      <c r="N27" s="2118"/>
      <c r="O27" s="2119"/>
      <c r="P27" s="3500"/>
      <c r="Q27" s="1146" t="str">
        <f t="shared" si="11"/>
        <v>人流量</v>
      </c>
      <c r="R27" s="1553" t="s">
        <v>8</v>
      </c>
      <c r="S27" s="1554">
        <f>F27</f>
        <v>101</v>
      </c>
      <c r="T27" s="1553" t="s">
        <v>8</v>
      </c>
      <c r="U27" s="1554">
        <f>H27</f>
        <v>101</v>
      </c>
      <c r="V27" s="1553" t="s">
        <v>8</v>
      </c>
      <c r="W27" s="1554">
        <f>J27</f>
        <v>100</v>
      </c>
      <c r="X27" s="1555"/>
      <c r="Y27" s="3500"/>
      <c r="Z27" s="1145" t="str">
        <f>Q27</f>
        <v>人流量</v>
      </c>
      <c r="AA27" s="1561">
        <f>D27/F27</f>
        <v>0.99009900990099009</v>
      </c>
      <c r="AB27" s="1561">
        <f>D27/H27</f>
        <v>0.99009900990099009</v>
      </c>
      <c r="AC27" s="1561">
        <f>D27/J27</f>
        <v>1</v>
      </c>
    </row>
    <row r="28" spans="1:29" ht="15">
      <c r="A28" s="532"/>
      <c r="B28" s="527" t="s">
        <v>761</v>
      </c>
      <c r="C28" s="583" t="s">
        <v>3473</v>
      </c>
      <c r="D28" s="540">
        <v>100</v>
      </c>
      <c r="E28" s="583" t="s">
        <v>3473</v>
      </c>
      <c r="F28" s="575">
        <f>SUMIF(92:92,E28,93:93)-SUMIF(92:92,C28,93:93)+100</f>
        <v>100</v>
      </c>
      <c r="G28" s="583" t="s">
        <v>3473</v>
      </c>
      <c r="H28" s="540">
        <f>SUMIF(92:92,G28,93:93)-SUMIF(92:92,C28,93:93)+100</f>
        <v>100</v>
      </c>
      <c r="I28" s="583" t="s">
        <v>3473</v>
      </c>
      <c r="J28" s="540">
        <f>SUMIF(92:92,I28,93:93)-SUMIF(92:92,C28,93:93)+100</f>
        <v>100</v>
      </c>
      <c r="K28" s="581"/>
      <c r="L28" s="2124"/>
      <c r="M28" s="2116"/>
      <c r="N28" s="2116"/>
      <c r="O28" s="2123"/>
      <c r="P28" s="350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0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00"/>
      <c r="Q29" s="1557">
        <f t="shared" si="11"/>
        <v>111</v>
      </c>
      <c r="R29" s="1558" t="s">
        <v>8</v>
      </c>
      <c r="S29" s="1559">
        <f t="shared" si="12"/>
        <v>100</v>
      </c>
      <c r="T29" s="1558" t="s">
        <v>8</v>
      </c>
      <c r="U29" s="1559">
        <f t="shared" si="13"/>
        <v>100</v>
      </c>
      <c r="V29" s="1558" t="s">
        <v>8</v>
      </c>
      <c r="W29" s="1559">
        <f t="shared" si="14"/>
        <v>100</v>
      </c>
      <c r="X29" s="1552"/>
      <c r="Y29" s="350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00"/>
      <c r="Q30" s="1557">
        <f t="shared" si="11"/>
        <v>111</v>
      </c>
      <c r="R30" s="1558" t="s">
        <v>8</v>
      </c>
      <c r="S30" s="1559">
        <f t="shared" si="12"/>
        <v>100</v>
      </c>
      <c r="T30" s="1558" t="s">
        <v>8</v>
      </c>
      <c r="U30" s="1559">
        <f t="shared" si="13"/>
        <v>100</v>
      </c>
      <c r="V30" s="1558" t="s">
        <v>8</v>
      </c>
      <c r="W30" s="1559">
        <f t="shared" si="14"/>
        <v>100</v>
      </c>
      <c r="X30" s="1552"/>
      <c r="Y30" s="3500"/>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00"/>
      <c r="Q31" s="1557">
        <f t="shared" si="11"/>
        <v>111</v>
      </c>
      <c r="R31" s="1558" t="s">
        <v>8</v>
      </c>
      <c r="S31" s="1559">
        <f t="shared" si="12"/>
        <v>100</v>
      </c>
      <c r="T31" s="1558" t="s">
        <v>8</v>
      </c>
      <c r="U31" s="1559">
        <f t="shared" si="13"/>
        <v>100</v>
      </c>
      <c r="V31" s="1558" t="s">
        <v>8</v>
      </c>
      <c r="W31" s="1559">
        <f t="shared" si="14"/>
        <v>100</v>
      </c>
      <c r="X31" s="1552"/>
      <c r="Y31" s="3500"/>
      <c r="Z31" s="1560">
        <f t="shared" si="15"/>
        <v>111</v>
      </c>
      <c r="AA31" s="1561">
        <f t="shared" si="3"/>
        <v>1</v>
      </c>
      <c r="AB31" s="1561">
        <f t="shared" si="4"/>
        <v>1</v>
      </c>
      <c r="AC31" s="1561">
        <f t="shared" si="5"/>
        <v>1</v>
      </c>
    </row>
    <row r="32" spans="1:29" ht="15">
      <c r="A32" s="2857" t="s">
        <v>2751</v>
      </c>
      <c r="B32" s="172" t="s">
        <v>762</v>
      </c>
      <c r="C32" s="878" t="s">
        <v>3444</v>
      </c>
      <c r="D32" s="597">
        <v>100</v>
      </c>
      <c r="E32" s="878" t="s">
        <v>3474</v>
      </c>
      <c r="F32" s="575">
        <f>SUMIF(100:100,E32,101:101)-SUMIF(100:100,C32,101:101)+100</f>
        <v>103</v>
      </c>
      <c r="G32" s="878" t="s">
        <v>3474</v>
      </c>
      <c r="H32" s="540">
        <f>SUMIF(100:100,G32,101:101)-SUMIF(100:100,C32,101:101)+100</f>
        <v>103</v>
      </c>
      <c r="I32" s="878" t="s">
        <v>3444</v>
      </c>
      <c r="J32" s="597">
        <f>SUMIF(100:100,I32,101:101)-SUMIF(100:100,C32,101:101)+100</f>
        <v>100</v>
      </c>
      <c r="K32" s="584">
        <v>3</v>
      </c>
      <c r="L32" s="2124"/>
      <c r="M32" s="2116"/>
      <c r="N32" s="2116"/>
      <c r="O32" s="2123"/>
      <c r="P32" s="3501" t="s">
        <v>550</v>
      </c>
      <c r="Q32" s="1557" t="str">
        <f t="shared" si="11"/>
        <v>商业类型</v>
      </c>
      <c r="R32" s="1558" t="s">
        <v>8</v>
      </c>
      <c r="S32" s="1559">
        <f t="shared" si="12"/>
        <v>103</v>
      </c>
      <c r="T32" s="1558" t="s">
        <v>8</v>
      </c>
      <c r="U32" s="1559">
        <f t="shared" si="13"/>
        <v>103</v>
      </c>
      <c r="V32" s="1558" t="s">
        <v>8</v>
      </c>
      <c r="W32" s="1559">
        <f t="shared" si="14"/>
        <v>100</v>
      </c>
      <c r="X32" s="1552"/>
      <c r="Y32" s="3502" t="s">
        <v>550</v>
      </c>
      <c r="Z32" s="1560" t="str">
        <f t="shared" si="15"/>
        <v>商业类型</v>
      </c>
      <c r="AA32" s="1561">
        <f t="shared" si="3"/>
        <v>0.970873786407767</v>
      </c>
      <c r="AB32" s="1561">
        <f t="shared" si="4"/>
        <v>0.970873786407767</v>
      </c>
      <c r="AC32" s="1561">
        <f t="shared" si="5"/>
        <v>1</v>
      </c>
    </row>
    <row r="33" spans="1:29" s="1334" customFormat="1" ht="15">
      <c r="A33" s="603"/>
      <c r="B33" s="527" t="s">
        <v>726</v>
      </c>
      <c r="C33" s="880">
        <f>'数据-汇总表'!F21</f>
        <v>124382</v>
      </c>
      <c r="D33" s="255">
        <v>100</v>
      </c>
      <c r="E33" s="534">
        <v>54</v>
      </c>
      <c r="F33" s="863">
        <f>LOOKUP(E33,103:103,104:104)-LOOKUP(C33,103:103,104:104)+100</f>
        <v>106</v>
      </c>
      <c r="G33" s="533">
        <v>80</v>
      </c>
      <c r="H33" s="255">
        <f>LOOKUP(G33,103:103,104:104)-LOOKUP(C33,103:103,104:104)+100</f>
        <v>106</v>
      </c>
      <c r="I33" s="533">
        <v>68</v>
      </c>
      <c r="J33" s="255">
        <f>LOOKUP(I33,103:103,104:104)-LOOKUP(C33,103:103,104:104)+100</f>
        <v>106</v>
      </c>
      <c r="K33" s="581"/>
      <c r="L33" s="2122"/>
      <c r="M33" s="2153"/>
      <c r="N33" s="2153"/>
      <c r="O33" s="2125"/>
      <c r="P33" s="3502"/>
      <c r="Q33" s="1589" t="str">
        <f t="shared" si="11"/>
        <v>项目建筑规模</v>
      </c>
      <c r="R33" s="1562" t="s">
        <v>8</v>
      </c>
      <c r="S33" s="1563">
        <f t="shared" si="12"/>
        <v>106</v>
      </c>
      <c r="T33" s="1562" t="s">
        <v>8</v>
      </c>
      <c r="U33" s="1563">
        <f t="shared" si="13"/>
        <v>106</v>
      </c>
      <c r="V33" s="1562" t="s">
        <v>8</v>
      </c>
      <c r="W33" s="1563">
        <f t="shared" si="14"/>
        <v>106</v>
      </c>
      <c r="X33" s="1564"/>
      <c r="Y33" s="3502"/>
      <c r="Z33" s="1565" t="str">
        <f t="shared" si="15"/>
        <v>项目建筑规模</v>
      </c>
      <c r="AA33" s="1561">
        <f t="shared" si="3"/>
        <v>0.94339622641509435</v>
      </c>
      <c r="AB33" s="1561">
        <f t="shared" si="4"/>
        <v>0.94339622641509435</v>
      </c>
      <c r="AC33" s="1561">
        <f t="shared" si="5"/>
        <v>0.94339622641509435</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1" t="s">
        <v>3165</v>
      </c>
      <c r="J34" s="540">
        <f>SUMIF(105:105,I34,106:106)-SUMIF(105:105,C34,106:106)+100</f>
        <v>100</v>
      </c>
      <c r="K34" s="584">
        <v>2</v>
      </c>
      <c r="L34" s="2124"/>
      <c r="M34" s="2116"/>
      <c r="N34" s="2116"/>
      <c r="O34" s="2123"/>
      <c r="P34" s="3502"/>
      <c r="Q34" s="1557" t="str">
        <f t="shared" si="11"/>
        <v>建筑结构</v>
      </c>
      <c r="R34" s="1558" t="s">
        <v>8</v>
      </c>
      <c r="S34" s="1559">
        <f t="shared" si="12"/>
        <v>100</v>
      </c>
      <c r="T34" s="1558" t="s">
        <v>8</v>
      </c>
      <c r="U34" s="1559">
        <f t="shared" si="13"/>
        <v>100</v>
      </c>
      <c r="V34" s="1558" t="s">
        <v>8</v>
      </c>
      <c r="W34" s="1559">
        <f t="shared" si="14"/>
        <v>100</v>
      </c>
      <c r="X34" s="1552"/>
      <c r="Y34" s="3502"/>
      <c r="Z34" s="1560" t="str">
        <f t="shared" si="15"/>
        <v>建筑结构</v>
      </c>
      <c r="AA34" s="1561">
        <f t="shared" si="3"/>
        <v>1</v>
      </c>
      <c r="AB34" s="1561">
        <f t="shared" si="4"/>
        <v>1</v>
      </c>
      <c r="AC34" s="1561">
        <f t="shared" si="5"/>
        <v>1</v>
      </c>
    </row>
    <row r="35" spans="1:29" ht="15">
      <c r="A35" s="594"/>
      <c r="B35" s="527" t="s">
        <v>763</v>
      </c>
      <c r="C35" s="599" t="s">
        <v>3167</v>
      </c>
      <c r="D35" s="540">
        <v>100</v>
      </c>
      <c r="E35" s="599" t="s">
        <v>3167</v>
      </c>
      <c r="F35" s="575">
        <f>SUMIF(107:107,E35,108:108)-SUMIF(107:107,C35,108:108)+100</f>
        <v>100</v>
      </c>
      <c r="G35" s="599" t="s">
        <v>3167</v>
      </c>
      <c r="H35" s="540">
        <f>SUMIF(107:107,G35,108:108)-SUMIF(107:107,C35,108:108)+100</f>
        <v>100</v>
      </c>
      <c r="I35" s="599" t="s">
        <v>3167</v>
      </c>
      <c r="J35" s="540">
        <f>SUMIF(107:107,I35,108:108)-SUMIF(107:107,C35,108:108)+100</f>
        <v>100</v>
      </c>
      <c r="K35" s="584">
        <v>2</v>
      </c>
      <c r="L35" s="2124"/>
      <c r="M35" s="2116"/>
      <c r="N35" s="2116"/>
      <c r="O35" s="2123"/>
      <c r="P35" s="3502"/>
      <c r="Q35" s="1557" t="str">
        <f t="shared" si="11"/>
        <v>公共部分装修</v>
      </c>
      <c r="R35" s="1558" t="s">
        <v>8</v>
      </c>
      <c r="S35" s="1559">
        <f t="shared" si="12"/>
        <v>100</v>
      </c>
      <c r="T35" s="1558" t="s">
        <v>8</v>
      </c>
      <c r="U35" s="1559">
        <f t="shared" si="13"/>
        <v>100</v>
      </c>
      <c r="V35" s="1558" t="s">
        <v>8</v>
      </c>
      <c r="W35" s="1559">
        <f t="shared" si="14"/>
        <v>100</v>
      </c>
      <c r="X35" s="1552"/>
      <c r="Y35" s="3502"/>
      <c r="Z35" s="1560" t="str">
        <f t="shared" si="15"/>
        <v>公共部分装修</v>
      </c>
      <c r="AA35" s="1561">
        <f t="shared" si="3"/>
        <v>1</v>
      </c>
      <c r="AB35" s="1561">
        <f t="shared" si="4"/>
        <v>1</v>
      </c>
      <c r="AC35" s="1561">
        <f t="shared" si="5"/>
        <v>1</v>
      </c>
    </row>
    <row r="36" spans="1:29" ht="15">
      <c r="A36" s="594"/>
      <c r="B36" s="527" t="s">
        <v>764</v>
      </c>
      <c r="C36" s="883">
        <v>1</v>
      </c>
      <c r="D36" s="540">
        <v>100</v>
      </c>
      <c r="E36" s="883">
        <v>0.9</v>
      </c>
      <c r="F36" s="575">
        <f>LOOKUP(E36,110:110,111:111)-LOOKUP(C36,110:110,111:111)+100</f>
        <v>100</v>
      </c>
      <c r="G36" s="883">
        <v>0.9</v>
      </c>
      <c r="H36" s="575">
        <f>LOOKUP(G36,110:110,111:111)-LOOKUP(C36,110:110,111:111)+100</f>
        <v>100</v>
      </c>
      <c r="I36" s="883">
        <v>0.9</v>
      </c>
      <c r="J36" s="540">
        <f>LOOKUP(I36,110:110,111:111)-LOOKUP(C36,110:110,111:111)+100</f>
        <v>100</v>
      </c>
      <c r="K36" s="584">
        <v>2</v>
      </c>
      <c r="L36" s="2124"/>
      <c r="M36" s="2116"/>
      <c r="N36" s="2116"/>
      <c r="O36" s="2123"/>
      <c r="P36" s="3502"/>
      <c r="Q36" s="1557" t="str">
        <f t="shared" si="11"/>
        <v>成新度</v>
      </c>
      <c r="R36" s="1558" t="s">
        <v>8</v>
      </c>
      <c r="S36" s="1559">
        <f t="shared" si="12"/>
        <v>100</v>
      </c>
      <c r="T36" s="1558" t="s">
        <v>8</v>
      </c>
      <c r="U36" s="1559">
        <f t="shared" si="13"/>
        <v>100</v>
      </c>
      <c r="V36" s="1558" t="s">
        <v>8</v>
      </c>
      <c r="W36" s="1559">
        <f t="shared" si="14"/>
        <v>100</v>
      </c>
      <c r="X36" s="1552"/>
      <c r="Y36" s="3502"/>
      <c r="Z36" s="1560" t="str">
        <f t="shared" si="15"/>
        <v>成新度</v>
      </c>
      <c r="AA36" s="1561">
        <f t="shared" si="3"/>
        <v>1</v>
      </c>
      <c r="AB36" s="1561">
        <f t="shared" si="4"/>
        <v>1</v>
      </c>
      <c r="AC36" s="1561">
        <f t="shared" si="5"/>
        <v>1</v>
      </c>
    </row>
    <row r="37" spans="1:29" s="1215" customFormat="1" ht="15">
      <c r="A37" s="600"/>
      <c r="B37" s="1877" t="s">
        <v>2562</v>
      </c>
      <c r="C37" s="599" t="s">
        <v>3146</v>
      </c>
      <c r="D37" s="255">
        <v>100</v>
      </c>
      <c r="E37" s="599" t="s">
        <v>3475</v>
      </c>
      <c r="F37" s="575">
        <f>SUMIF(112:112,E37,113:113)-SUMIF(112:112,C37,113:113)+100</f>
        <v>98</v>
      </c>
      <c r="G37" s="599" t="s">
        <v>3475</v>
      </c>
      <c r="H37" s="540">
        <f>SUMIF(112:112,G37,113:113)-SUMIF(112:112,C37,113:113)+100</f>
        <v>98</v>
      </c>
      <c r="I37" s="599" t="s">
        <v>3146</v>
      </c>
      <c r="J37" s="540">
        <f>SUMIF(112:112,I37,113:113)-SUMIF(112:112,C37,113:113)+100</f>
        <v>100</v>
      </c>
      <c r="K37" s="584">
        <v>2</v>
      </c>
      <c r="L37" s="2117"/>
      <c r="M37" s="2118"/>
      <c r="N37" s="2118"/>
      <c r="O37" s="2119"/>
      <c r="P37" s="3502"/>
      <c r="Q37" s="1146" t="str">
        <f t="shared" si="11"/>
        <v>市政基础设施</v>
      </c>
      <c r="R37" s="1553" t="s">
        <v>8</v>
      </c>
      <c r="S37" s="1554">
        <f t="shared" si="12"/>
        <v>98</v>
      </c>
      <c r="T37" s="1553" t="s">
        <v>8</v>
      </c>
      <c r="U37" s="1554">
        <f t="shared" si="13"/>
        <v>98</v>
      </c>
      <c r="V37" s="1553" t="s">
        <v>8</v>
      </c>
      <c r="W37" s="1554">
        <f t="shared" si="14"/>
        <v>100</v>
      </c>
      <c r="X37" s="1555"/>
      <c r="Y37" s="3502"/>
      <c r="Z37" s="1145" t="str">
        <f t="shared" si="15"/>
        <v>市政基础设施</v>
      </c>
      <c r="AA37" s="1556">
        <f t="shared" si="3"/>
        <v>1.0204081632653061</v>
      </c>
      <c r="AB37" s="1556">
        <f t="shared" si="4"/>
        <v>1.0204081632653061</v>
      </c>
      <c r="AC37" s="1556">
        <f t="shared" si="5"/>
        <v>1</v>
      </c>
    </row>
    <row r="38" spans="1:29" ht="15">
      <c r="A38" s="594"/>
      <c r="B38" s="527" t="s">
        <v>765</v>
      </c>
      <c r="C38" s="599" t="s">
        <v>3476</v>
      </c>
      <c r="D38" s="540">
        <v>100</v>
      </c>
      <c r="E38" s="599" t="s">
        <v>3476</v>
      </c>
      <c r="F38" s="575">
        <f>SUMIF(114:114,E38,115:115)-SUMIF(114:114,C38,115:115)+100</f>
        <v>100</v>
      </c>
      <c r="G38" s="599" t="s">
        <v>3476</v>
      </c>
      <c r="H38" s="540">
        <f>SUMIF(114:114,G38,115:115)-SUMIF(114:114,C38,115:115)+100</f>
        <v>100</v>
      </c>
      <c r="I38" s="599" t="s">
        <v>3476</v>
      </c>
      <c r="J38" s="540">
        <f>SUMIF(114:114,I38,115:115)-SUMIF(114:114,C38,115:115)+100</f>
        <v>100</v>
      </c>
      <c r="K38" s="584">
        <v>2</v>
      </c>
      <c r="L38" s="2124"/>
      <c r="M38" s="2116"/>
      <c r="N38" s="2116"/>
      <c r="O38" s="2123"/>
      <c r="P38" s="3502" t="s">
        <v>766</v>
      </c>
      <c r="Q38" s="1557" t="str">
        <f t="shared" si="11"/>
        <v>业态</v>
      </c>
      <c r="R38" s="1558" t="s">
        <v>8</v>
      </c>
      <c r="S38" s="1559">
        <f t="shared" si="12"/>
        <v>100</v>
      </c>
      <c r="T38" s="1558" t="s">
        <v>8</v>
      </c>
      <c r="U38" s="1559">
        <f t="shared" si="13"/>
        <v>100</v>
      </c>
      <c r="V38" s="1558" t="s">
        <v>8</v>
      </c>
      <c r="W38" s="1559">
        <f t="shared" si="14"/>
        <v>100</v>
      </c>
      <c r="X38" s="1552"/>
      <c r="Y38" s="3502" t="s">
        <v>766</v>
      </c>
      <c r="Z38" s="1560" t="str">
        <f t="shared" si="15"/>
        <v>业态</v>
      </c>
      <c r="AA38" s="1561">
        <f t="shared" si="3"/>
        <v>1</v>
      </c>
      <c r="AB38" s="1561">
        <f t="shared" si="4"/>
        <v>1</v>
      </c>
      <c r="AC38" s="1561">
        <f t="shared" si="5"/>
        <v>1</v>
      </c>
    </row>
    <row r="39" spans="1:29" ht="15">
      <c r="A39" s="594"/>
      <c r="B39" s="527" t="s">
        <v>767</v>
      </c>
      <c r="C39" s="599" t="s">
        <v>3478</v>
      </c>
      <c r="D39" s="540">
        <v>100</v>
      </c>
      <c r="E39" s="599" t="s">
        <v>3478</v>
      </c>
      <c r="F39" s="575">
        <f>SUMIF(116:116,E39,117:117)-SUMIF(116:116,C39,117:117)+100</f>
        <v>100</v>
      </c>
      <c r="G39" s="599" t="s">
        <v>3478</v>
      </c>
      <c r="H39" s="540">
        <f>SUMIF(116:116,G39,117:117)-SUMIF(116:116,C39,117:117)+100</f>
        <v>100</v>
      </c>
      <c r="I39" s="599" t="s">
        <v>3478</v>
      </c>
      <c r="J39" s="540">
        <f>SUMIF(116:116,I39,117:117)-SUMIF(116:116,C39,117:117)+100</f>
        <v>100</v>
      </c>
      <c r="K39" s="584">
        <v>2</v>
      </c>
      <c r="L39" s="2124"/>
      <c r="M39" s="2116"/>
      <c r="N39" s="2116"/>
      <c r="O39" s="2123"/>
      <c r="P39" s="3502"/>
      <c r="Q39" s="1557" t="str">
        <f t="shared" si="11"/>
        <v>层高</v>
      </c>
      <c r="R39" s="1558" t="s">
        <v>8</v>
      </c>
      <c r="S39" s="1559">
        <f t="shared" si="12"/>
        <v>100</v>
      </c>
      <c r="T39" s="1558" t="s">
        <v>8</v>
      </c>
      <c r="U39" s="1559">
        <f t="shared" si="13"/>
        <v>100</v>
      </c>
      <c r="V39" s="1558" t="s">
        <v>8</v>
      </c>
      <c r="W39" s="1559">
        <f t="shared" si="14"/>
        <v>100</v>
      </c>
      <c r="X39" s="1552"/>
      <c r="Y39" s="3502"/>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502"/>
      <c r="Q40" s="1557" t="str">
        <f t="shared" si="11"/>
        <v>单套建筑面积</v>
      </c>
      <c r="R40" s="1558" t="s">
        <v>8</v>
      </c>
      <c r="S40" s="1559">
        <f t="shared" si="12"/>
        <v>100</v>
      </c>
      <c r="T40" s="1558" t="s">
        <v>8</v>
      </c>
      <c r="U40" s="1559">
        <f t="shared" si="13"/>
        <v>100</v>
      </c>
      <c r="V40" s="1558" t="s">
        <v>8</v>
      </c>
      <c r="W40" s="1559">
        <f t="shared" si="14"/>
        <v>100</v>
      </c>
      <c r="X40" s="1552"/>
      <c r="Y40" s="3502"/>
      <c r="Z40" s="1560" t="str">
        <f t="shared" si="15"/>
        <v>单套建筑面积</v>
      </c>
      <c r="AA40" s="1561">
        <f t="shared" si="3"/>
        <v>1</v>
      </c>
      <c r="AB40" s="1561">
        <f t="shared" si="4"/>
        <v>1</v>
      </c>
      <c r="AC40" s="1561">
        <f t="shared" si="5"/>
        <v>1</v>
      </c>
    </row>
    <row r="41" spans="1:29" s="1334" customFormat="1" ht="15">
      <c r="A41" s="603"/>
      <c r="B41" s="904" t="s">
        <v>769</v>
      </c>
      <c r="C41" s="583" t="s">
        <v>3479</v>
      </c>
      <c r="D41" s="540">
        <v>100</v>
      </c>
      <c r="E41" s="583" t="s">
        <v>3479</v>
      </c>
      <c r="F41" s="575">
        <f>SUMIF(120:120,E41,121:121)-SUMIF(120:120,C41,121:121)+100</f>
        <v>100</v>
      </c>
      <c r="G41" s="583" t="s">
        <v>3479</v>
      </c>
      <c r="H41" s="540">
        <f>SUMIF(120:120,G41,121:121)-SUMIF(120:120,C41,121:121)+100</f>
        <v>100</v>
      </c>
      <c r="I41" s="583" t="s">
        <v>3479</v>
      </c>
      <c r="J41" s="540">
        <f>SUMIF(120:120,I41,121:121)-SUMIF(120:120,C41,121:121)+100</f>
        <v>100</v>
      </c>
      <c r="K41" s="584">
        <v>2</v>
      </c>
      <c r="L41" s="2122"/>
      <c r="M41" s="2153"/>
      <c r="N41" s="2153"/>
      <c r="O41" s="2125"/>
      <c r="P41" s="3502"/>
      <c r="Q41" s="1589" t="str">
        <f t="shared" si="11"/>
        <v>进深比</v>
      </c>
      <c r="R41" s="1562" t="s">
        <v>8</v>
      </c>
      <c r="S41" s="1563">
        <f t="shared" si="12"/>
        <v>100</v>
      </c>
      <c r="T41" s="1562" t="s">
        <v>8</v>
      </c>
      <c r="U41" s="1563">
        <f t="shared" si="13"/>
        <v>100</v>
      </c>
      <c r="V41" s="1562" t="s">
        <v>8</v>
      </c>
      <c r="W41" s="1563">
        <f t="shared" si="14"/>
        <v>100</v>
      </c>
      <c r="X41" s="1564"/>
      <c r="Y41" s="3502"/>
      <c r="Z41" s="1565" t="str">
        <f t="shared" si="15"/>
        <v>进深比</v>
      </c>
      <c r="AA41" s="1561">
        <f t="shared" si="3"/>
        <v>1</v>
      </c>
      <c r="AB41" s="1561">
        <f t="shared" si="4"/>
        <v>1</v>
      </c>
      <c r="AC41" s="1561">
        <f t="shared" si="5"/>
        <v>1</v>
      </c>
    </row>
    <row r="42" spans="1:29" ht="15">
      <c r="A42" s="594"/>
      <c r="B42" s="527" t="s">
        <v>770</v>
      </c>
      <c r="C42" s="599" t="s">
        <v>3169</v>
      </c>
      <c r="D42" s="540">
        <v>100</v>
      </c>
      <c r="E42" s="599" t="s">
        <v>3169</v>
      </c>
      <c r="F42" s="575">
        <f>SUMIF(122:122,E42,123:123)-SUMIF(122:122,C42,123:123)+100</f>
        <v>100</v>
      </c>
      <c r="G42" s="599" t="s">
        <v>3480</v>
      </c>
      <c r="H42" s="540">
        <f>SUMIF(122:122,G42,123:123)-SUMIF(122:122,C42,123:123)+100</f>
        <v>105</v>
      </c>
      <c r="I42" s="599" t="s">
        <v>3480</v>
      </c>
      <c r="J42" s="540">
        <f>SUMIF(122:122,I42,123:123)-SUMIF(122:122,C42,123:123)+100</f>
        <v>105</v>
      </c>
      <c r="K42" s="584">
        <v>5</v>
      </c>
      <c r="L42" s="2124"/>
      <c r="M42" s="2116"/>
      <c r="N42" s="2116"/>
      <c r="O42" s="2123"/>
      <c r="P42" s="3502"/>
      <c r="Q42" s="1557" t="str">
        <f t="shared" si="11"/>
        <v>内部装修</v>
      </c>
      <c r="R42" s="1558" t="s">
        <v>8</v>
      </c>
      <c r="S42" s="1559">
        <f t="shared" si="12"/>
        <v>100</v>
      </c>
      <c r="T42" s="1558" t="s">
        <v>8</v>
      </c>
      <c r="U42" s="1559">
        <f t="shared" si="13"/>
        <v>105</v>
      </c>
      <c r="V42" s="1558" t="s">
        <v>8</v>
      </c>
      <c r="W42" s="1559">
        <f t="shared" si="14"/>
        <v>105</v>
      </c>
      <c r="X42" s="1552"/>
      <c r="Y42" s="3502"/>
      <c r="Z42" s="1560" t="str">
        <f t="shared" si="15"/>
        <v>内部装修</v>
      </c>
      <c r="AA42" s="1561">
        <f t="shared" si="3"/>
        <v>1</v>
      </c>
      <c r="AB42" s="1561">
        <f t="shared" si="4"/>
        <v>0.95238095238095233</v>
      </c>
      <c r="AC42" s="1561">
        <f t="shared" si="5"/>
        <v>0.95238095238095233</v>
      </c>
    </row>
    <row r="43" spans="1:29" ht="27">
      <c r="A43" s="594"/>
      <c r="B43" s="527" t="s">
        <v>735</v>
      </c>
      <c r="C43" s="599" t="s">
        <v>3145</v>
      </c>
      <c r="D43" s="540">
        <v>100</v>
      </c>
      <c r="E43" s="599" t="s">
        <v>3145</v>
      </c>
      <c r="F43" s="575">
        <f>SUMIF(124:124,E43,125:125)-SUMIF(124:124,C43,125:125)+100</f>
        <v>100</v>
      </c>
      <c r="G43" s="599" t="s">
        <v>3145</v>
      </c>
      <c r="H43" s="540">
        <f>SUMIF(124:124,G43,125:125)-SUMIF(124:124,C43,125:125)+100</f>
        <v>100</v>
      </c>
      <c r="I43" s="599" t="s">
        <v>3145</v>
      </c>
      <c r="J43" s="540">
        <f>SUMIF(124:124,I43,125:125)-SUMIF(124:124,C43,125:125)+100</f>
        <v>100</v>
      </c>
      <c r="K43" s="584">
        <v>2</v>
      </c>
      <c r="L43" s="2124"/>
      <c r="M43" s="2116"/>
      <c r="N43" s="2116"/>
      <c r="O43" s="2123"/>
      <c r="P43" s="3502"/>
      <c r="Q43" s="1557" t="str">
        <f t="shared" si="11"/>
        <v>内部装修维护情况</v>
      </c>
      <c r="R43" s="1558" t="s">
        <v>8</v>
      </c>
      <c r="S43" s="1559">
        <f t="shared" si="12"/>
        <v>100</v>
      </c>
      <c r="T43" s="1558" t="s">
        <v>8</v>
      </c>
      <c r="U43" s="1559">
        <f t="shared" si="13"/>
        <v>100</v>
      </c>
      <c r="V43" s="1558" t="s">
        <v>8</v>
      </c>
      <c r="W43" s="1559">
        <f t="shared" si="14"/>
        <v>100</v>
      </c>
      <c r="X43" s="1552"/>
      <c r="Y43" s="3502"/>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02"/>
      <c r="Q44" s="1146">
        <f t="shared" si="11"/>
        <v>111</v>
      </c>
      <c r="R44" s="1553" t="s">
        <v>8</v>
      </c>
      <c r="S44" s="1554">
        <f t="shared" si="12"/>
        <v>100</v>
      </c>
      <c r="T44" s="1553" t="s">
        <v>8</v>
      </c>
      <c r="U44" s="1554">
        <f t="shared" si="13"/>
        <v>100</v>
      </c>
      <c r="V44" s="1553" t="s">
        <v>8</v>
      </c>
      <c r="W44" s="1554">
        <f t="shared" si="14"/>
        <v>100</v>
      </c>
      <c r="X44" s="1555"/>
      <c r="Y44" s="350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02"/>
      <c r="Q45" s="1557">
        <f t="shared" si="11"/>
        <v>111</v>
      </c>
      <c r="R45" s="1558" t="s">
        <v>8</v>
      </c>
      <c r="S45" s="1559">
        <f t="shared" si="12"/>
        <v>100</v>
      </c>
      <c r="T45" s="1558" t="s">
        <v>8</v>
      </c>
      <c r="U45" s="1559">
        <f t="shared" si="13"/>
        <v>100</v>
      </c>
      <c r="V45" s="1558" t="s">
        <v>8</v>
      </c>
      <c r="W45" s="1559">
        <f t="shared" si="14"/>
        <v>100</v>
      </c>
      <c r="X45" s="1552"/>
      <c r="Y45" s="3502"/>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81"/>
      <c r="Q46" s="1557">
        <f t="shared" si="11"/>
        <v>111</v>
      </c>
      <c r="R46" s="1558" t="s">
        <v>8</v>
      </c>
      <c r="S46" s="1559">
        <f t="shared" si="12"/>
        <v>100</v>
      </c>
      <c r="T46" s="1558" t="s">
        <v>8</v>
      </c>
      <c r="U46" s="1559">
        <f t="shared" si="13"/>
        <v>100</v>
      </c>
      <c r="V46" s="1558" t="s">
        <v>8</v>
      </c>
      <c r="W46" s="1559">
        <f t="shared" si="14"/>
        <v>100</v>
      </c>
      <c r="X46" s="1552"/>
      <c r="Y46" s="3581"/>
      <c r="Z46" s="1560">
        <f t="shared" si="15"/>
        <v>111</v>
      </c>
      <c r="AA46" s="1561">
        <f t="shared" si="3"/>
        <v>1</v>
      </c>
      <c r="AB46" s="1561">
        <f t="shared" si="4"/>
        <v>1</v>
      </c>
      <c r="AC46" s="1561">
        <f t="shared" si="5"/>
        <v>1</v>
      </c>
    </row>
    <row r="47" spans="1:29" ht="15">
      <c r="A47" s="607" t="s">
        <v>736</v>
      </c>
      <c r="B47" s="887"/>
      <c r="C47" s="2586" t="s">
        <v>1</v>
      </c>
      <c r="D47" s="2587"/>
      <c r="E47" s="2588">
        <v>31481</v>
      </c>
      <c r="F47" s="2589"/>
      <c r="G47" s="2590">
        <v>33750</v>
      </c>
      <c r="H47" s="2591"/>
      <c r="I47" s="2588">
        <v>36000</v>
      </c>
      <c r="J47" s="2591"/>
      <c r="K47" s="1595"/>
      <c r="L47" s="2126"/>
      <c r="M47" s="2127"/>
      <c r="N47" s="2116"/>
      <c r="O47" s="2127"/>
      <c r="P47" s="3497" t="str">
        <f>A47</f>
        <v>成交单价（元/平方米）</v>
      </c>
      <c r="Q47" s="3497"/>
      <c r="R47" s="3580">
        <f>E47</f>
        <v>31481</v>
      </c>
      <c r="S47" s="3580"/>
      <c r="T47" s="3580">
        <f>G47</f>
        <v>33750</v>
      </c>
      <c r="U47" s="3580"/>
      <c r="V47" s="3580">
        <f>I47</f>
        <v>36000</v>
      </c>
      <c r="W47" s="3580"/>
      <c r="X47" s="1544"/>
      <c r="Y47" s="1566"/>
      <c r="Z47" s="1544"/>
      <c r="AA47" s="1544"/>
      <c r="AB47" s="1544"/>
      <c r="AC47" s="1544"/>
    </row>
    <row r="48" spans="1:29" ht="15.75" thickBot="1">
      <c r="A48" s="615" t="s">
        <v>2756</v>
      </c>
      <c r="B48" s="888"/>
      <c r="C48" s="2592">
        <f>R49</f>
        <v>28429</v>
      </c>
      <c r="D48" s="2593"/>
      <c r="E48" s="2594">
        <f>R48</f>
        <v>26662</v>
      </c>
      <c r="F48" s="2594"/>
      <c r="G48" s="2592">
        <f>T48</f>
        <v>27222</v>
      </c>
      <c r="H48" s="2593"/>
      <c r="I48" s="2594">
        <f>V48</f>
        <v>31403</v>
      </c>
      <c r="J48" s="2593"/>
      <c r="K48" s="1596"/>
      <c r="L48" s="2126"/>
      <c r="M48" s="2127"/>
      <c r="N48" s="2116"/>
      <c r="O48" s="2127"/>
      <c r="P48" s="3497" t="str">
        <f>A48</f>
        <v>比较价格（元/平方米）</v>
      </c>
      <c r="Q48" s="3497"/>
      <c r="R48" s="3580">
        <f>IF(F1="售价",ROUND(PRODUCT(R47,AA7:AA46),0),ROUND(PRODUCT(R47,AA7:AA46),1))</f>
        <v>26662</v>
      </c>
      <c r="S48" s="3580"/>
      <c r="T48" s="3580">
        <f>IF(F1="售价",ROUND(PRODUCT(T47,AB7:AB46),0),ROUND(PRODUCT(T47,AB7:AB46),1))</f>
        <v>27222</v>
      </c>
      <c r="U48" s="3580"/>
      <c r="V48" s="3580">
        <f>IF(F1="售价",ROUND(PRODUCT(V47,AC7:AC46),0),ROUND(PRODUCT(V47,AC7:AC46),1))</f>
        <v>31403</v>
      </c>
      <c r="W48" s="3580"/>
      <c r="X48" s="1544"/>
      <c r="Y48" s="1544"/>
      <c r="Z48" s="1544"/>
      <c r="AA48" s="1544"/>
      <c r="AB48" s="1544"/>
      <c r="AC48" s="1544"/>
    </row>
    <row r="49" spans="1:29" ht="15.75" thickBot="1">
      <c r="A49" s="621" t="s">
        <v>2926</v>
      </c>
      <c r="B49" s="622"/>
      <c r="C49" s="2595">
        <f>R49</f>
        <v>28429</v>
      </c>
      <c r="D49" s="2595"/>
      <c r="E49" s="2595"/>
      <c r="F49" s="2595"/>
      <c r="G49" s="2595"/>
      <c r="H49" s="2595"/>
      <c r="I49" s="2595"/>
      <c r="J49" s="2595"/>
      <c r="K49" s="1597"/>
      <c r="L49" s="2126"/>
      <c r="M49" s="2127"/>
      <c r="N49" s="2116"/>
      <c r="O49" s="2127"/>
      <c r="P49" s="3518" t="str">
        <f>A49</f>
        <v>估价对象XX用房的比较价格（楼面单价，元/平方米）</v>
      </c>
      <c r="Q49" s="3519"/>
      <c r="R49" s="3579">
        <f>IF(F1="售价",ROUND(AVERAGE(R48:V48),0),ROUND(AVERAGE(R48:V48),1))</f>
        <v>28429</v>
      </c>
      <c r="S49" s="3579"/>
      <c r="T49" s="3579"/>
      <c r="U49" s="3579"/>
      <c r="V49" s="3579"/>
      <c r="W49" s="3579"/>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0.18074413022278901</v>
      </c>
      <c r="F52" s="627" t="str">
        <f>IF(OR(E52&gt;=0.3,E52&lt;=-0.3),"超过30%","")</f>
        <v/>
      </c>
      <c r="G52" s="626">
        <f>IF(G47&lt;G48,G48/G47-1,G47/G48-1)</f>
        <v>0.23980603923297328</v>
      </c>
      <c r="H52" s="627" t="str">
        <f>IF(OR(G52&gt;=0.3,G52&lt;=-0.3),"超过30%","")</f>
        <v/>
      </c>
      <c r="I52" s="626">
        <f>IF(I47&lt;I48,I48/I47-1,I47/I48-1)</f>
        <v>0.14638728783874155</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2.1003675643237463E-2</v>
      </c>
      <c r="F53" s="627" t="str">
        <f>IF(OR(E53&gt;=0.2,E53&lt;=-0.2),"超过20%","")</f>
        <v/>
      </c>
      <c r="G53" s="626">
        <f>IF(G48&lt;I48,I48/G48-1,G48/I48-1)</f>
        <v>0.15358900888986859</v>
      </c>
      <c r="H53" s="627" t="str">
        <f>IF(OR(G53&gt;=0.2,G53&lt;=-0.2),"超过20%","")</f>
        <v/>
      </c>
      <c r="I53" s="626">
        <f>IF(I48&lt;E48,E48/I48-1,I48/E48-1)</f>
        <v>0.17781861825819512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7.2075219973952498E-2</v>
      </c>
      <c r="F54" s="627" t="str">
        <f>IF(OR(E54&gt;=0.3,E54&lt;=-0.3),"超过30%","")</f>
        <v/>
      </c>
      <c r="G54" s="626">
        <f>IF(G47&lt;I47,I47/G47-1,G47/I47-1)</f>
        <v>6.6666666666666652E-2</v>
      </c>
      <c r="H54" s="627" t="str">
        <f>IF(OR(G54&gt;=0.3,G54&lt;=-0.3),"超过30%","")</f>
        <v/>
      </c>
      <c r="I54" s="626">
        <f>IF(I47&lt;E47,E47/I47-1,I47/E47-1)</f>
        <v>0.14354690130554948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2"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t="str">
        <f>C9</f>
        <v>商业</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v>100</v>
      </c>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3187" t="s">
        <v>3429</v>
      </c>
      <c r="D86" s="3187" t="s">
        <v>3430</v>
      </c>
      <c r="E86" s="3187" t="s">
        <v>3431</v>
      </c>
      <c r="F86" s="3187" t="s">
        <v>3432</v>
      </c>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3187" t="s">
        <v>3433</v>
      </c>
      <c r="D88" s="3187" t="s">
        <v>3434</v>
      </c>
      <c r="E88" s="3187" t="s">
        <v>3435</v>
      </c>
      <c r="F88" s="3274" t="s">
        <v>3436</v>
      </c>
      <c r="G88" s="3187" t="s">
        <v>3437</v>
      </c>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v>100</v>
      </c>
      <c r="D89" s="671">
        <v>98</v>
      </c>
      <c r="E89" s="692">
        <v>96</v>
      </c>
      <c r="F89" s="671">
        <v>94</v>
      </c>
      <c r="G89" s="692">
        <v>92</v>
      </c>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3187" t="s">
        <v>3433</v>
      </c>
      <c r="D90" s="3187" t="s">
        <v>3434</v>
      </c>
      <c r="E90" s="3187" t="s">
        <v>3435</v>
      </c>
      <c r="F90" s="3274" t="s">
        <v>3436</v>
      </c>
      <c r="G90" s="3187" t="s">
        <v>3437</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t="s">
        <v>3438</v>
      </c>
      <c r="D92" s="688" t="s">
        <v>3439</v>
      </c>
      <c r="E92" s="688" t="s">
        <v>3440</v>
      </c>
      <c r="F92" s="688" t="s">
        <v>3441</v>
      </c>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v>100</v>
      </c>
      <c r="D93" s="671">
        <v>70</v>
      </c>
      <c r="E93" s="671">
        <v>60</v>
      </c>
      <c r="F93" s="671">
        <v>50</v>
      </c>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3186" t="s">
        <v>3442</v>
      </c>
      <c r="D100" s="3186" t="s">
        <v>3443</v>
      </c>
      <c r="E100" s="3186" t="s">
        <v>3445</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v>
      </c>
      <c r="E103" s="730">
        <v>100</v>
      </c>
      <c r="F103" s="730">
        <v>150</v>
      </c>
      <c r="G103" s="730">
        <v>200</v>
      </c>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98</v>
      </c>
      <c r="E104" s="692">
        <v>96</v>
      </c>
      <c r="F104" s="671">
        <v>94</v>
      </c>
      <c r="G104" s="692">
        <v>92</v>
      </c>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3446</v>
      </c>
      <c r="D105" s="3187" t="s">
        <v>3447</v>
      </c>
      <c r="E105" s="3188" t="s">
        <v>3448</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3187" t="s">
        <v>3449</v>
      </c>
      <c r="D107" s="3187" t="s">
        <v>3450</v>
      </c>
      <c r="E107" s="3187" t="s">
        <v>3451</v>
      </c>
      <c r="F107" s="3188" t="s">
        <v>3452</v>
      </c>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3187" t="s">
        <v>3453</v>
      </c>
      <c r="D112" s="3187" t="s">
        <v>3454</v>
      </c>
      <c r="E112" s="3187" t="s">
        <v>3455</v>
      </c>
      <c r="F112" s="3187" t="s">
        <v>3456</v>
      </c>
      <c r="G112" s="3187" t="s">
        <v>3457</v>
      </c>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3187" t="s">
        <v>3458</v>
      </c>
      <c r="D114" s="3187" t="s">
        <v>3459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3187" t="s">
        <v>3460</v>
      </c>
      <c r="D116" s="3187" t="s">
        <v>3461</v>
      </c>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3188" t="s">
        <v>3462</v>
      </c>
      <c r="D120" s="3188" t="s">
        <v>3463</v>
      </c>
      <c r="E120" s="3188" t="s">
        <v>3464</v>
      </c>
      <c r="F120" s="3188" t="s">
        <v>3465</v>
      </c>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3449</v>
      </c>
      <c r="D122" s="3187" t="s">
        <v>3450</v>
      </c>
      <c r="E122" s="3187" t="s">
        <v>3451</v>
      </c>
      <c r="F122" s="3188" t="s">
        <v>3452</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80">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3503</v>
      </c>
      <c r="D1" s="3068" t="s">
        <v>3421</v>
      </c>
      <c r="E1" s="2346" t="s">
        <v>869</v>
      </c>
      <c r="F1" s="2347">
        <f ca="1">J53</f>
        <v>32.409999999999997</v>
      </c>
      <c r="G1" s="774">
        <f>MATCH(C1,'数据-取费表'!A6:A16,0)+5</f>
        <v>8</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222283</v>
      </c>
      <c r="C2" s="2039"/>
      <c r="D2" s="2037"/>
      <c r="E2" s="2038"/>
      <c r="F2" s="2038"/>
      <c r="G2" s="1575"/>
      <c r="H2" s="2039"/>
      <c r="I2" s="2039"/>
      <c r="J2" s="2039"/>
      <c r="K2" s="2040"/>
      <c r="L2" s="2039"/>
      <c r="M2" s="2039"/>
    </row>
    <row r="3" spans="1:33" ht="18" customHeight="1" thickBot="1">
      <c r="A3" s="833" t="s">
        <v>519</v>
      </c>
      <c r="B3" s="834">
        <f ca="1">IF(ISERROR(B2*10000/F43),0,ROUND(B2*10000/F43,0))</f>
        <v>17871</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6137</v>
      </c>
      <c r="D5" s="2455" t="s">
        <v>2458</v>
      </c>
      <c r="E5" s="2449"/>
      <c r="F5" s="2450"/>
      <c r="G5" s="1577"/>
      <c r="H5" s="781">
        <v>1</v>
      </c>
      <c r="I5" s="782" t="s">
        <v>2455</v>
      </c>
      <c r="J5" s="55">
        <f ca="1">J6+J10+J12</f>
        <v>0</v>
      </c>
      <c r="K5" s="2455" t="s">
        <v>2458</v>
      </c>
      <c r="L5" s="2449"/>
      <c r="M5" s="2450"/>
    </row>
    <row r="6" spans="1:33" ht="18" customHeight="1">
      <c r="A6" s="1812" t="s">
        <v>1823</v>
      </c>
      <c r="B6" s="3571" t="s">
        <v>2460</v>
      </c>
      <c r="C6" s="783">
        <f ca="1">ROUND(F6*F8*F7*(1-F9)/10000,0)</f>
        <v>6129</v>
      </c>
      <c r="D6" s="2456" t="s">
        <v>2459</v>
      </c>
      <c r="E6" s="784" t="s">
        <v>637</v>
      </c>
      <c r="F6" s="785">
        <f ca="1">INDIRECT("'数据-取费表'!u"&amp;$G$1)</f>
        <v>1.5</v>
      </c>
      <c r="G6" s="1577"/>
      <c r="H6" s="2463" t="s">
        <v>1823</v>
      </c>
      <c r="I6" s="3571" t="s">
        <v>2460</v>
      </c>
      <c r="J6" s="783">
        <f ca="1">ROUND(M6*M8*M7*(1-M9)/10000,0)</f>
        <v>0</v>
      </c>
      <c r="K6" s="341" t="s">
        <v>636</v>
      </c>
      <c r="L6" s="784" t="s">
        <v>637</v>
      </c>
      <c r="M6" s="785">
        <f ca="1">INDIRECT("'数据-取费表'!z"&amp;$G$1)</f>
        <v>0</v>
      </c>
    </row>
    <row r="7" spans="1:33" ht="18" customHeight="1">
      <c r="A7" s="2459"/>
      <c r="B7" s="3572"/>
      <c r="C7" s="788"/>
      <c r="D7" s="789"/>
      <c r="E7" s="784" t="s">
        <v>638</v>
      </c>
      <c r="F7" s="785">
        <f ca="1">IF(INDIRECT("'数据-取费表'!ah"&amp;$G$1)="",INDIRECT("'数据-取费表'!k"&amp;$G$1),INDIRECT("'数据-取费表'!ah"&amp;$G$1))</f>
        <v>124382</v>
      </c>
      <c r="G7" s="1577"/>
      <c r="H7" s="2448"/>
      <c r="I7" s="3572"/>
      <c r="J7" s="788"/>
      <c r="K7" s="789"/>
      <c r="L7" s="784" t="s">
        <v>638</v>
      </c>
      <c r="M7" s="785">
        <f ca="1">F7</f>
        <v>124382</v>
      </c>
    </row>
    <row r="8" spans="1:33" ht="18" customHeight="1">
      <c r="A8" s="2452"/>
      <c r="B8" s="3573"/>
      <c r="C8" s="788"/>
      <c r="D8" s="789"/>
      <c r="E8" s="784" t="s">
        <v>639</v>
      </c>
      <c r="F8" s="785">
        <f ca="1">INDIRECT("'数据-取费表'!ai"&amp;$G$1)</f>
        <v>365</v>
      </c>
      <c r="G8" s="1577"/>
      <c r="H8" s="2448"/>
      <c r="I8" s="3573"/>
      <c r="J8" s="788"/>
      <c r="K8" s="789"/>
      <c r="L8" s="784" t="s">
        <v>639</v>
      </c>
      <c r="M8" s="785">
        <f ca="1">INDIRECT("'数据-取费表'!ai"&amp;$G$1)</f>
        <v>365</v>
      </c>
    </row>
    <row r="9" spans="1:33" ht="18" customHeight="1">
      <c r="A9" s="786"/>
      <c r="B9" s="3574"/>
      <c r="C9" s="788"/>
      <c r="D9" s="789"/>
      <c r="E9" s="784" t="s">
        <v>640</v>
      </c>
      <c r="F9" s="794">
        <f ca="1">INDIRECT("'数据-取费表'!w"&amp;$G$1)</f>
        <v>0.1</v>
      </c>
      <c r="G9" s="1577"/>
      <c r="H9" s="2464"/>
      <c r="I9" s="3573"/>
      <c r="J9" s="788"/>
      <c r="K9" s="789"/>
      <c r="L9" s="795" t="s">
        <v>640</v>
      </c>
      <c r="M9" s="796">
        <f ca="1">INDIRECT("'数据-取费表'!ab"&amp;$G$1)</f>
        <v>0</v>
      </c>
    </row>
    <row r="10" spans="1:33" ht="18" customHeight="1">
      <c r="A10" s="1812" t="s">
        <v>1824</v>
      </c>
      <c r="B10" s="2453" t="s">
        <v>2456</v>
      </c>
      <c r="C10" s="799">
        <f ca="1">ROUND(IF(F10="押一",C6/12*F11,IF(F10="押二",C6/12*2*F11,IF(F10="押三",C6/12*3*F11,C11*F11))),0)</f>
        <v>8</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51234</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36279</v>
      </c>
      <c r="D14" s="3270" t="s">
        <v>1744</v>
      </c>
      <c r="E14" s="3269"/>
      <c r="F14" s="805"/>
      <c r="G14" s="1577"/>
      <c r="H14" s="1633" t="s">
        <v>1823</v>
      </c>
      <c r="I14" s="2213" t="s">
        <v>2821</v>
      </c>
      <c r="J14" s="53">
        <f ca="1">C29</f>
        <v>51234</v>
      </c>
      <c r="K14" s="26"/>
      <c r="L14" s="801"/>
      <c r="M14" s="802"/>
    </row>
    <row r="15" spans="1:33" s="2046" customFormat="1" ht="18" customHeight="1" thickBot="1">
      <c r="A15" s="1632" t="s">
        <v>1831</v>
      </c>
      <c r="B15" s="784" t="s">
        <v>647</v>
      </c>
      <c r="C15" s="53">
        <f ca="1">ROUND(C14*F15,0)</f>
        <v>1088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1741</v>
      </c>
      <c r="D16" s="784" t="s">
        <v>648</v>
      </c>
      <c r="E16" s="784" t="s">
        <v>649</v>
      </c>
      <c r="F16" s="809">
        <f ca="1">IF(INDIRECT("'数据-取费表'!c"&amp;$G$1)="住宅",'数据-取费表'!B34,0)</f>
        <v>0.05</v>
      </c>
      <c r="G16" s="1577"/>
      <c r="H16" s="1811" t="s">
        <v>1747</v>
      </c>
      <c r="I16" s="1809" t="s">
        <v>651</v>
      </c>
      <c r="J16" s="792">
        <f ca="1">ROUND(J17+J22+J23+J24,0)</f>
        <v>5088</v>
      </c>
      <c r="K16" s="1803" t="s">
        <v>1749</v>
      </c>
      <c r="L16" s="3272"/>
      <c r="M16" s="2450"/>
    </row>
    <row r="17" spans="1:33" s="2046" customFormat="1" ht="18" customHeight="1">
      <c r="A17" s="1632" t="s">
        <v>1886</v>
      </c>
      <c r="B17" s="784" t="s">
        <v>653</v>
      </c>
      <c r="C17" s="53">
        <f ca="1">ROUND(F17*(F43+INDIRECT("'数据-取费表'!S"&amp;$G$1))/10000,0)</f>
        <v>1975</v>
      </c>
      <c r="D17" s="784" t="s">
        <v>654</v>
      </c>
      <c r="E17" s="784" t="s">
        <v>1751</v>
      </c>
      <c r="F17" s="56">
        <f>'数据-取费表'!B35</f>
        <v>150</v>
      </c>
      <c r="G17" s="1578"/>
      <c r="H17" s="1633" t="s">
        <v>1823</v>
      </c>
      <c r="I17" s="784" t="s">
        <v>656</v>
      </c>
      <c r="J17" s="53">
        <f ca="1">ROUND(IF(项目基本情况!B11="自然人",J5*M17,J18+J19+J20),0)</f>
        <v>4319</v>
      </c>
      <c r="K17" s="3270" t="s">
        <v>1752</v>
      </c>
      <c r="L17" s="3271"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544</v>
      </c>
      <c r="D18" s="784" t="s">
        <v>648</v>
      </c>
      <c r="E18" s="784" t="s">
        <v>649</v>
      </c>
      <c r="F18" s="809">
        <f>'数据-取费表'!B36</f>
        <v>1.4999999999999999E-2</v>
      </c>
      <c r="G18" s="1578"/>
      <c r="H18" s="1632" t="s">
        <v>1830</v>
      </c>
      <c r="I18" s="784" t="s">
        <v>1754</v>
      </c>
      <c r="J18" s="53">
        <f ca="1">ROUND(J5*M18/1.05,1)</f>
        <v>0</v>
      </c>
      <c r="K18" s="3271"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41627</v>
      </c>
      <c r="D19" s="261" t="s">
        <v>663</v>
      </c>
      <c r="E19" s="3273"/>
      <c r="F19" s="56"/>
      <c r="G19" s="1577"/>
      <c r="H19" s="1632" t="s">
        <v>1831</v>
      </c>
      <c r="I19" s="784" t="s">
        <v>664</v>
      </c>
      <c r="J19" s="53">
        <f ca="1">IF(K19="按租金收入计税",ROUND(J5*M19,1),ROUND(C29*F33*0.7,1))</f>
        <v>4303.7</v>
      </c>
      <c r="K19" s="811" t="s">
        <v>665</v>
      </c>
      <c r="L19" s="784" t="s">
        <v>649</v>
      </c>
      <c r="M19" s="809">
        <f>IF(K19="按租金收入计税",'数据-取费表'!B51,'数据-取费表'!B50)</f>
        <v>1.2E-2</v>
      </c>
    </row>
    <row r="20" spans="1:33" s="2046" customFormat="1" ht="18" customHeight="1">
      <c r="A20" s="1633" t="s">
        <v>1888</v>
      </c>
      <c r="B20" s="784" t="s">
        <v>666</v>
      </c>
      <c r="C20" s="53">
        <f ca="1">ROUND(C19*F20,0)</f>
        <v>833</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7629.0599999999995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73"/>
      <c r="F22" s="56"/>
      <c r="G22" s="1577"/>
      <c r="H22" s="1633" t="s">
        <v>1888</v>
      </c>
      <c r="I22" s="784" t="s">
        <v>676</v>
      </c>
      <c r="J22" s="53">
        <f ca="1">ROUND(J14*M22,0)</f>
        <v>769</v>
      </c>
      <c r="K22" s="3271"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1504</v>
      </c>
      <c r="D23" s="2530" t="str">
        <f>IF(F23&lt;=1,"(建造成本+管理费用)×利率×(建设周期÷2)","(建造成本+管理费用)×((1+利率)^(建设周期÷2)-1)")</f>
        <v>(建造成本+管理费用)×((1+利率)^(建设周期÷2)-1)</v>
      </c>
      <c r="E23" s="784" t="s">
        <v>678</v>
      </c>
      <c r="F23" s="640">
        <f>'数据-取费表'!B20</f>
        <v>1.5</v>
      </c>
      <c r="G23" s="1578"/>
      <c r="H23" s="1633" t="s">
        <v>1889</v>
      </c>
      <c r="I23" s="784" t="s">
        <v>679</v>
      </c>
      <c r="J23" s="53">
        <f ca="1">ROUND(J13*M23,0)</f>
        <v>0</v>
      </c>
      <c r="K23" s="3271"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73"/>
      <c r="F25" s="56"/>
      <c r="G25" s="1577"/>
      <c r="H25" s="1811" t="s">
        <v>1775</v>
      </c>
      <c r="I25" s="2956" t="s">
        <v>2818</v>
      </c>
      <c r="J25" s="792">
        <f ca="1">J5-J16</f>
        <v>-5088</v>
      </c>
      <c r="K25" s="2507" t="s">
        <v>1776</v>
      </c>
      <c r="L25" s="2508"/>
      <c r="M25" s="2509"/>
    </row>
    <row r="26" spans="1:33" ht="18" customHeight="1">
      <c r="A26" s="1632" t="s">
        <v>1830</v>
      </c>
      <c r="B26" s="784" t="s">
        <v>2435</v>
      </c>
      <c r="C26" s="53">
        <f ca="1">ROUND((C19+C20)*F26,0)</f>
        <v>3397</v>
      </c>
      <c r="D26" s="812" t="s">
        <v>1777</v>
      </c>
      <c r="E26" s="795" t="s">
        <v>702</v>
      </c>
      <c r="F26" s="794">
        <f ca="1">INDIRECT("'数据-取费表'!q"&amp;$G$1)</f>
        <v>0.08</v>
      </c>
      <c r="G26" s="1577"/>
      <c r="H26" s="2461" t="s">
        <v>1779</v>
      </c>
      <c r="I26" s="2214" t="s">
        <v>2823</v>
      </c>
      <c r="J26" s="783">
        <f ca="1">IF(J5&lt;&gt;0,ROUND(J25*(1-((1+M28)/(1+M26))^M27)/(M26-M28),0),0)</f>
        <v>0</v>
      </c>
      <c r="K26" s="814" t="s">
        <v>704</v>
      </c>
      <c r="L26" s="784" t="s">
        <v>2416</v>
      </c>
      <c r="M26" s="794">
        <f ca="1">INDIRECT("'数据-取费表'!I"&amp;$G$1)</f>
        <v>0</v>
      </c>
    </row>
    <row r="27" spans="1:33" ht="18" customHeight="1">
      <c r="A27" s="1632" t="s">
        <v>1831</v>
      </c>
      <c r="B27" s="784" t="s">
        <v>686</v>
      </c>
      <c r="C27" s="53">
        <f ca="1">ROUND(F21*F26,4)</f>
        <v>1.6000000000000001E-3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51234</v>
      </c>
      <c r="D29" s="2504"/>
      <c r="E29" s="2505"/>
      <c r="F29" s="2506"/>
      <c r="G29" s="1578"/>
      <c r="H29" s="823" t="s">
        <v>1786</v>
      </c>
      <c r="I29" s="824" t="s">
        <v>1787</v>
      </c>
      <c r="J29" s="825">
        <f ca="1">ROUND(J26/(1+F40)^F41,0)</f>
        <v>0</v>
      </c>
      <c r="K29" s="826" t="s">
        <v>1788</v>
      </c>
      <c r="L29" s="827"/>
      <c r="M29" s="828">
        <f ca="1">INDIRECT("'数据-取费表'!k"&amp;$G$1)</f>
        <v>124382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1986</v>
      </c>
      <c r="D30" s="1803" t="s">
        <v>1749</v>
      </c>
      <c r="E30" s="3272"/>
      <c r="F30" s="2450"/>
      <c r="G30" s="2044"/>
      <c r="H30" s="2047"/>
      <c r="I30" s="2048"/>
      <c r="J30" s="2049"/>
      <c r="K30" s="2050"/>
      <c r="L30" s="2051"/>
      <c r="M30" s="2052"/>
    </row>
    <row r="31" spans="1:33" ht="18" customHeight="1">
      <c r="A31" s="1633" t="s">
        <v>1823</v>
      </c>
      <c r="B31" s="784" t="s">
        <v>656</v>
      </c>
      <c r="C31" s="53">
        <f ca="1">ROUND(IF(项目基本情况!B11="自然人",C5*F31,C32+C33+C34),1)</f>
        <v>1079</v>
      </c>
      <c r="D31" s="3270" t="s">
        <v>1752</v>
      </c>
      <c r="E31" s="3271"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327.3</v>
      </c>
      <c r="D32" s="3271"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736.4</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15.3</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7629.0599999999995</v>
      </c>
      <c r="G35" s="2044"/>
      <c r="H35" s="2047"/>
      <c r="I35" s="837" t="s">
        <v>1813</v>
      </c>
      <c r="J35" s="838">
        <f ca="1">ROUND(C13*J36,0)</f>
        <v>0</v>
      </c>
      <c r="K35" s="2060"/>
      <c r="L35" s="2059"/>
      <c r="M35" s="2059"/>
    </row>
    <row r="36" spans="1:18" ht="18" customHeight="1">
      <c r="A36" s="1633" t="s">
        <v>1888</v>
      </c>
      <c r="B36" s="784" t="s">
        <v>676</v>
      </c>
      <c r="C36" s="53">
        <f ca="1">ROUND(C29*F36,1)</f>
        <v>768.5</v>
      </c>
      <c r="D36" s="3271" t="s">
        <v>691</v>
      </c>
      <c r="E36" s="784" t="s">
        <v>649</v>
      </c>
      <c r="F36" s="817">
        <f ca="1">INDIRECT("'数据-取费表'!Ak"&amp;$G$1)</f>
        <v>1.4999999999999999E-2</v>
      </c>
      <c r="G36" s="2044"/>
      <c r="H36" s="2059"/>
      <c r="I36" s="839" t="s">
        <v>1814</v>
      </c>
      <c r="J36" s="840">
        <f ca="1">INDIRECT("'数据-取费表'!j"&amp;$G$1)</f>
        <v>0</v>
      </c>
      <c r="K36" s="2064"/>
      <c r="L36" s="2059"/>
      <c r="M36" s="2059"/>
    </row>
    <row r="37" spans="1:18" ht="18" customHeight="1">
      <c r="A37" s="1633" t="s">
        <v>1889</v>
      </c>
      <c r="B37" s="784" t="s">
        <v>679</v>
      </c>
      <c r="C37" s="53">
        <f ca="1">ROUND(C13*F37,1)</f>
        <v>76.900000000000006</v>
      </c>
      <c r="D37" s="3271"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61.4</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4151</v>
      </c>
      <c r="D39" s="2507" t="s">
        <v>1776</v>
      </c>
      <c r="E39" s="2508"/>
      <c r="F39" s="2509"/>
      <c r="G39" s="2044"/>
      <c r="H39" s="2059"/>
      <c r="I39" s="837" t="s">
        <v>1817</v>
      </c>
      <c r="J39" s="845">
        <f ca="1">ROUND(J35/C39,3)</f>
        <v>0</v>
      </c>
      <c r="K39" s="2065"/>
      <c r="L39" s="2059"/>
      <c r="M39" s="2059"/>
    </row>
    <row r="40" spans="1:18" ht="18" customHeight="1">
      <c r="A40" s="781" t="s">
        <v>1779</v>
      </c>
      <c r="B40" s="2214" t="s">
        <v>2298</v>
      </c>
      <c r="C40" s="783">
        <f ca="1">ROUND(C39*(1-((1+F42)/(1+F40))^F41)/(F40-F42),0)</f>
        <v>222283</v>
      </c>
      <c r="D40" s="814" t="s">
        <v>704</v>
      </c>
      <c r="E40" s="784" t="s">
        <v>2416</v>
      </c>
      <c r="F40" s="794">
        <f ca="1">INDIRECT("'数据-取费表'!I"&amp;$G$1)</f>
        <v>0</v>
      </c>
      <c r="G40" s="2044"/>
      <c r="H40" s="2044"/>
      <c r="I40" s="837" t="s">
        <v>1818</v>
      </c>
      <c r="J40" s="845">
        <f ca="1">1-J39</f>
        <v>1</v>
      </c>
      <c r="K40" s="2065"/>
      <c r="L40" s="2044"/>
      <c r="M40" s="2044"/>
    </row>
    <row r="41" spans="1:18" ht="18" customHeight="1">
      <c r="A41" s="786"/>
      <c r="B41" s="787"/>
      <c r="C41" s="788"/>
      <c r="D41" s="821" t="s">
        <v>1807</v>
      </c>
      <c r="E41" s="784" t="s">
        <v>708</v>
      </c>
      <c r="F41" s="822">
        <f ca="1">IF(INDIRECT("'数据-取费表'!af"&amp;$G$1)=0,INDIRECT("'数据-取费表'!ae"&amp;$G$1),INDIRECT("'数据-取费表'!af"&amp;$G$1))</f>
        <v>32.409999999999997</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0.23</v>
      </c>
      <c r="K42" s="2064"/>
      <c r="L42" s="1970"/>
      <c r="M42" s="1970"/>
    </row>
    <row r="43" spans="1:18" ht="18" customHeight="1" thickBot="1">
      <c r="A43" s="823" t="s">
        <v>1786</v>
      </c>
      <c r="B43" s="824" t="s">
        <v>1809</v>
      </c>
      <c r="C43" s="825">
        <f ca="1">ROUND(C40*10000/F43,0)</f>
        <v>17871</v>
      </c>
      <c r="D43" s="826" t="s">
        <v>1810</v>
      </c>
      <c r="E43" s="827" t="s">
        <v>1811</v>
      </c>
      <c r="F43" s="828">
        <f ca="1">INDIRECT("'数据-取费表'!k"&amp;$G$1)</f>
        <v>124382</v>
      </c>
      <c r="G43" s="2044"/>
      <c r="H43" s="1970"/>
      <c r="I43" s="847" t="s">
        <v>1821</v>
      </c>
      <c r="J43" s="848">
        <f ca="1">1-J42</f>
        <v>0.77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t="e">
        <f ca="1">C67-C40</f>
        <v>#DIV/0!</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50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33.909999999999997</v>
      </c>
      <c r="O48" s="2357" t="s">
        <v>2376</v>
      </c>
      <c r="P48" s="2358" t="s">
        <v>2402</v>
      </c>
      <c r="Q48" s="2359">
        <f ca="1">C40+J29</f>
        <v>222283</v>
      </c>
      <c r="R48" s="2358" t="s">
        <v>2377</v>
      </c>
    </row>
    <row r="49" spans="1:18" s="2041" customFormat="1" ht="18" customHeight="1" thickBot="1">
      <c r="A49" s="786"/>
      <c r="B49" s="787"/>
      <c r="C49" s="788"/>
      <c r="D49" s="789"/>
      <c r="E49" s="784" t="s">
        <v>638</v>
      </c>
      <c r="F49" s="785">
        <f ca="1">F7</f>
        <v>124382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51234</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140760</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32.409999999999997</v>
      </c>
      <c r="K53" s="3582" t="s">
        <v>2957</v>
      </c>
      <c r="L53" s="3583"/>
      <c r="O53" s="2360" t="s">
        <v>2385</v>
      </c>
      <c r="P53" s="2358" t="s">
        <v>2386</v>
      </c>
      <c r="Q53" s="2359">
        <f ca="1">J53</f>
        <v>32.409999999999997</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222283</v>
      </c>
      <c r="R54" s="2362" t="s">
        <v>2389</v>
      </c>
    </row>
    <row r="55" spans="1:18" s="2041" customFormat="1" ht="18" customHeight="1" thickTop="1" thickBot="1">
      <c r="A55" s="797">
        <v>2</v>
      </c>
      <c r="B55" s="798" t="s">
        <v>644</v>
      </c>
      <c r="C55" s="799">
        <f ca="1">C13</f>
        <v>51234</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51234</v>
      </c>
      <c r="D56" s="3271"/>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861</v>
      </c>
      <c r="D57" s="26" t="s">
        <v>1749</v>
      </c>
      <c r="E57" s="3273"/>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222283</v>
      </c>
      <c r="R57" s="2358" t="s">
        <v>2377</v>
      </c>
    </row>
    <row r="58" spans="1:18" s="2041" customFormat="1" ht="28.5" customHeight="1" thickBot="1">
      <c r="A58" s="1633" t="s">
        <v>1823</v>
      </c>
      <c r="B58" s="784" t="s">
        <v>656</v>
      </c>
      <c r="C58" s="53">
        <f ca="1">ROUND(IF(项目基本情况!B11="自然人",C47*F58,C59+C60+C61),1)</f>
        <v>15.3</v>
      </c>
      <c r="D58" s="3270" t="s">
        <v>657</v>
      </c>
      <c r="E58" s="3271"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71"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71"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15.3</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7629.0599999999995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768.5</v>
      </c>
      <c r="D63" s="3271" t="s">
        <v>691</v>
      </c>
      <c r="E63" s="784" t="s">
        <v>649</v>
      </c>
      <c r="F63" s="817">
        <f t="shared" ca="1" si="0"/>
        <v>1.4999999999999999E-2</v>
      </c>
      <c r="I63" s="3113" t="s">
        <v>2367</v>
      </c>
      <c r="J63" s="3114">
        <v>70</v>
      </c>
      <c r="K63" s="3114">
        <v>50</v>
      </c>
      <c r="L63" s="3114">
        <v>80</v>
      </c>
      <c r="M63" s="3116">
        <v>0.02</v>
      </c>
      <c r="O63" s="2357" t="s">
        <v>2388</v>
      </c>
      <c r="P63" s="2358" t="s">
        <v>2405</v>
      </c>
      <c r="Q63" s="2359">
        <f ca="1">Q57+Q58</f>
        <v>222283</v>
      </c>
      <c r="R63" s="2362" t="s">
        <v>2389</v>
      </c>
    </row>
    <row r="64" spans="1:18" s="2041" customFormat="1" ht="16.5" thickBot="1">
      <c r="A64" s="1633" t="s">
        <v>1889</v>
      </c>
      <c r="B64" s="784" t="s">
        <v>679</v>
      </c>
      <c r="C64" s="53">
        <f ca="1">ROUND(C55*F64,1)</f>
        <v>76.900000000000006</v>
      </c>
      <c r="D64" s="3271"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71"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-861</v>
      </c>
      <c r="D66" s="3270" t="s">
        <v>700</v>
      </c>
      <c r="E66" s="3268"/>
      <c r="F66" s="820"/>
      <c r="K66" s="2068"/>
      <c r="O66" s="2357" t="s">
        <v>2376</v>
      </c>
      <c r="P66" s="2358" t="s">
        <v>2402</v>
      </c>
      <c r="Q66" s="2359">
        <f ca="1">C40+J29</f>
        <v>222283</v>
      </c>
      <c r="R66" s="2358" t="s">
        <v>2377</v>
      </c>
    </row>
    <row r="67" spans="1:18" s="2041" customFormat="1" ht="20.25" thickBot="1">
      <c r="A67" s="781" t="s">
        <v>1779</v>
      </c>
      <c r="B67" s="2214" t="s">
        <v>2298</v>
      </c>
      <c r="C67" s="783" t="e">
        <f ca="1">ROUND(C66*(1-((1+F69)/(1+F67))^F68)/(F67-F69),0)</f>
        <v>#DIV/0!</v>
      </c>
      <c r="D67" s="814" t="s">
        <v>704</v>
      </c>
      <c r="E67" s="784" t="s">
        <v>705</v>
      </c>
      <c r="F67" s="794">
        <f ca="1">F40</f>
        <v>0</v>
      </c>
      <c r="K67" s="2068"/>
      <c r="O67" s="2357" t="s">
        <v>2378</v>
      </c>
      <c r="P67" s="2358" t="s">
        <v>2409</v>
      </c>
      <c r="Q67" s="2359">
        <f ca="1">L60</f>
        <v>0</v>
      </c>
      <c r="R67" s="2362" t="s">
        <v>2411</v>
      </c>
    </row>
    <row r="68" spans="1:18" ht="21.75" thickBot="1">
      <c r="A68" s="786"/>
      <c r="B68" s="787"/>
      <c r="C68" s="788"/>
      <c r="D68" s="821" t="s">
        <v>1807</v>
      </c>
      <c r="E68" s="784" t="s">
        <v>708</v>
      </c>
      <c r="F68" s="822">
        <f ca="1">F41</f>
        <v>32.409999999999997</v>
      </c>
      <c r="O68" s="2360" t="s">
        <v>2380</v>
      </c>
      <c r="P68" s="2358" t="s">
        <v>2410</v>
      </c>
      <c r="Q68" s="2364">
        <f ca="1">L51</f>
        <v>140760</v>
      </c>
      <c r="R68" s="2365" t="s">
        <v>2413</v>
      </c>
    </row>
    <row r="69" spans="1:18" ht="20.25" thickBot="1">
      <c r="A69" s="790"/>
      <c r="B69" s="791"/>
      <c r="C69" s="792"/>
      <c r="D69" s="816"/>
      <c r="E69" s="784" t="s">
        <v>710</v>
      </c>
      <c r="F69" s="2330"/>
      <c r="O69" s="2360" t="s">
        <v>2381</v>
      </c>
      <c r="P69" s="2366" t="s">
        <v>2395</v>
      </c>
      <c r="Q69" s="2359">
        <f ca="1">ROUND(Q70-Q71*Q72,0)</f>
        <v>4151</v>
      </c>
      <c r="R69" s="2362"/>
    </row>
    <row r="70" spans="1:18" ht="15.75" thickBot="1">
      <c r="A70" s="823" t="s">
        <v>1786</v>
      </c>
      <c r="B70" s="824" t="s">
        <v>1809</v>
      </c>
      <c r="C70" s="825" t="e">
        <f ca="1">ROUND(C67*10000/F70,0)</f>
        <v>#DIV/0!</v>
      </c>
      <c r="D70" s="826" t="s">
        <v>1810</v>
      </c>
      <c r="E70" s="827" t="s">
        <v>1811</v>
      </c>
      <c r="F70" s="828">
        <f ca="1">F43</f>
        <v>124382</v>
      </c>
      <c r="O70" s="2360" t="s">
        <v>2396</v>
      </c>
      <c r="P70" s="2366" t="s">
        <v>2397</v>
      </c>
      <c r="Q70" s="2359">
        <f ca="1">C39</f>
        <v>4151</v>
      </c>
      <c r="R70" s="2358" t="s">
        <v>2377</v>
      </c>
    </row>
    <row r="71" spans="1:18" ht="15.75" thickBot="1">
      <c r="O71" s="2360" t="s">
        <v>2398</v>
      </c>
      <c r="P71" s="2366" t="s">
        <v>2399</v>
      </c>
      <c r="Q71" s="2359">
        <f ca="1">C13</f>
        <v>51234</v>
      </c>
      <c r="R71" s="2358" t="s">
        <v>2377</v>
      </c>
    </row>
    <row r="72" spans="1:18" ht="15.75" thickBot="1">
      <c r="O72" s="2360" t="s">
        <v>2400</v>
      </c>
      <c r="P72" s="2366" t="s">
        <v>2401</v>
      </c>
      <c r="Q72" s="2361">
        <f ca="1">J36</f>
        <v>0</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222283</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5" customWidth="1"/>
    <col min="2" max="2" width="9.25" style="1213" customWidth="1"/>
    <col min="3" max="3" width="5" style="1213" customWidth="1"/>
    <col min="4" max="4" width="9" style="1213"/>
    <col min="5" max="5" width="6.125" style="1213" customWidth="1"/>
    <col min="6" max="6" width="10" style="1213" customWidth="1"/>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6" t="s">
        <v>2300</v>
      </c>
      <c r="C1" s="3587" t="s">
        <v>2301</v>
      </c>
      <c r="D1" s="3588"/>
      <c r="E1" s="3588"/>
      <c r="F1" s="3588"/>
      <c r="G1" s="3588"/>
      <c r="H1" s="3588"/>
      <c r="I1" s="3588"/>
      <c r="J1" s="3588"/>
      <c r="K1" s="3588"/>
      <c r="L1" s="3588"/>
      <c r="M1" s="3588"/>
      <c r="N1" s="3588"/>
      <c r="O1" s="3588"/>
      <c r="P1" s="3588"/>
      <c r="Q1" s="3588"/>
      <c r="R1" s="3588"/>
      <c r="S1" s="3589"/>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25.5">
      <c r="A2" s="2217"/>
      <c r="B2" s="949" t="s">
        <v>2303</v>
      </c>
      <c r="C2" s="950" t="str">
        <f t="shared" ref="C2:L2" si="0">C3&amp;"(含)"&amp;"-"&amp;D3</f>
        <v>0(含)-50</v>
      </c>
      <c r="D2" s="951" t="str">
        <f t="shared" si="0"/>
        <v>50(含)-100</v>
      </c>
      <c r="E2" s="951" t="str">
        <f t="shared" si="0"/>
        <v>100(含)-150</v>
      </c>
      <c r="F2" s="951" t="str">
        <f t="shared" si="0"/>
        <v>150(含)-200</v>
      </c>
      <c r="G2" s="951" t="str">
        <f t="shared" si="0"/>
        <v>200(含)-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8" t="str">
        <f>S3&amp;"(含)"&amp;"-"</f>
        <v>(含)-</v>
      </c>
      <c r="T2" s="952"/>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3"/>
      <c r="C3" s="730">
        <v>0</v>
      </c>
      <c r="D3" s="730">
        <v>50</v>
      </c>
      <c r="E3" s="730">
        <v>100</v>
      </c>
      <c r="F3" s="730">
        <v>150</v>
      </c>
      <c r="G3" s="730">
        <v>200</v>
      </c>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2">
        <v>100</v>
      </c>
      <c r="D4" s="671">
        <v>98</v>
      </c>
      <c r="E4" s="692">
        <v>96</v>
      </c>
      <c r="F4" s="671">
        <v>94</v>
      </c>
      <c r="G4" s="692">
        <v>92</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13.5" thickTop="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ht="15" customHeight="1" thickTop="1">
      <c r="A17" s="2259" t="s">
        <v>2304</v>
      </c>
      <c r="B17" s="2260" t="s">
        <v>2305</v>
      </c>
      <c r="C17" s="688" t="s">
        <v>3438</v>
      </c>
      <c r="D17" s="688" t="s">
        <v>3439</v>
      </c>
      <c r="E17" s="688" t="s">
        <v>3440</v>
      </c>
      <c r="F17" s="688" t="s">
        <v>3441</v>
      </c>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9"/>
      <c r="AS17" s="2219"/>
    </row>
    <row r="18" spans="1:45" s="1952" customFormat="1" ht="15" thickBot="1">
      <c r="A18" s="2270"/>
      <c r="B18" s="2271"/>
      <c r="C18" s="671">
        <v>100</v>
      </c>
      <c r="D18" s="671">
        <v>70</v>
      </c>
      <c r="E18" s="671">
        <v>60</v>
      </c>
      <c r="F18" s="671">
        <v>50</v>
      </c>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584" t="s">
        <v>20</v>
      </c>
      <c r="D22" s="3585"/>
      <c r="E22" s="3585"/>
      <c r="F22" s="3585"/>
      <c r="G22" s="3585"/>
      <c r="H22" s="3585"/>
      <c r="I22" s="3585"/>
      <c r="J22" s="3585"/>
      <c r="K22" s="3585"/>
      <c r="L22" s="3585"/>
      <c r="M22" s="3585"/>
      <c r="N22" s="3585"/>
      <c r="O22" s="3585"/>
      <c r="P22" s="3585"/>
      <c r="Q22" s="3586"/>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3482</v>
      </c>
      <c r="B24" s="960">
        <f>ROUND('不动产比较法-商业'!D3/2,2)</f>
        <v>0</v>
      </c>
      <c r="C24" s="961">
        <v>1</v>
      </c>
      <c r="D24" s="962"/>
      <c r="E24" s="961">
        <v>1</v>
      </c>
      <c r="F24" s="962"/>
      <c r="G24" s="961">
        <v>1</v>
      </c>
      <c r="H24" s="962"/>
      <c r="I24" s="961">
        <v>1</v>
      </c>
      <c r="J24" s="962"/>
      <c r="K24" s="961">
        <v>1</v>
      </c>
      <c r="L24" s="962"/>
      <c r="M24" s="961">
        <v>1</v>
      </c>
      <c r="N24" s="962"/>
      <c r="O24" s="961">
        <v>1</v>
      </c>
      <c r="P24" s="962" t="s">
        <v>3473</v>
      </c>
      <c r="Q24" s="961">
        <v>1</v>
      </c>
      <c r="R24" s="963">
        <f>'不动产比较法-商业'!B3</f>
        <v>28429</v>
      </c>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137" t="s">
        <v>3483</v>
      </c>
      <c r="B25" s="137">
        <f>'不动产比较法-商业'!D3-典型户型修正!B24</f>
        <v>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t="s">
        <v>3484</v>
      </c>
      <c r="Q25" s="53">
        <f>(SUMIF($17:$17,P25,$18:$18)-SUMIF($17:$17,$P$24,$18:$18)+100)/100</f>
        <v>0.7</v>
      </c>
      <c r="R25" s="490">
        <f>IF(B25="",0,ROUND($R$24*C25*E25*G25*I25*K25*M25*O25*Q25,0))</f>
        <v>19900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0</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0</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0</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0</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0</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0</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0</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0</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1676</v>
      </c>
      <c r="D1" s="3068" t="s">
        <v>3421</v>
      </c>
      <c r="E1" s="2346" t="s">
        <v>869</v>
      </c>
      <c r="F1" s="2347">
        <f ca="1">J53</f>
        <v>22.4</v>
      </c>
      <c r="G1" s="774">
        <f>MATCH(C1,'数据-取费表'!A6:A16,0)+5</f>
        <v>9</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162773</v>
      </c>
      <c r="C2" s="2039"/>
      <c r="D2" s="2037"/>
      <c r="E2" s="2038"/>
      <c r="F2" s="2038"/>
      <c r="G2" s="1575"/>
      <c r="H2" s="2039"/>
      <c r="I2" s="2039"/>
      <c r="J2" s="2039"/>
      <c r="K2" s="2040"/>
      <c r="L2" s="2039"/>
      <c r="M2" s="2039"/>
    </row>
    <row r="3" spans="1:33" ht="18" customHeight="1" thickBot="1">
      <c r="A3" s="833" t="s">
        <v>519</v>
      </c>
      <c r="B3" s="834">
        <f ca="1">IF(ISERROR(B2*10000/F43),0,ROUND(B2*10000/F43,0))</f>
        <v>12920</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7458</v>
      </c>
      <c r="D5" s="2455" t="s">
        <v>2458</v>
      </c>
      <c r="E5" s="2449"/>
      <c r="F5" s="2450"/>
      <c r="G5" s="1577"/>
      <c r="H5" s="781">
        <v>1</v>
      </c>
      <c r="I5" s="782" t="s">
        <v>2455</v>
      </c>
      <c r="J5" s="55">
        <f ca="1">J6+J10+J12</f>
        <v>0</v>
      </c>
      <c r="K5" s="2455" t="s">
        <v>2458</v>
      </c>
      <c r="L5" s="2449"/>
      <c r="M5" s="2450"/>
    </row>
    <row r="6" spans="1:33" ht="18" customHeight="1">
      <c r="A6" s="1812" t="s">
        <v>1823</v>
      </c>
      <c r="B6" s="3571" t="s">
        <v>2460</v>
      </c>
      <c r="C6" s="783">
        <f ca="1">ROUND(F6*F8*F7*(1-F9)/10000,0)</f>
        <v>7449</v>
      </c>
      <c r="D6" s="2456" t="s">
        <v>2459</v>
      </c>
      <c r="E6" s="784" t="s">
        <v>637</v>
      </c>
      <c r="F6" s="785">
        <f ca="1">INDIRECT("'数据-取费表'!u"&amp;$G$1)</f>
        <v>1.8</v>
      </c>
      <c r="G6" s="1577"/>
      <c r="H6" s="2463" t="s">
        <v>1823</v>
      </c>
      <c r="I6" s="3571" t="s">
        <v>2460</v>
      </c>
      <c r="J6" s="783">
        <f ca="1">ROUND(M6*M8*M7*(1-M9)/10000,0)</f>
        <v>0</v>
      </c>
      <c r="K6" s="341" t="s">
        <v>636</v>
      </c>
      <c r="L6" s="784" t="s">
        <v>637</v>
      </c>
      <c r="M6" s="785">
        <f ca="1">INDIRECT("'数据-取费表'!z"&amp;$G$1)</f>
        <v>0</v>
      </c>
    </row>
    <row r="7" spans="1:33" ht="18" customHeight="1">
      <c r="A7" s="2459"/>
      <c r="B7" s="3572"/>
      <c r="C7" s="788"/>
      <c r="D7" s="789"/>
      <c r="E7" s="784" t="s">
        <v>638</v>
      </c>
      <c r="F7" s="785">
        <f ca="1">IF(INDIRECT("'数据-取费表'!ah"&amp;$G$1)="",INDIRECT("'数据-取费表'!k"&amp;$G$1),INDIRECT("'数据-取费表'!ah"&amp;$G$1))</f>
        <v>125982</v>
      </c>
      <c r="G7" s="1577"/>
      <c r="H7" s="2448"/>
      <c r="I7" s="3572"/>
      <c r="J7" s="788"/>
      <c r="K7" s="789"/>
      <c r="L7" s="784" t="s">
        <v>638</v>
      </c>
      <c r="M7" s="785">
        <f ca="1">F7</f>
        <v>125982</v>
      </c>
    </row>
    <row r="8" spans="1:33" ht="18" customHeight="1">
      <c r="A8" s="2452"/>
      <c r="B8" s="3573"/>
      <c r="C8" s="788"/>
      <c r="D8" s="789"/>
      <c r="E8" s="784" t="s">
        <v>639</v>
      </c>
      <c r="F8" s="785">
        <f ca="1">INDIRECT("'数据-取费表'!ai"&amp;$G$1)</f>
        <v>365</v>
      </c>
      <c r="G8" s="1577"/>
      <c r="H8" s="2448"/>
      <c r="I8" s="3573"/>
      <c r="J8" s="788"/>
      <c r="K8" s="789"/>
      <c r="L8" s="784" t="s">
        <v>639</v>
      </c>
      <c r="M8" s="785">
        <f ca="1">INDIRECT("'数据-取费表'!ai"&amp;$G$1)</f>
        <v>365</v>
      </c>
    </row>
    <row r="9" spans="1:33" ht="18" customHeight="1">
      <c r="A9" s="786"/>
      <c r="B9" s="3574"/>
      <c r="C9" s="788"/>
      <c r="D9" s="789"/>
      <c r="E9" s="784" t="s">
        <v>640</v>
      </c>
      <c r="F9" s="794">
        <f ca="1">INDIRECT("'数据-取费表'!w"&amp;$G$1)</f>
        <v>0.1</v>
      </c>
      <c r="G9" s="1577"/>
      <c r="H9" s="2464"/>
      <c r="I9" s="3573"/>
      <c r="J9" s="788"/>
      <c r="K9" s="789"/>
      <c r="L9" s="795" t="s">
        <v>640</v>
      </c>
      <c r="M9" s="796">
        <f ca="1">INDIRECT("'数据-取费表'!ab"&amp;$G$1)</f>
        <v>0</v>
      </c>
    </row>
    <row r="10" spans="1:33" ht="18" customHeight="1">
      <c r="A10" s="1812" t="s">
        <v>1824</v>
      </c>
      <c r="B10" s="2453" t="s">
        <v>2456</v>
      </c>
      <c r="C10" s="799">
        <f ca="1">ROUND(IF(F10="押一",C6/12*F11,IF(F10="押二",C6/12*2*F11,IF(F10="押三",C6/12*3*F11,C11*F11))),0)</f>
        <v>9</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52965</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39266</v>
      </c>
      <c r="D14" s="3288" t="s">
        <v>1744</v>
      </c>
      <c r="E14" s="3287"/>
      <c r="F14" s="805"/>
      <c r="G14" s="1577"/>
      <c r="H14" s="1633" t="s">
        <v>1823</v>
      </c>
      <c r="I14" s="2213" t="s">
        <v>2821</v>
      </c>
      <c r="J14" s="53">
        <f ca="1">C29</f>
        <v>52965</v>
      </c>
      <c r="K14" s="26"/>
      <c r="L14" s="801"/>
      <c r="M14" s="802"/>
    </row>
    <row r="15" spans="1:33" s="2046" customFormat="1" ht="18" customHeight="1" thickBot="1">
      <c r="A15" s="1632" t="s">
        <v>1831</v>
      </c>
      <c r="B15" s="784" t="s">
        <v>647</v>
      </c>
      <c r="C15" s="53">
        <f ca="1">ROUND(C14*F15,0)</f>
        <v>1178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0</v>
      </c>
      <c r="D16" s="784" t="s">
        <v>648</v>
      </c>
      <c r="E16" s="784" t="s">
        <v>649</v>
      </c>
      <c r="F16" s="809">
        <f ca="1">IF(INDIRECT("'数据-取费表'!c"&amp;$G$1)="住宅",'数据-取费表'!B34,0)</f>
        <v>0</v>
      </c>
      <c r="G16" s="1577"/>
      <c r="H16" s="1811" t="s">
        <v>1747</v>
      </c>
      <c r="I16" s="1809" t="s">
        <v>651</v>
      </c>
      <c r="J16" s="792">
        <f ca="1">ROUND(J17+J22+J23+J24,0)</f>
        <v>5258</v>
      </c>
      <c r="K16" s="1803" t="s">
        <v>1749</v>
      </c>
      <c r="L16" s="3290"/>
      <c r="M16" s="2450"/>
    </row>
    <row r="17" spans="1:33" s="2046" customFormat="1" ht="18" customHeight="1">
      <c r="A17" s="1632" t="s">
        <v>1886</v>
      </c>
      <c r="B17" s="784" t="s">
        <v>653</v>
      </c>
      <c r="C17" s="53">
        <f ca="1">ROUND(F17*(F43+INDIRECT("'数据-取费表'!S"&amp;$G$1))/10000,0)</f>
        <v>2000</v>
      </c>
      <c r="D17" s="784" t="s">
        <v>654</v>
      </c>
      <c r="E17" s="784" t="s">
        <v>1751</v>
      </c>
      <c r="F17" s="56">
        <f>'数据-取费表'!B35</f>
        <v>150</v>
      </c>
      <c r="G17" s="1578"/>
      <c r="H17" s="1633" t="s">
        <v>1823</v>
      </c>
      <c r="I17" s="784" t="s">
        <v>656</v>
      </c>
      <c r="J17" s="53">
        <f ca="1">ROUND(IF(项目基本情况!B11="自然人",J5*M17,J18+J19+J20),0)</f>
        <v>4464</v>
      </c>
      <c r="K17" s="3288" t="s">
        <v>1752</v>
      </c>
      <c r="L17" s="3289"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589</v>
      </c>
      <c r="D18" s="784" t="s">
        <v>648</v>
      </c>
      <c r="E18" s="784" t="s">
        <v>649</v>
      </c>
      <c r="F18" s="809">
        <f>'数据-取费表'!B36</f>
        <v>1.4999999999999999E-2</v>
      </c>
      <c r="G18" s="1578"/>
      <c r="H18" s="1632" t="s">
        <v>1830</v>
      </c>
      <c r="I18" s="784" t="s">
        <v>1754</v>
      </c>
      <c r="J18" s="53">
        <f ca="1">ROUND(J5*M18/1.05,1)</f>
        <v>0</v>
      </c>
      <c r="K18" s="3289"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43033</v>
      </c>
      <c r="D19" s="261" t="s">
        <v>663</v>
      </c>
      <c r="E19" s="3291"/>
      <c r="F19" s="56"/>
      <c r="G19" s="1577"/>
      <c r="H19" s="1632" t="s">
        <v>1831</v>
      </c>
      <c r="I19" s="784" t="s">
        <v>664</v>
      </c>
      <c r="J19" s="53">
        <f ca="1">IF(K19="按租金收入计税",ROUND(J5*M19,1),ROUND(C29*F33*0.7,1))</f>
        <v>4449.1000000000004</v>
      </c>
      <c r="K19" s="811" t="s">
        <v>665</v>
      </c>
      <c r="L19" s="784" t="s">
        <v>649</v>
      </c>
      <c r="M19" s="809">
        <f>IF(K19="按租金收入计税",'数据-取费表'!B51,'数据-取费表'!B50)</f>
        <v>1.2E-2</v>
      </c>
    </row>
    <row r="20" spans="1:33" s="2046" customFormat="1" ht="18" customHeight="1">
      <c r="A20" s="1633" t="s">
        <v>1888</v>
      </c>
      <c r="B20" s="784" t="s">
        <v>666</v>
      </c>
      <c r="C20" s="53">
        <f ca="1">ROUND(C19*F20,0)</f>
        <v>861</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7727.1900000000005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91"/>
      <c r="F22" s="56"/>
      <c r="G22" s="1577"/>
      <c r="H22" s="1633" t="s">
        <v>1888</v>
      </c>
      <c r="I22" s="784" t="s">
        <v>676</v>
      </c>
      <c r="J22" s="53">
        <f ca="1">ROUND(J14*M22,0)</f>
        <v>794</v>
      </c>
      <c r="K22" s="3289"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1555</v>
      </c>
      <c r="D23" s="2530" t="str">
        <f>IF(F23&lt;=1,"(建造成本+管理费用)×利率×(建设周期÷2)","(建造成本+管理费用)×((1+利率)^(建设周期÷2)-1)")</f>
        <v>(建造成本+管理费用)×((1+利率)^(建设周期÷2)-1)</v>
      </c>
      <c r="E23" s="784" t="s">
        <v>678</v>
      </c>
      <c r="F23" s="640">
        <f>'数据-取费表'!B20</f>
        <v>1.5</v>
      </c>
      <c r="G23" s="1578"/>
      <c r="H23" s="1633" t="s">
        <v>1889</v>
      </c>
      <c r="I23" s="784" t="s">
        <v>679</v>
      </c>
      <c r="J23" s="53">
        <f ca="1">ROUND(J13*M23,0)</f>
        <v>0</v>
      </c>
      <c r="K23" s="3289"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91"/>
      <c r="F25" s="56"/>
      <c r="G25" s="1577"/>
      <c r="H25" s="1811" t="s">
        <v>1775</v>
      </c>
      <c r="I25" s="2956" t="s">
        <v>2818</v>
      </c>
      <c r="J25" s="792">
        <f ca="1">J5-J16</f>
        <v>-5258</v>
      </c>
      <c r="K25" s="2507" t="s">
        <v>1776</v>
      </c>
      <c r="L25" s="2508"/>
      <c r="M25" s="2509"/>
    </row>
    <row r="26" spans="1:33" ht="18" customHeight="1">
      <c r="A26" s="1632" t="s">
        <v>1830</v>
      </c>
      <c r="B26" s="784" t="s">
        <v>2435</v>
      </c>
      <c r="C26" s="53">
        <f ca="1">ROUND((C19+C20)*F26,0)</f>
        <v>3512</v>
      </c>
      <c r="D26" s="812" t="s">
        <v>1777</v>
      </c>
      <c r="E26" s="795" t="s">
        <v>702</v>
      </c>
      <c r="F26" s="794">
        <f ca="1">INDIRECT("'数据-取费表'!q"&amp;$G$1)</f>
        <v>0.08</v>
      </c>
      <c r="G26" s="1577"/>
      <c r="H26" s="2461" t="s">
        <v>1779</v>
      </c>
      <c r="I26" s="2214" t="s">
        <v>2823</v>
      </c>
      <c r="J26" s="783">
        <f ca="1">IF(J5&lt;&gt;0,ROUND(J25*(1-((1+M28)/(1+M26))^M27)/(M26-M28),0),0)</f>
        <v>0</v>
      </c>
      <c r="K26" s="814" t="s">
        <v>704</v>
      </c>
      <c r="L26" s="784" t="s">
        <v>2416</v>
      </c>
      <c r="M26" s="794">
        <f ca="1">INDIRECT("'数据-取费表'!I"&amp;$G$1)</f>
        <v>0</v>
      </c>
    </row>
    <row r="27" spans="1:33" ht="18" customHeight="1">
      <c r="A27" s="1632" t="s">
        <v>1831</v>
      </c>
      <c r="B27" s="784" t="s">
        <v>686</v>
      </c>
      <c r="C27" s="53">
        <f ca="1">ROUND(F21*F26,4)</f>
        <v>1.6000000000000001E-3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52965</v>
      </c>
      <c r="D29" s="2504"/>
      <c r="E29" s="2505"/>
      <c r="F29" s="2506"/>
      <c r="G29" s="1578"/>
      <c r="H29" s="823" t="s">
        <v>1786</v>
      </c>
      <c r="I29" s="824" t="s">
        <v>1787</v>
      </c>
      <c r="J29" s="825">
        <f ca="1">ROUND(J26/(1+F40)^F41,0)</f>
        <v>0</v>
      </c>
      <c r="K29" s="826" t="s">
        <v>1788</v>
      </c>
      <c r="L29" s="827"/>
      <c r="M29" s="828">
        <f ca="1">INDIRECT("'数据-取费表'!k"&amp;$G$1)</f>
        <v>125982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2257</v>
      </c>
      <c r="D30" s="1803" t="s">
        <v>1749</v>
      </c>
      <c r="E30" s="3290"/>
      <c r="F30" s="2450"/>
      <c r="G30" s="2044"/>
      <c r="H30" s="2047"/>
      <c r="I30" s="2048"/>
      <c r="J30" s="2049"/>
      <c r="K30" s="2050"/>
      <c r="L30" s="2051"/>
      <c r="M30" s="2052"/>
    </row>
    <row r="31" spans="1:33" ht="18" customHeight="1">
      <c r="A31" s="1633" t="s">
        <v>1823</v>
      </c>
      <c r="B31" s="784" t="s">
        <v>656</v>
      </c>
      <c r="C31" s="53">
        <f ca="1">ROUND(IF(项目基本情况!B11="自然人",C5*F31,C32+C33+C34),1)</f>
        <v>1308.3</v>
      </c>
      <c r="D31" s="3288" t="s">
        <v>1752</v>
      </c>
      <c r="E31" s="3289"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397.8</v>
      </c>
      <c r="D32" s="3289"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895</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15.5</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7727.1900000000005</v>
      </c>
      <c r="G35" s="2044"/>
      <c r="H35" s="2047"/>
      <c r="I35" s="837" t="s">
        <v>1813</v>
      </c>
      <c r="J35" s="838">
        <f ca="1">ROUND(C13*J36,0)</f>
        <v>0</v>
      </c>
      <c r="K35" s="2060"/>
      <c r="L35" s="2059"/>
      <c r="M35" s="2059"/>
    </row>
    <row r="36" spans="1:18" ht="18" customHeight="1">
      <c r="A36" s="1633" t="s">
        <v>1888</v>
      </c>
      <c r="B36" s="784" t="s">
        <v>676</v>
      </c>
      <c r="C36" s="53">
        <f ca="1">ROUND(C29*F36,1)</f>
        <v>794.5</v>
      </c>
      <c r="D36" s="3289" t="s">
        <v>691</v>
      </c>
      <c r="E36" s="784" t="s">
        <v>649</v>
      </c>
      <c r="F36" s="817">
        <f ca="1">INDIRECT("'数据-取费表'!Ak"&amp;$G$1)</f>
        <v>1.4999999999999999E-2</v>
      </c>
      <c r="G36" s="2044"/>
      <c r="H36" s="2059"/>
      <c r="I36" s="839" t="s">
        <v>1814</v>
      </c>
      <c r="J36" s="840">
        <f ca="1">INDIRECT("'数据-取费表'!j"&amp;$G$1)</f>
        <v>0</v>
      </c>
      <c r="K36" s="2064"/>
      <c r="L36" s="2059"/>
      <c r="M36" s="2059"/>
    </row>
    <row r="37" spans="1:18" ht="18" customHeight="1">
      <c r="A37" s="1633" t="s">
        <v>1889</v>
      </c>
      <c r="B37" s="784" t="s">
        <v>679</v>
      </c>
      <c r="C37" s="53">
        <f ca="1">ROUND(C13*F37,1)</f>
        <v>79.400000000000006</v>
      </c>
      <c r="D37" s="3289"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74.599999999999994</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5201</v>
      </c>
      <c r="D39" s="2507" t="s">
        <v>1776</v>
      </c>
      <c r="E39" s="2508"/>
      <c r="F39" s="2509"/>
      <c r="G39" s="2044"/>
      <c r="H39" s="2059"/>
      <c r="I39" s="837" t="s">
        <v>1817</v>
      </c>
      <c r="J39" s="845">
        <f ca="1">ROUND(J35/C39,3)</f>
        <v>0</v>
      </c>
      <c r="K39" s="2065"/>
      <c r="L39" s="2059"/>
      <c r="M39" s="2059"/>
    </row>
    <row r="40" spans="1:18" ht="18" customHeight="1">
      <c r="A40" s="781" t="s">
        <v>1779</v>
      </c>
      <c r="B40" s="2214" t="s">
        <v>2298</v>
      </c>
      <c r="C40" s="783">
        <f ca="1">ROUND(C39*(1-((1+F42)/(1+F40))^F41)/(F40-F42),0)</f>
        <v>162773</v>
      </c>
      <c r="D40" s="814" t="s">
        <v>704</v>
      </c>
      <c r="E40" s="784" t="s">
        <v>2416</v>
      </c>
      <c r="F40" s="794">
        <f ca="1">INDIRECT("'数据-取费表'!I"&amp;$G$1)</f>
        <v>0</v>
      </c>
      <c r="G40" s="2044"/>
      <c r="H40" s="2044"/>
      <c r="I40" s="837" t="s">
        <v>1818</v>
      </c>
      <c r="J40" s="845">
        <f ca="1">1-J39</f>
        <v>1</v>
      </c>
      <c r="K40" s="2065"/>
      <c r="L40" s="2044"/>
      <c r="M40" s="2044"/>
    </row>
    <row r="41" spans="1:18" ht="18" customHeight="1">
      <c r="A41" s="786"/>
      <c r="B41" s="787"/>
      <c r="C41" s="788"/>
      <c r="D41" s="821" t="s">
        <v>1807</v>
      </c>
      <c r="E41" s="784" t="s">
        <v>708</v>
      </c>
      <c r="F41" s="822">
        <f ca="1">IF(INDIRECT("'数据-取费表'!af"&amp;$G$1)=0,INDIRECT("'数据-取费表'!ae"&amp;$G$1),INDIRECT("'数据-取费表'!af"&amp;$G$1))</f>
        <v>22.4</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0.32500000000000001</v>
      </c>
      <c r="K42" s="2064"/>
      <c r="L42" s="1970"/>
      <c r="M42" s="1970"/>
    </row>
    <row r="43" spans="1:18" ht="18" customHeight="1" thickBot="1">
      <c r="A43" s="823" t="s">
        <v>1786</v>
      </c>
      <c r="B43" s="824" t="s">
        <v>1809</v>
      </c>
      <c r="C43" s="825">
        <f ca="1">ROUND(C40*10000/F43,0)</f>
        <v>12920</v>
      </c>
      <c r="D43" s="826" t="s">
        <v>1810</v>
      </c>
      <c r="E43" s="827" t="s">
        <v>1811</v>
      </c>
      <c r="F43" s="828">
        <f ca="1">INDIRECT("'数据-取费表'!k"&amp;$G$1)</f>
        <v>125982</v>
      </c>
      <c r="G43" s="2044"/>
      <c r="H43" s="1970"/>
      <c r="I43" s="847" t="s">
        <v>1821</v>
      </c>
      <c r="J43" s="848">
        <f ca="1">1-J42</f>
        <v>0.67500000000000004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t="e">
        <f ca="1">C67-C40</f>
        <v>#DIV/0!</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162773</v>
      </c>
      <c r="R48" s="2358" t="s">
        <v>2377</v>
      </c>
    </row>
    <row r="49" spans="1:18" s="2041" customFormat="1" ht="18" customHeight="1" thickBot="1">
      <c r="A49" s="786"/>
      <c r="B49" s="787"/>
      <c r="C49" s="788"/>
      <c r="D49" s="789"/>
      <c r="E49" s="784" t="s">
        <v>638</v>
      </c>
      <c r="F49" s="785">
        <f ca="1">F7</f>
        <v>125982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52965</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124304</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22.4</v>
      </c>
      <c r="K53" s="3582" t="s">
        <v>2957</v>
      </c>
      <c r="L53" s="3583"/>
      <c r="O53" s="2360" t="s">
        <v>2385</v>
      </c>
      <c r="P53" s="2358" t="s">
        <v>2386</v>
      </c>
      <c r="Q53" s="2359">
        <f ca="1">J53</f>
        <v>22.4</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162773</v>
      </c>
      <c r="R54" s="2362" t="s">
        <v>2389</v>
      </c>
    </row>
    <row r="55" spans="1:18" s="2041" customFormat="1" ht="18" customHeight="1" thickTop="1" thickBot="1">
      <c r="A55" s="797">
        <v>2</v>
      </c>
      <c r="B55" s="798" t="s">
        <v>644</v>
      </c>
      <c r="C55" s="799">
        <f ca="1">C13</f>
        <v>52965</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52965</v>
      </c>
      <c r="D56" s="3289"/>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889</v>
      </c>
      <c r="D57" s="26" t="s">
        <v>1749</v>
      </c>
      <c r="E57" s="3291"/>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162773</v>
      </c>
      <c r="R57" s="2358" t="s">
        <v>2377</v>
      </c>
    </row>
    <row r="58" spans="1:18" s="2041" customFormat="1" ht="28.5" customHeight="1" thickBot="1">
      <c r="A58" s="1633" t="s">
        <v>1823</v>
      </c>
      <c r="B58" s="784" t="s">
        <v>656</v>
      </c>
      <c r="C58" s="53">
        <f ca="1">ROUND(IF(项目基本情况!B11="自然人",C47*F58,C59+C60+C61),1)</f>
        <v>15.5</v>
      </c>
      <c r="D58" s="3288" t="s">
        <v>657</v>
      </c>
      <c r="E58" s="3289"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89"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89"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15.5</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7727.1900000000005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794.5</v>
      </c>
      <c r="D63" s="3289" t="s">
        <v>691</v>
      </c>
      <c r="E63" s="784" t="s">
        <v>649</v>
      </c>
      <c r="F63" s="817">
        <f t="shared" ca="1" si="0"/>
        <v>1.4999999999999999E-2</v>
      </c>
      <c r="I63" s="3113" t="s">
        <v>2367</v>
      </c>
      <c r="J63" s="3114">
        <v>70</v>
      </c>
      <c r="K63" s="3114">
        <v>50</v>
      </c>
      <c r="L63" s="3114">
        <v>80</v>
      </c>
      <c r="M63" s="3116">
        <v>0.02</v>
      </c>
      <c r="O63" s="2357" t="s">
        <v>2388</v>
      </c>
      <c r="P63" s="2358" t="s">
        <v>2405</v>
      </c>
      <c r="Q63" s="2359">
        <f ca="1">Q57+Q58</f>
        <v>162773</v>
      </c>
      <c r="R63" s="2362" t="s">
        <v>2389</v>
      </c>
    </row>
    <row r="64" spans="1:18" s="2041" customFormat="1" ht="16.5" thickBot="1">
      <c r="A64" s="1633" t="s">
        <v>1889</v>
      </c>
      <c r="B64" s="784" t="s">
        <v>679</v>
      </c>
      <c r="C64" s="53">
        <f ca="1">ROUND(C55*F64,1)</f>
        <v>79.400000000000006</v>
      </c>
      <c r="D64" s="3289"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89"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-889</v>
      </c>
      <c r="D66" s="3288" t="s">
        <v>700</v>
      </c>
      <c r="E66" s="3286"/>
      <c r="F66" s="820"/>
      <c r="K66" s="2068"/>
      <c r="O66" s="2357" t="s">
        <v>2376</v>
      </c>
      <c r="P66" s="2358" t="s">
        <v>2402</v>
      </c>
      <c r="Q66" s="2359">
        <f ca="1">C40+J29</f>
        <v>162773</v>
      </c>
      <c r="R66" s="2358" t="s">
        <v>2377</v>
      </c>
    </row>
    <row r="67" spans="1:18" s="2041" customFormat="1" ht="20.25" thickBot="1">
      <c r="A67" s="781" t="s">
        <v>1779</v>
      </c>
      <c r="B67" s="2214" t="s">
        <v>2298</v>
      </c>
      <c r="C67" s="783" t="e">
        <f ca="1">ROUND(C66*(1-((1+F69)/(1+F67))^F68)/(F67-F69),0)</f>
        <v>#DIV/0!</v>
      </c>
      <c r="D67" s="814" t="s">
        <v>704</v>
      </c>
      <c r="E67" s="784" t="s">
        <v>705</v>
      </c>
      <c r="F67" s="794">
        <f ca="1">F40</f>
        <v>0</v>
      </c>
      <c r="K67" s="2068"/>
      <c r="O67" s="2357" t="s">
        <v>2378</v>
      </c>
      <c r="P67" s="2358" t="s">
        <v>2409</v>
      </c>
      <c r="Q67" s="2359">
        <f ca="1">L60</f>
        <v>0</v>
      </c>
      <c r="R67" s="2362" t="s">
        <v>2411</v>
      </c>
    </row>
    <row r="68" spans="1:18" ht="21.75" thickBot="1">
      <c r="A68" s="786"/>
      <c r="B68" s="787"/>
      <c r="C68" s="788"/>
      <c r="D68" s="821" t="s">
        <v>1807</v>
      </c>
      <c r="E68" s="784" t="s">
        <v>708</v>
      </c>
      <c r="F68" s="822">
        <f ca="1">F41</f>
        <v>22.4</v>
      </c>
      <c r="O68" s="2360" t="s">
        <v>2380</v>
      </c>
      <c r="P68" s="2358" t="s">
        <v>2410</v>
      </c>
      <c r="Q68" s="2364">
        <f ca="1">L51</f>
        <v>124304</v>
      </c>
      <c r="R68" s="2365" t="s">
        <v>2413</v>
      </c>
    </row>
    <row r="69" spans="1:18" ht="20.25" thickBot="1">
      <c r="A69" s="790"/>
      <c r="B69" s="791"/>
      <c r="C69" s="792"/>
      <c r="D69" s="816"/>
      <c r="E69" s="784" t="s">
        <v>710</v>
      </c>
      <c r="F69" s="2330"/>
      <c r="O69" s="2360" t="s">
        <v>2381</v>
      </c>
      <c r="P69" s="2366" t="s">
        <v>2395</v>
      </c>
      <c r="Q69" s="2359">
        <f ca="1">ROUND(Q70-Q71*Q72,0)</f>
        <v>5201</v>
      </c>
      <c r="R69" s="2362"/>
    </row>
    <row r="70" spans="1:18" ht="15.75" thickBot="1">
      <c r="A70" s="823" t="s">
        <v>1786</v>
      </c>
      <c r="B70" s="824" t="s">
        <v>1809</v>
      </c>
      <c r="C70" s="825" t="e">
        <f ca="1">ROUND(C67*10000/F70,0)</f>
        <v>#DIV/0!</v>
      </c>
      <c r="D70" s="826" t="s">
        <v>1810</v>
      </c>
      <c r="E70" s="827" t="s">
        <v>1811</v>
      </c>
      <c r="F70" s="828">
        <f ca="1">F43</f>
        <v>125982</v>
      </c>
      <c r="O70" s="2360" t="s">
        <v>2396</v>
      </c>
      <c r="P70" s="2366" t="s">
        <v>2397</v>
      </c>
      <c r="Q70" s="2359">
        <f ca="1">C39</f>
        <v>5201</v>
      </c>
      <c r="R70" s="2358" t="s">
        <v>2377</v>
      </c>
    </row>
    <row r="71" spans="1:18" ht="15.75" thickBot="1">
      <c r="O71" s="2360" t="s">
        <v>2398</v>
      </c>
      <c r="P71" s="2366" t="s">
        <v>2399</v>
      </c>
      <c r="Q71" s="2359">
        <f ca="1">C13</f>
        <v>52965</v>
      </c>
      <c r="R71" s="2358" t="s">
        <v>2377</v>
      </c>
    </row>
    <row r="72" spans="1:18" ht="15.75" thickBot="1">
      <c r="O72" s="2360" t="s">
        <v>2400</v>
      </c>
      <c r="P72" s="2366" t="s">
        <v>2401</v>
      </c>
      <c r="Q72" s="2361">
        <f ca="1">J36</f>
        <v>0</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162773</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7" sqref="D27"/>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v>
      </c>
      <c r="D1" s="3068" t="s">
        <v>3421</v>
      </c>
      <c r="E1" s="2346" t="s">
        <v>2371</v>
      </c>
      <c r="F1" s="2347">
        <f ca="1">J53</f>
        <v>22.4</v>
      </c>
      <c r="G1" s="774">
        <f>MATCH(C1,'数据-取费表'!A6:A16,0)+5</f>
        <v>7</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1725</v>
      </c>
      <c r="B2" s="775">
        <f ca="1">C40+J29+L46</f>
        <v>16039</v>
      </c>
      <c r="C2" s="2039"/>
      <c r="D2" s="2037"/>
      <c r="E2" s="2038"/>
      <c r="F2" s="2038"/>
      <c r="G2" s="1575"/>
      <c r="H2" s="2039"/>
      <c r="I2" s="2039"/>
      <c r="J2" s="2039"/>
      <c r="K2" s="2040"/>
      <c r="L2" s="2039"/>
      <c r="M2" s="2039"/>
    </row>
    <row r="3" spans="1:33" ht="18" customHeight="1" thickBot="1">
      <c r="A3" s="833" t="s">
        <v>1726</v>
      </c>
      <c r="B3" s="834">
        <f ca="1">IF(ISERROR(B2*10000/F43),0,ROUND(B2*10000/F43,0))</f>
        <v>3084</v>
      </c>
      <c r="C3" s="2039"/>
      <c r="D3" s="2037"/>
      <c r="E3" s="2038"/>
      <c r="F3" s="2038"/>
      <c r="G3" s="1575"/>
      <c r="H3" s="776" t="s">
        <v>695</v>
      </c>
      <c r="I3" s="1358"/>
      <c r="J3" s="1358"/>
      <c r="K3" s="1576"/>
      <c r="L3" s="1358"/>
      <c r="M3" s="1358"/>
    </row>
    <row r="4" spans="1:33" ht="18" customHeight="1">
      <c r="A4" s="777" t="s">
        <v>1727</v>
      </c>
      <c r="B4" s="778" t="s">
        <v>1728</v>
      </c>
      <c r="C4" s="778" t="s">
        <v>1729</v>
      </c>
      <c r="D4" s="778" t="s">
        <v>633</v>
      </c>
      <c r="E4" s="779" t="s">
        <v>1730</v>
      </c>
      <c r="F4" s="780"/>
      <c r="G4" s="1577"/>
      <c r="H4" s="777" t="s">
        <v>1731</v>
      </c>
      <c r="I4" s="778" t="s">
        <v>1732</v>
      </c>
      <c r="J4" s="778" t="s">
        <v>1733</v>
      </c>
      <c r="K4" s="778" t="s">
        <v>1734</v>
      </c>
      <c r="L4" s="779" t="s">
        <v>1735</v>
      </c>
      <c r="M4" s="780"/>
    </row>
    <row r="5" spans="1:33" ht="18" customHeight="1">
      <c r="A5" s="781">
        <v>1</v>
      </c>
      <c r="B5" s="782" t="s">
        <v>2455</v>
      </c>
      <c r="C5" s="55">
        <f ca="1">C6+C10+C12</f>
        <v>1367</v>
      </c>
      <c r="D5" s="2455" t="s">
        <v>2458</v>
      </c>
      <c r="E5" s="2449"/>
      <c r="F5" s="2450"/>
      <c r="G5" s="1577"/>
      <c r="H5" s="781">
        <v>1</v>
      </c>
      <c r="I5" s="782" t="s">
        <v>2455</v>
      </c>
      <c r="J5" s="55">
        <f ca="1">J6+J10+J12</f>
        <v>0</v>
      </c>
      <c r="K5" s="2455" t="s">
        <v>2458</v>
      </c>
      <c r="L5" s="2449"/>
      <c r="M5" s="2450"/>
    </row>
    <row r="6" spans="1:33" ht="18" customHeight="1">
      <c r="A6" s="1812" t="s">
        <v>1823</v>
      </c>
      <c r="B6" s="3571" t="s">
        <v>2460</v>
      </c>
      <c r="C6" s="783">
        <f ca="1">ROUND(F6*F8*F7*(1-F9)/10000,0)</f>
        <v>1367</v>
      </c>
      <c r="D6" s="2456" t="s">
        <v>2459</v>
      </c>
      <c r="E6" s="784" t="s">
        <v>1737</v>
      </c>
      <c r="F6" s="785">
        <f ca="1">INDIRECT("'数据-取费表'!u"&amp;$G$1)</f>
        <v>0.8</v>
      </c>
      <c r="G6" s="1577"/>
      <c r="H6" s="2463" t="s">
        <v>2465</v>
      </c>
      <c r="I6" s="3571" t="s">
        <v>2460</v>
      </c>
      <c r="J6" s="783">
        <f ca="1">ROUND(M6*M8*M7*(1-M9)/10000,0)</f>
        <v>0</v>
      </c>
      <c r="K6" s="341" t="s">
        <v>1736</v>
      </c>
      <c r="L6" s="784" t="s">
        <v>1737</v>
      </c>
      <c r="M6" s="785">
        <f ca="1">INDIRECT("'数据-取费表'!z"&amp;$G$1)</f>
        <v>0</v>
      </c>
    </row>
    <row r="7" spans="1:33" ht="18" customHeight="1">
      <c r="A7" s="2459"/>
      <c r="B7" s="3572"/>
      <c r="C7" s="788"/>
      <c r="D7" s="789"/>
      <c r="E7" s="784" t="s">
        <v>1738</v>
      </c>
      <c r="F7" s="785">
        <f ca="1">IF(INDIRECT("'数据-取费表'!ah"&amp;$G$1)="",INDIRECT("'数据-取费表'!k"&amp;$G$1),INDIRECT("'数据-取费表'!ah"&amp;$G$1))</f>
        <v>52000</v>
      </c>
      <c r="G7" s="1577"/>
      <c r="H7" s="2448"/>
      <c r="I7" s="3572"/>
      <c r="J7" s="788"/>
      <c r="K7" s="789"/>
      <c r="L7" s="784" t="s">
        <v>1738</v>
      </c>
      <c r="M7" s="785">
        <f ca="1">F7</f>
        <v>52000</v>
      </c>
    </row>
    <row r="8" spans="1:33" ht="18" customHeight="1">
      <c r="A8" s="2452"/>
      <c r="B8" s="3573"/>
      <c r="C8" s="788"/>
      <c r="D8" s="789"/>
      <c r="E8" s="784" t="s">
        <v>1739</v>
      </c>
      <c r="F8" s="785">
        <f ca="1">INDIRECT("'数据-取费表'!ai"&amp;$G$1)</f>
        <v>365</v>
      </c>
      <c r="G8" s="1577"/>
      <c r="H8" s="2448"/>
      <c r="I8" s="3573"/>
      <c r="J8" s="788"/>
      <c r="K8" s="789"/>
      <c r="L8" s="784" t="s">
        <v>1739</v>
      </c>
      <c r="M8" s="785">
        <f ca="1">INDIRECT("'数据-取费表'!ai"&amp;$G$1)</f>
        <v>365</v>
      </c>
    </row>
    <row r="9" spans="1:33" ht="18" customHeight="1">
      <c r="A9" s="786"/>
      <c r="B9" s="3574"/>
      <c r="C9" s="788"/>
      <c r="D9" s="789"/>
      <c r="E9" s="784" t="s">
        <v>1740</v>
      </c>
      <c r="F9" s="794">
        <f ca="1">INDIRECT("'数据-取费表'!w"&amp;$G$1)</f>
        <v>0.1</v>
      </c>
      <c r="G9" s="1577"/>
      <c r="H9" s="2464"/>
      <c r="I9" s="3573"/>
      <c r="J9" s="788"/>
      <c r="K9" s="789"/>
      <c r="L9" s="795" t="s">
        <v>1740</v>
      </c>
      <c r="M9" s="796">
        <f ca="1">INDIRECT("'数据-取费表'!ab"&amp;$G$1)</f>
        <v>0</v>
      </c>
    </row>
    <row r="10" spans="1:33" ht="18" customHeight="1">
      <c r="A10" s="1812" t="s">
        <v>2463</v>
      </c>
      <c r="B10" s="2453" t="s">
        <v>2456</v>
      </c>
      <c r="C10" s="799">
        <f ca="1">ROUND(IF(F10="押一",C6/12*F11,IF(F10="押二",C6/12*2*F11,IF(F10="押三",C6/12*3*F11,C11*F11))),0)</f>
        <v>0</v>
      </c>
      <c r="D10" s="2460" t="s">
        <v>2965</v>
      </c>
      <c r="E10" s="2457" t="s">
        <v>2461</v>
      </c>
      <c r="F10" s="2580" t="s">
        <v>3422</v>
      </c>
      <c r="G10" s="1577"/>
      <c r="H10" s="2520" t="s">
        <v>2466</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2462</v>
      </c>
      <c r="F11" s="796">
        <f ca="1">'数据-取费表'!B39</f>
        <v>1.4999999999999999E-2</v>
      </c>
      <c r="G11" s="1577"/>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7"/>
      <c r="H12" s="2510" t="s">
        <v>2467</v>
      </c>
      <c r="I12" s="2523" t="s">
        <v>2457</v>
      </c>
      <c r="J12" s="2524"/>
      <c r="K12" s="2499"/>
      <c r="L12" s="2500"/>
      <c r="M12" s="2513"/>
    </row>
    <row r="13" spans="1:33" ht="18" customHeight="1" thickTop="1">
      <c r="A13" s="1811">
        <v>2</v>
      </c>
      <c r="B13" s="1809" t="s">
        <v>1741</v>
      </c>
      <c r="C13" s="792">
        <f ca="1">ROUND(C29*F13,0)</f>
        <v>14477</v>
      </c>
      <c r="D13" s="1816" t="s">
        <v>2294</v>
      </c>
      <c r="E13" s="1816" t="s">
        <v>1743</v>
      </c>
      <c r="F13" s="2495">
        <f ca="1">INDIRECT("'数据-取费表'!y"&amp;$G$1)</f>
        <v>1</v>
      </c>
      <c r="G13" s="1577"/>
      <c r="H13" s="1811">
        <v>2</v>
      </c>
      <c r="I13" s="1809" t="s">
        <v>1741</v>
      </c>
      <c r="J13" s="1801">
        <f ca="1">ROUND(J14*J15,0)</f>
        <v>0</v>
      </c>
      <c r="K13" s="1803" t="s">
        <v>1742</v>
      </c>
      <c r="L13" s="2511"/>
      <c r="M13" s="2512"/>
    </row>
    <row r="14" spans="1:33" ht="18" customHeight="1">
      <c r="A14" s="1632" t="s">
        <v>1883</v>
      </c>
      <c r="B14" s="784" t="s">
        <v>645</v>
      </c>
      <c r="C14" s="804">
        <f ca="1">INDIRECT("'数据-取费表'!m"&amp;$G$1)+INDIRECT("'数据-取费表'!t"&amp;$G$1)</f>
        <v>11007</v>
      </c>
      <c r="D14" s="1961" t="s">
        <v>1744</v>
      </c>
      <c r="E14" s="1962"/>
      <c r="F14" s="805"/>
      <c r="G14" s="1577"/>
      <c r="H14" s="1633" t="s">
        <v>1829</v>
      </c>
      <c r="I14" s="2213" t="s">
        <v>2822</v>
      </c>
      <c r="J14" s="53">
        <f ca="1">C29</f>
        <v>14477</v>
      </c>
      <c r="K14" s="26"/>
      <c r="L14" s="801"/>
      <c r="M14" s="802"/>
    </row>
    <row r="15" spans="1:33" s="2046" customFormat="1" ht="18" customHeight="1" thickBot="1">
      <c r="A15" s="1632" t="s">
        <v>1884</v>
      </c>
      <c r="B15" s="784" t="s">
        <v>647</v>
      </c>
      <c r="C15" s="53">
        <f ca="1">ROUND(C14*F15,0)</f>
        <v>330</v>
      </c>
      <c r="D15" s="806" t="s">
        <v>1745</v>
      </c>
      <c r="E15" s="806" t="s">
        <v>1746</v>
      </c>
      <c r="F15" s="807">
        <f>'数据-取费表'!B33</f>
        <v>0.03</v>
      </c>
      <c r="G15" s="1578"/>
      <c r="H15" s="2510" t="s">
        <v>1888</v>
      </c>
      <c r="I15" s="2505" t="s">
        <v>1743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1885</v>
      </c>
      <c r="B16" s="784" t="s">
        <v>650</v>
      </c>
      <c r="C16" s="53">
        <f ca="1">ROUND(INDIRECT("'数据-取费表'!m"&amp;$G$1)*F16,0)</f>
        <v>0</v>
      </c>
      <c r="D16" s="784" t="s">
        <v>1745</v>
      </c>
      <c r="E16" s="784" t="s">
        <v>1746</v>
      </c>
      <c r="F16" s="809">
        <f ca="1">IF(INDIRECT("'数据-取费表'!c"&amp;$G$1)="住宅",'数据-取费表'!B34,0)</f>
        <v>0</v>
      </c>
      <c r="G16" s="1577"/>
      <c r="H16" s="1811" t="s">
        <v>1747</v>
      </c>
      <c r="I16" s="1809" t="s">
        <v>1748</v>
      </c>
      <c r="J16" s="792">
        <f ca="1">ROUND(J17+J22+J23+J24,0)</f>
        <v>345</v>
      </c>
      <c r="K16" s="1803" t="s">
        <v>1749</v>
      </c>
      <c r="L16" s="2445"/>
      <c r="M16" s="2450"/>
    </row>
    <row r="17" spans="1:33" s="2046" customFormat="1" ht="18" customHeight="1">
      <c r="A17" s="1632" t="s">
        <v>1886</v>
      </c>
      <c r="B17" s="784" t="s">
        <v>653</v>
      </c>
      <c r="C17" s="53">
        <f ca="1">ROUND(F17*(F43+INDIRECT("'数据-取费表'!S"&amp;$G$1))/10000,0)</f>
        <v>826</v>
      </c>
      <c r="D17" s="784" t="s">
        <v>1750</v>
      </c>
      <c r="E17" s="784" t="s">
        <v>1751</v>
      </c>
      <c r="F17" s="56">
        <f>'数据-取费表'!B35</f>
        <v>150</v>
      </c>
      <c r="G17" s="1578"/>
      <c r="H17" s="1633" t="s">
        <v>1829</v>
      </c>
      <c r="I17" s="784" t="s">
        <v>656</v>
      </c>
      <c r="J17" s="53">
        <f ca="1">ROUND(IF(项目基本情况!B11="自然人",J5*M17,J18+J19+J20),0)</f>
        <v>128</v>
      </c>
      <c r="K17" s="2444" t="s">
        <v>1752</v>
      </c>
      <c r="L17" s="2443" t="s">
        <v>1753</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165</v>
      </c>
      <c r="D18" s="784" t="s">
        <v>1745</v>
      </c>
      <c r="E18" s="784" t="s">
        <v>1746</v>
      </c>
      <c r="F18" s="809">
        <f>'数据-取费表'!B36</f>
        <v>1.4999999999999999E-2</v>
      </c>
      <c r="G18" s="1578"/>
      <c r="H18" s="1632" t="s">
        <v>1883</v>
      </c>
      <c r="I18" s="784" t="s">
        <v>1754</v>
      </c>
      <c r="J18" s="53">
        <f ca="1">ROUND(J5*M18/1.05,1)</f>
        <v>0</v>
      </c>
      <c r="K18" s="2443" t="s">
        <v>1755</v>
      </c>
      <c r="L18" s="784" t="s">
        <v>1746</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1829</v>
      </c>
      <c r="B19" s="784" t="s">
        <v>662</v>
      </c>
      <c r="C19" s="53">
        <f ca="1">SUM(C14:C18)</f>
        <v>12328</v>
      </c>
      <c r="D19" s="261" t="s">
        <v>1756</v>
      </c>
      <c r="E19" s="1964"/>
      <c r="F19" s="56"/>
      <c r="G19" s="1577"/>
      <c r="H19" s="1632" t="s">
        <v>1884</v>
      </c>
      <c r="I19" s="784" t="s">
        <v>1757</v>
      </c>
      <c r="J19" s="53">
        <f ca="1">IF(K19="按租金收入计税",ROUND(J5*M19,1),ROUND(C29*F33*0.7,1))</f>
        <v>121.6</v>
      </c>
      <c r="K19" s="811" t="s">
        <v>665</v>
      </c>
      <c r="L19" s="784" t="s">
        <v>1746</v>
      </c>
      <c r="M19" s="809">
        <f>IF(K19="按租金收入计税",'数据-取费表'!B51,'数据-取费表'!B50)</f>
        <v>1.2E-2</v>
      </c>
    </row>
    <row r="20" spans="1:33" s="2046" customFormat="1" ht="18" customHeight="1">
      <c r="A20" s="1633" t="s">
        <v>1888</v>
      </c>
      <c r="B20" s="784" t="s">
        <v>666</v>
      </c>
      <c r="C20" s="53">
        <f ca="1">ROUND(C19*F20,0)</f>
        <v>247</v>
      </c>
      <c r="D20" s="812" t="s">
        <v>1758</v>
      </c>
      <c r="E20" s="784" t="s">
        <v>1746</v>
      </c>
      <c r="F20" s="809">
        <f>'数据-取费表'!B37</f>
        <v>0.02</v>
      </c>
      <c r="G20" s="1578"/>
      <c r="H20" s="1635" t="s">
        <v>1879</v>
      </c>
      <c r="I20" s="341" t="s">
        <v>1759</v>
      </c>
      <c r="J20" s="54">
        <f ca="1">ROUND(M20*M21/10000,0)</f>
        <v>6</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1764</v>
      </c>
      <c r="F21" s="809">
        <f>'数据-取费表'!B38</f>
        <v>0.02</v>
      </c>
      <c r="G21" s="1578"/>
      <c r="H21" s="2465"/>
      <c r="I21" s="793"/>
      <c r="J21" s="69"/>
      <c r="K21" s="816"/>
      <c r="L21" s="784" t="s">
        <v>1765</v>
      </c>
      <c r="M21" s="785">
        <f ca="1">INDIRECT("'数据-取费表'!r"&amp;$G$1)</f>
        <v>3189.46</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1964"/>
      <c r="F22" s="56"/>
      <c r="G22" s="1577"/>
      <c r="H22" s="1633" t="s">
        <v>1888</v>
      </c>
      <c r="I22" s="784" t="s">
        <v>1767</v>
      </c>
      <c r="J22" s="53">
        <f ca="1">ROUND(J14*M22,0)</f>
        <v>217</v>
      </c>
      <c r="K22" s="2443" t="s">
        <v>1768</v>
      </c>
      <c r="L22" s="784" t="s">
        <v>1746</v>
      </c>
      <c r="M22" s="817">
        <f ca="1">INDIRECT("'数据-取费表'!Ak"&amp;$G$1)</f>
        <v>1.4999999999999999E-2</v>
      </c>
    </row>
    <row r="23" spans="1:33" s="2046" customFormat="1" ht="18" customHeight="1">
      <c r="A23" s="1632" t="s">
        <v>1830</v>
      </c>
      <c r="B23" s="784" t="s">
        <v>2532</v>
      </c>
      <c r="C23" s="53">
        <f ca="1">ROUND(IF('数据-取费表'!B22&lt;=1,(C19+C20)*F24*F23/2,(C19+C20)*(POWER((1+F24),F23/2)-1)),0)</f>
        <v>445</v>
      </c>
      <c r="D23" s="2530" t="str">
        <f>IF(F23&lt;=1,"(建造成本+管理费用)×利率×(建设周期÷2)","(建造成本+管理费用)×((1+利率)^(建设周期÷2)-1)")</f>
        <v>(建造成本+管理费用)×((1+利率)^(建设周期÷2)-1)</v>
      </c>
      <c r="E23" s="784" t="s">
        <v>1769</v>
      </c>
      <c r="F23" s="640">
        <f>'数据-取费表'!B20</f>
        <v>1.5</v>
      </c>
      <c r="G23" s="1578"/>
      <c r="H23" s="1633" t="s">
        <v>1889</v>
      </c>
      <c r="I23" s="784" t="s">
        <v>679</v>
      </c>
      <c r="J23" s="53">
        <f ca="1">ROUND(J13*M23,0)</f>
        <v>0</v>
      </c>
      <c r="K23" s="2443" t="s">
        <v>1770</v>
      </c>
      <c r="L23" s="784" t="s">
        <v>1746</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1771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1773</v>
      </c>
      <c r="L24" s="2505" t="s">
        <v>1746</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1964"/>
      <c r="F25" s="56"/>
      <c r="G25" s="1577"/>
      <c r="H25" s="1811" t="s">
        <v>1775</v>
      </c>
      <c r="I25" s="2956" t="s">
        <v>2818</v>
      </c>
      <c r="J25" s="792">
        <f ca="1">J5-J16</f>
        <v>-345</v>
      </c>
      <c r="K25" s="2507" t="s">
        <v>1776</v>
      </c>
      <c r="L25" s="2508"/>
      <c r="M25" s="2509"/>
    </row>
    <row r="26" spans="1:33" ht="18" customHeight="1">
      <c r="A26" s="1632" t="s">
        <v>1830</v>
      </c>
      <c r="B26" s="784" t="s">
        <v>2435</v>
      </c>
      <c r="C26" s="53">
        <f ca="1">ROUND((C19+C20)*F26,0)</f>
        <v>377</v>
      </c>
      <c r="D26" s="812" t="s">
        <v>1777</v>
      </c>
      <c r="E26" s="795" t="s">
        <v>1778</v>
      </c>
      <c r="F26" s="794">
        <f ca="1">INDIRECT("'数据-取费表'!q"&amp;$G$1)</f>
        <v>0.03</v>
      </c>
      <c r="G26" s="1577"/>
      <c r="H26" s="2461" t="s">
        <v>1779</v>
      </c>
      <c r="I26" s="2214" t="s">
        <v>2823</v>
      </c>
      <c r="J26" s="783">
        <f ca="1">IF(J5&lt;&gt;0,ROUND(J25*(1-((1+M28)/(1+M26))^M27)/(M26-M28),0),0)</f>
        <v>0</v>
      </c>
      <c r="K26" s="814" t="s">
        <v>1780</v>
      </c>
      <c r="L26" s="784" t="s">
        <v>2416</v>
      </c>
      <c r="M26" s="794">
        <f ca="1">INDIRECT("'数据-取费表'!I"&amp;$G$1)</f>
        <v>4.4999999999999998E-2</v>
      </c>
    </row>
    <row r="27" spans="1:33" ht="18" customHeight="1">
      <c r="A27" s="1632" t="s">
        <v>1831</v>
      </c>
      <c r="B27" s="784" t="s">
        <v>686</v>
      </c>
      <c r="C27" s="53">
        <f ca="1">ROUND(F21*F26,4)</f>
        <v>5.9999999999999995E-4</v>
      </c>
      <c r="D27" s="812" t="s">
        <v>1781</v>
      </c>
      <c r="E27" s="806"/>
      <c r="F27" s="807"/>
      <c r="G27" s="1577"/>
      <c r="H27" s="2462"/>
      <c r="I27" s="787"/>
      <c r="J27" s="788"/>
      <c r="K27" s="821" t="s">
        <v>1782</v>
      </c>
      <c r="L27" s="784" t="s">
        <v>1783</v>
      </c>
      <c r="M27" s="822">
        <f ca="1">INDIRECT("'数据-取费表'!ag"&amp;$G$1)</f>
        <v>0</v>
      </c>
    </row>
    <row r="28" spans="1:33" s="2046" customFormat="1" ht="18" customHeight="1">
      <c r="A28" s="1634" t="s">
        <v>1840</v>
      </c>
      <c r="B28" s="784" t="s">
        <v>687</v>
      </c>
      <c r="C28" s="53">
        <f>ROUND(F28/(1+'数据-取费表'!C42),4)</f>
        <v>5.33E-2</v>
      </c>
      <c r="D28" s="812" t="s">
        <v>2296</v>
      </c>
      <c r="E28" s="784" t="s">
        <v>1784</v>
      </c>
      <c r="F28" s="809">
        <f>'数据-取费表'!B41</f>
        <v>5.6000000000000001E-2</v>
      </c>
      <c r="G28" s="1578"/>
      <c r="H28" s="1811"/>
      <c r="I28" s="791"/>
      <c r="J28" s="792"/>
      <c r="K28" s="816"/>
      <c r="L28" s="784" t="s">
        <v>1785</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14477</v>
      </c>
      <c r="D29" s="2504"/>
      <c r="E29" s="2505"/>
      <c r="F29" s="2506"/>
      <c r="G29" s="1578"/>
      <c r="H29" s="823" t="s">
        <v>1786</v>
      </c>
      <c r="I29" s="824" t="s">
        <v>1787</v>
      </c>
      <c r="J29" s="825">
        <f ca="1">ROUND(J26/(1+F40)^F41,0)</f>
        <v>0</v>
      </c>
      <c r="K29" s="826" t="s">
        <v>1788</v>
      </c>
      <c r="L29" s="827"/>
      <c r="M29" s="828">
        <f ca="1">INDIRECT("'数据-取费表'!k"&amp;$G$1)</f>
        <v>52000</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2">
        <f ca="1">ROUND(C31+C36+C37+C38,0)</f>
        <v>454</v>
      </c>
      <c r="D30" s="1803" t="s">
        <v>1790</v>
      </c>
      <c r="E30" s="2445"/>
      <c r="F30" s="2450"/>
      <c r="G30" s="2044"/>
      <c r="H30" s="2047"/>
      <c r="I30" s="2048"/>
      <c r="J30" s="2049"/>
      <c r="K30" s="2050"/>
      <c r="L30" s="2051"/>
      <c r="M30" s="2052"/>
    </row>
    <row r="31" spans="1:33" ht="18" customHeight="1">
      <c r="A31" s="1633" t="s">
        <v>1829</v>
      </c>
      <c r="B31" s="784" t="s">
        <v>656</v>
      </c>
      <c r="C31" s="53">
        <f ca="1">ROUND(IF(项目基本情况!B11="自然人",C5*F31,C32+C33+C34),1)</f>
        <v>200.9</v>
      </c>
      <c r="D31" s="1961" t="s">
        <v>1791</v>
      </c>
      <c r="E31" s="1959"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1793</v>
      </c>
      <c r="C32" s="53">
        <f ca="1">ROUND(C5*F32/1.05,1)</f>
        <v>72.900000000000006</v>
      </c>
      <c r="D32" s="1959" t="s">
        <v>1794</v>
      </c>
      <c r="E32" s="784" t="s">
        <v>1795</v>
      </c>
      <c r="F32" s="809">
        <f>'数据-取费表'!B41</f>
        <v>5.6000000000000001E-2</v>
      </c>
      <c r="G32" s="2044"/>
      <c r="H32" s="2053"/>
      <c r="I32" s="2054"/>
      <c r="J32" s="2055"/>
      <c r="K32" s="2056"/>
      <c r="L32" s="2057"/>
      <c r="M32" s="2058"/>
    </row>
    <row r="33" spans="1:18" ht="18" customHeight="1">
      <c r="A33" s="1632" t="s">
        <v>1831</v>
      </c>
      <c r="B33" s="784" t="s">
        <v>1796</v>
      </c>
      <c r="C33" s="53">
        <f ca="1">IF(D33="按租金收入计税",ROUND(C5*F33,1),IF(D33="按房产原值计税",ROUND(C29*F33*0.7,1),INDIRECT("'数据-取费表'!Aj"&amp;$G$1)))</f>
        <v>121.6</v>
      </c>
      <c r="D33" s="3280" t="s">
        <v>1679</v>
      </c>
      <c r="E33" s="784" t="s">
        <v>1795</v>
      </c>
      <c r="F33" s="809">
        <f>IF(D33="按租金收入计税",'数据-取费表'!B51,'数据-取费表'!B50)</f>
        <v>1.2E-2</v>
      </c>
      <c r="G33" s="2044"/>
      <c r="H33" s="2059"/>
      <c r="I33" s="2059"/>
      <c r="J33" s="2059"/>
      <c r="K33" s="2060"/>
      <c r="L33" s="2059"/>
      <c r="M33" s="2059"/>
    </row>
    <row r="34" spans="1:18" ht="18" customHeight="1">
      <c r="A34" s="1635" t="s">
        <v>1832</v>
      </c>
      <c r="B34" s="341" t="s">
        <v>1797</v>
      </c>
      <c r="C34" s="54">
        <f ca="1">ROUND(F34*F35/10000,1)</f>
        <v>6.4</v>
      </c>
      <c r="D34" s="814" t="s">
        <v>1798</v>
      </c>
      <c r="E34" s="784" t="s">
        <v>1799</v>
      </c>
      <c r="F34" s="640">
        <f>'数据-取费表'!B52</f>
        <v>20</v>
      </c>
      <c r="G34" s="2044"/>
      <c r="H34" s="2047"/>
      <c r="I34" s="835" t="s">
        <v>1812</v>
      </c>
      <c r="J34" s="836"/>
      <c r="K34" s="2062"/>
      <c r="L34" s="2061"/>
      <c r="M34" s="2061"/>
    </row>
    <row r="35" spans="1:18" ht="18" customHeight="1">
      <c r="A35" s="815"/>
      <c r="B35" s="793"/>
      <c r="C35" s="69"/>
      <c r="D35" s="816"/>
      <c r="E35" s="784" t="s">
        <v>1800</v>
      </c>
      <c r="F35" s="785">
        <f ca="1">INDIRECT("'数据-取费表'!r"&amp;$G$1)</f>
        <v>3189.46</v>
      </c>
      <c r="G35" s="2044"/>
      <c r="H35" s="2047"/>
      <c r="I35" s="837" t="s">
        <v>1813</v>
      </c>
      <c r="J35" s="838">
        <f ca="1">ROUND(C13*J36,0)</f>
        <v>1231</v>
      </c>
      <c r="K35" s="2060"/>
      <c r="L35" s="2059"/>
      <c r="M35" s="2059"/>
    </row>
    <row r="36" spans="1:18" ht="18" customHeight="1">
      <c r="A36" s="1633" t="s">
        <v>1888</v>
      </c>
      <c r="B36" s="784" t="s">
        <v>1801</v>
      </c>
      <c r="C36" s="53">
        <f ca="1">ROUND(C29*F36,1)</f>
        <v>217.2</v>
      </c>
      <c r="D36" s="1959" t="s">
        <v>1802</v>
      </c>
      <c r="E36" s="784" t="s">
        <v>1795</v>
      </c>
      <c r="F36" s="817">
        <f ca="1">INDIRECT("'数据-取费表'!Ak"&amp;$G$1)</f>
        <v>1.4999999999999999E-2</v>
      </c>
      <c r="G36" s="2044"/>
      <c r="H36" s="2059"/>
      <c r="I36" s="839" t="s">
        <v>1814</v>
      </c>
      <c r="J36" s="840">
        <f ca="1">INDIRECT("'数据-取费表'!j"&amp;$G$1)</f>
        <v>8.5000000000000006E-2</v>
      </c>
      <c r="K36" s="2064"/>
      <c r="L36" s="2059"/>
      <c r="M36" s="2059"/>
    </row>
    <row r="37" spans="1:18" ht="18" customHeight="1">
      <c r="A37" s="1633" t="s">
        <v>1889</v>
      </c>
      <c r="B37" s="784" t="s">
        <v>679</v>
      </c>
      <c r="C37" s="53">
        <f ca="1">ROUND(C13*F37,1)</f>
        <v>21.7</v>
      </c>
      <c r="D37" s="1959" t="s">
        <v>1803</v>
      </c>
      <c r="E37" s="784" t="s">
        <v>1795</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13.7</v>
      </c>
      <c r="D38" s="2504" t="s">
        <v>1804</v>
      </c>
      <c r="E38" s="2505" t="s">
        <v>1795</v>
      </c>
      <c r="F38" s="2501">
        <f ca="1">INDIRECT("'数据-取费表'!Am"&amp;$G$1)</f>
        <v>0.01</v>
      </c>
      <c r="G38" s="2044"/>
      <c r="H38" s="2059"/>
      <c r="I38" s="843" t="s">
        <v>1816</v>
      </c>
      <c r="J38" s="844"/>
      <c r="K38" s="2065"/>
      <c r="L38" s="2059"/>
      <c r="M38" s="2059"/>
    </row>
    <row r="39" spans="1:18" ht="24.6" customHeight="1" thickTop="1">
      <c r="A39" s="1811" t="s">
        <v>1893</v>
      </c>
      <c r="B39" s="2956" t="s">
        <v>2818</v>
      </c>
      <c r="C39" s="792">
        <f ca="1">C5-C30</f>
        <v>913</v>
      </c>
      <c r="D39" s="2507" t="s">
        <v>1805</v>
      </c>
      <c r="E39" s="2508"/>
      <c r="F39" s="2509"/>
      <c r="G39" s="2044"/>
      <c r="H39" s="2059"/>
      <c r="I39" s="837" t="s">
        <v>1817</v>
      </c>
      <c r="J39" s="845">
        <f ca="1">ROUND(J35/C39,3)</f>
        <v>1.3480000000000001</v>
      </c>
      <c r="K39" s="2065"/>
      <c r="L39" s="2059"/>
      <c r="M39" s="2059"/>
    </row>
    <row r="40" spans="1:18" ht="18" customHeight="1">
      <c r="A40" s="781" t="s">
        <v>1894</v>
      </c>
      <c r="B40" s="2214" t="s">
        <v>2298</v>
      </c>
      <c r="C40" s="783">
        <f ca="1">ROUND(C39*(1-((1+F42)/(1+F40))^F41)/(F40-F42),0)</f>
        <v>16039</v>
      </c>
      <c r="D40" s="814" t="s">
        <v>1806</v>
      </c>
      <c r="E40" s="784" t="s">
        <v>2416</v>
      </c>
      <c r="F40" s="794">
        <f ca="1">INDIRECT("'数据-取费表'!I"&amp;$G$1)</f>
        <v>4.4999999999999998E-2</v>
      </c>
      <c r="G40" s="2044"/>
      <c r="H40" s="2044"/>
      <c r="I40" s="837" t="s">
        <v>1818</v>
      </c>
      <c r="J40" s="845">
        <f ca="1">1-J39</f>
        <v>-0.34800000000000009</v>
      </c>
      <c r="K40" s="2065"/>
      <c r="L40" s="2044"/>
      <c r="M40" s="2044"/>
    </row>
    <row r="41" spans="1:18" ht="18" customHeight="1">
      <c r="A41" s="786"/>
      <c r="B41" s="787"/>
      <c r="C41" s="788"/>
      <c r="D41" s="821" t="s">
        <v>1807</v>
      </c>
      <c r="E41" s="784" t="s">
        <v>2955</v>
      </c>
      <c r="F41" s="822">
        <f ca="1">IF(INDIRECT("'数据-取费表'!af"&amp;$G$1)=0,INDIRECT("'数据-取费表'!ae"&amp;$G$1),INDIRECT("'数据-取费表'!af"&amp;$G$1))</f>
        <v>22.4</v>
      </c>
      <c r="G41" s="2044"/>
      <c r="H41" s="1970"/>
      <c r="I41" s="843" t="s">
        <v>1819</v>
      </c>
      <c r="J41" s="846"/>
      <c r="K41" s="2064"/>
      <c r="L41" s="1970"/>
      <c r="M41" s="1970"/>
    </row>
    <row r="42" spans="1:18" ht="18" customHeight="1">
      <c r="A42" s="790"/>
      <c r="B42" s="791"/>
      <c r="C42" s="792"/>
      <c r="D42" s="816"/>
      <c r="E42" s="784" t="s">
        <v>1808</v>
      </c>
      <c r="F42" s="794">
        <f ca="1">INDIRECT("'数据-取费表'!v"&amp;$G$1)</f>
        <v>2.5000000000000001E-2</v>
      </c>
      <c r="G42" s="2044"/>
      <c r="H42" s="1970"/>
      <c r="I42" s="847" t="s">
        <v>1820</v>
      </c>
      <c r="J42" s="845">
        <f ca="1">ROUND(C13/C40,3)</f>
        <v>0.90300000000000002</v>
      </c>
      <c r="K42" s="2064"/>
      <c r="L42" s="1970"/>
      <c r="M42" s="1970"/>
    </row>
    <row r="43" spans="1:18" ht="18" customHeight="1" thickBot="1">
      <c r="A43" s="823" t="s">
        <v>1786</v>
      </c>
      <c r="B43" s="824" t="s">
        <v>1809</v>
      </c>
      <c r="C43" s="825">
        <f ca="1">ROUND(C40*10000/F43,0)</f>
        <v>3084</v>
      </c>
      <c r="D43" s="826" t="s">
        <v>1810</v>
      </c>
      <c r="E43" s="827" t="s">
        <v>1811</v>
      </c>
      <c r="F43" s="828">
        <f ca="1">INDIRECT("'数据-取费表'!k"&amp;$G$1)</f>
        <v>52000</v>
      </c>
      <c r="G43" s="2044"/>
      <c r="H43" s="1970"/>
      <c r="I43" s="847" t="s">
        <v>1821</v>
      </c>
      <c r="J43" s="848">
        <f ca="1">1-J42</f>
        <v>9.6999999999999975E-2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f ca="1">C67-C40</f>
        <v>-21152</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2534</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16039</v>
      </c>
      <c r="R48" s="2358" t="s">
        <v>2377</v>
      </c>
    </row>
    <row r="49" spans="1:18" s="2041" customFormat="1" ht="18" customHeight="1" thickBot="1">
      <c r="A49" s="786"/>
      <c r="B49" s="787"/>
      <c r="C49" s="788"/>
      <c r="D49" s="789"/>
      <c r="E49" s="784" t="s">
        <v>1738</v>
      </c>
      <c r="F49" s="785">
        <f ca="1">F7</f>
        <v>52000</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1739</v>
      </c>
      <c r="F50" s="785">
        <f ca="1">F8</f>
        <v>365</v>
      </c>
      <c r="G50" s="2077"/>
      <c r="H50" s="2075"/>
      <c r="I50" s="3069" t="s">
        <v>2344</v>
      </c>
      <c r="J50" s="3094">
        <f>SUMPRODUCT((I63:I65=J47)*(J62:L62=J48)*(J63:L65))</f>
        <v>60</v>
      </c>
      <c r="K50" s="3099" t="s">
        <v>2350</v>
      </c>
      <c r="L50" s="2343"/>
      <c r="O50" s="2360" t="s">
        <v>2380</v>
      </c>
      <c r="P50" s="2358" t="s">
        <v>2404</v>
      </c>
      <c r="Q50" s="2359">
        <f ca="1">C29</f>
        <v>14477</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-4829</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2966</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22.4</v>
      </c>
      <c r="K53" s="3582" t="s">
        <v>2957</v>
      </c>
      <c r="L53" s="3583"/>
      <c r="O53" s="2360" t="s">
        <v>2385</v>
      </c>
      <c r="P53" s="2358" t="s">
        <v>2386</v>
      </c>
      <c r="Q53" s="2359">
        <f ca="1">J53</f>
        <v>22.4</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16039</v>
      </c>
      <c r="R54" s="2362" t="s">
        <v>2389</v>
      </c>
    </row>
    <row r="55" spans="1:18" s="2041" customFormat="1" ht="18" customHeight="1" thickTop="1" thickBot="1">
      <c r="A55" s="797">
        <v>2</v>
      </c>
      <c r="B55" s="798" t="s">
        <v>644</v>
      </c>
      <c r="C55" s="799">
        <f ca="1">C13</f>
        <v>14477</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2299</v>
      </c>
      <c r="C56" s="53">
        <f ca="1">C29</f>
        <v>14477</v>
      </c>
      <c r="D56" s="2598"/>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367</v>
      </c>
      <c r="D57" s="26" t="s">
        <v>1749</v>
      </c>
      <c r="E57" s="2599"/>
      <c r="F57" s="56"/>
      <c r="I57" s="3108" t="s">
        <v>2355</v>
      </c>
      <c r="J57" s="3109" t="str">
        <f ca="1">IF(OR(M47="住宅",J51&lt;L48,J56="是"),"——",J51-L48)</f>
        <v>——</v>
      </c>
      <c r="K57" s="3069" t="s">
        <v>2360</v>
      </c>
      <c r="L57" s="1890" t="str">
        <f ca="1">IF(L48&lt;J51,"——",IF(L55="比较法",L49,IF(L55="基准地价",L50,L51)))</f>
        <v>——</v>
      </c>
      <c r="O57" s="2357" t="s">
        <v>2376</v>
      </c>
      <c r="P57" s="2358" t="s">
        <v>2406</v>
      </c>
      <c r="Q57" s="2359">
        <f ca="1">C40+J29</f>
        <v>16039</v>
      </c>
      <c r="R57" s="2358" t="s">
        <v>2377</v>
      </c>
    </row>
    <row r="58" spans="1:18" s="2041" customFormat="1" ht="28.5" customHeight="1" thickBot="1">
      <c r="A58" s="1633" t="s">
        <v>1823</v>
      </c>
      <c r="B58" s="784" t="s">
        <v>656</v>
      </c>
      <c r="C58" s="53">
        <f ca="1">ROUND(IF(项目基本情况!B11="自然人",C47*F58,C59+C60+C61),1)</f>
        <v>128</v>
      </c>
      <c r="D58" s="2597" t="s">
        <v>657</v>
      </c>
      <c r="E58" s="2598"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2598" t="s">
        <v>1755</v>
      </c>
      <c r="E59" s="784" t="s">
        <v>1746</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1757</v>
      </c>
      <c r="C60" s="53">
        <f ca="1">IF(D60="按租金收入计税",ROUND(C47*F60,1),IF(D60="按房产原值计税",ROUND(C56*F60*0.7,1),INDIRECT("'数据-取费表'!Aj"&amp;$G$1)))</f>
        <v>121.6</v>
      </c>
      <c r="D60" s="2598" t="str">
        <f>D33</f>
        <v>按房产原值计税</v>
      </c>
      <c r="E60" s="784" t="s">
        <v>1746</v>
      </c>
      <c r="F60" s="809">
        <f t="shared" si="0"/>
        <v>1.2E-2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6.4</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3189.46</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217.2</v>
      </c>
      <c r="D63" s="2598" t="s">
        <v>1802</v>
      </c>
      <c r="E63" s="784" t="s">
        <v>1746</v>
      </c>
      <c r="F63" s="817">
        <f t="shared" ca="1" si="0"/>
        <v>1.4999999999999999E-2</v>
      </c>
      <c r="I63" s="3113" t="s">
        <v>2367</v>
      </c>
      <c r="J63" s="3114">
        <v>70</v>
      </c>
      <c r="K63" s="3114">
        <v>50</v>
      </c>
      <c r="L63" s="3114">
        <v>80</v>
      </c>
      <c r="M63" s="3116">
        <v>0.02</v>
      </c>
      <c r="O63" s="2357" t="s">
        <v>2388</v>
      </c>
      <c r="P63" s="2358" t="s">
        <v>2405</v>
      </c>
      <c r="Q63" s="2359">
        <f ca="1">Q57+Q58</f>
        <v>16039</v>
      </c>
      <c r="R63" s="2362" t="s">
        <v>2389</v>
      </c>
    </row>
    <row r="64" spans="1:18" s="2041" customFormat="1" ht="16.5" thickBot="1">
      <c r="A64" s="1633" t="s">
        <v>1889</v>
      </c>
      <c r="B64" s="784" t="s">
        <v>679</v>
      </c>
      <c r="C64" s="53">
        <f ca="1">ROUND(C55*F64,1)</f>
        <v>21.7</v>
      </c>
      <c r="D64" s="2598" t="s">
        <v>680</v>
      </c>
      <c r="E64" s="784" t="s">
        <v>1746</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2598" t="s">
        <v>683</v>
      </c>
      <c r="E65" s="784" t="s">
        <v>1746</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-367</v>
      </c>
      <c r="D66" s="2597" t="s">
        <v>700</v>
      </c>
      <c r="E66" s="2596"/>
      <c r="F66" s="820"/>
      <c r="K66" s="2068"/>
      <c r="O66" s="2357" t="s">
        <v>2376</v>
      </c>
      <c r="P66" s="2358" t="s">
        <v>2406</v>
      </c>
      <c r="Q66" s="2359">
        <f ca="1">C40+J29</f>
        <v>16039</v>
      </c>
      <c r="R66" s="2358" t="s">
        <v>2377</v>
      </c>
    </row>
    <row r="67" spans="1:18" s="2041" customFormat="1" ht="20.25" thickBot="1">
      <c r="A67" s="781" t="s">
        <v>1779</v>
      </c>
      <c r="B67" s="2214" t="s">
        <v>2298</v>
      </c>
      <c r="C67" s="783">
        <f ca="1">ROUND(C66*(1-((1+F69)/(1+F67))^F68)/(F67-F69),0)</f>
        <v>-5113</v>
      </c>
      <c r="D67" s="814" t="s">
        <v>704</v>
      </c>
      <c r="E67" s="784" t="s">
        <v>705</v>
      </c>
      <c r="F67" s="794">
        <f ca="1">F40</f>
        <v>4.4999999999999998E-2</v>
      </c>
      <c r="K67" s="2068"/>
      <c r="O67" s="2357" t="s">
        <v>2378</v>
      </c>
      <c r="P67" s="2358" t="s">
        <v>2409</v>
      </c>
      <c r="Q67" s="2359">
        <f ca="1">L60</f>
        <v>0</v>
      </c>
      <c r="R67" s="2362" t="s">
        <v>2411</v>
      </c>
    </row>
    <row r="68" spans="1:18" ht="21.75" thickBot="1">
      <c r="A68" s="786"/>
      <c r="B68" s="787"/>
      <c r="C68" s="788"/>
      <c r="D68" s="821" t="s">
        <v>1807</v>
      </c>
      <c r="E68" s="784" t="s">
        <v>1783</v>
      </c>
      <c r="F68" s="822">
        <f ca="1">F41</f>
        <v>22.4</v>
      </c>
      <c r="O68" s="2360" t="s">
        <v>2380</v>
      </c>
      <c r="P68" s="2358" t="s">
        <v>2410</v>
      </c>
      <c r="Q68" s="2364">
        <f ca="1">L51</f>
        <v>-4829</v>
      </c>
      <c r="R68" s="2365" t="s">
        <v>2413</v>
      </c>
    </row>
    <row r="69" spans="1:18" ht="20.25" thickBot="1">
      <c r="A69" s="790"/>
      <c r="B69" s="791"/>
      <c r="C69" s="792"/>
      <c r="D69" s="816"/>
      <c r="E69" s="784" t="s">
        <v>710</v>
      </c>
      <c r="F69" s="2330"/>
      <c r="O69" s="2360" t="s">
        <v>2381</v>
      </c>
      <c r="P69" s="2366" t="s">
        <v>2395</v>
      </c>
      <c r="Q69" s="2359">
        <f ca="1">ROUND(Q70-Q71*Q72,0)</f>
        <v>-318</v>
      </c>
      <c r="R69" s="2362"/>
    </row>
    <row r="70" spans="1:18" ht="15.75" thickBot="1">
      <c r="A70" s="823" t="s">
        <v>1786</v>
      </c>
      <c r="B70" s="824" t="s">
        <v>1809</v>
      </c>
      <c r="C70" s="825">
        <f ca="1">ROUND(C67*10000/F70,0)</f>
        <v>-983</v>
      </c>
      <c r="D70" s="826" t="s">
        <v>1810</v>
      </c>
      <c r="E70" s="827" t="s">
        <v>1811</v>
      </c>
      <c r="F70" s="828">
        <f ca="1">F43</f>
        <v>52000</v>
      </c>
      <c r="O70" s="2360" t="s">
        <v>2396</v>
      </c>
      <c r="P70" s="2366" t="s">
        <v>2397</v>
      </c>
      <c r="Q70" s="2359">
        <f ca="1">C39</f>
        <v>913</v>
      </c>
      <c r="R70" s="2358" t="s">
        <v>2377</v>
      </c>
    </row>
    <row r="71" spans="1:18" ht="15.75" thickBot="1">
      <c r="O71" s="2360" t="s">
        <v>2398</v>
      </c>
      <c r="P71" s="2366" t="s">
        <v>2399</v>
      </c>
      <c r="Q71" s="2359">
        <f ca="1">C13</f>
        <v>14477</v>
      </c>
      <c r="R71" s="2358" t="s">
        <v>2377</v>
      </c>
    </row>
    <row r="72" spans="1:18" ht="15.75" thickBot="1">
      <c r="O72" s="2360" t="s">
        <v>2400</v>
      </c>
      <c r="P72" s="2366" t="s">
        <v>2401</v>
      </c>
      <c r="Q72" s="2361">
        <f ca="1">J36</f>
        <v>8.5000000000000006E-2</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16039</v>
      </c>
      <c r="R76" s="236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6" t="s">
        <v>2468</v>
      </c>
      <c r="B1" s="3607"/>
      <c r="C1" s="3608"/>
      <c r="D1" s="3609">
        <f>SUM(I10,I15,I20,I21,I23)</f>
        <v>0</v>
      </c>
      <c r="E1" s="3609"/>
      <c r="F1" s="3609"/>
      <c r="G1" s="3609"/>
      <c r="H1" s="3609"/>
      <c r="I1" s="3610"/>
    </row>
    <row r="2" spans="1:9">
      <c r="A2" s="3596" t="s">
        <v>2469</v>
      </c>
      <c r="B2" s="3597" t="s">
        <v>2470</v>
      </c>
      <c r="C2" s="3597"/>
      <c r="D2" s="2466" t="s">
        <v>2471</v>
      </c>
      <c r="E2" s="2466" t="s">
        <v>2472</v>
      </c>
      <c r="F2" s="2466" t="s">
        <v>2473</v>
      </c>
      <c r="G2" s="2466" t="s">
        <v>2474</v>
      </c>
      <c r="H2" s="2466" t="s">
        <v>2475</v>
      </c>
      <c r="I2" s="2467" t="s">
        <v>2476</v>
      </c>
    </row>
    <row r="3" spans="1:9">
      <c r="A3" s="3596"/>
      <c r="B3" s="3597" t="s">
        <v>2477</v>
      </c>
      <c r="C3" s="3597"/>
      <c r="D3" s="2468"/>
      <c r="E3" s="2466"/>
      <c r="F3" s="2469"/>
      <c r="G3" s="2469"/>
      <c r="H3" s="2470"/>
      <c r="I3" s="2471">
        <f>ROUND(D3*E3*F3*G3*H3/10000,0)</f>
        <v>0</v>
      </c>
    </row>
    <row r="4" spans="1:9">
      <c r="A4" s="3596"/>
      <c r="B4" s="3597" t="s">
        <v>2478</v>
      </c>
      <c r="C4" s="3597"/>
      <c r="D4" s="2468"/>
      <c r="E4" s="2466"/>
      <c r="F4" s="2469"/>
      <c r="G4" s="2469"/>
      <c r="H4" s="2470"/>
      <c r="I4" s="2471">
        <f t="shared" ref="I4:I9" si="0">ROUND(D4*E4*F4*G4*H4/10000,0)</f>
        <v>0</v>
      </c>
    </row>
    <row r="5" spans="1:9">
      <c r="A5" s="3596"/>
      <c r="B5" s="3597" t="s">
        <v>2479</v>
      </c>
      <c r="C5" s="3597"/>
      <c r="D5" s="2468"/>
      <c r="E5" s="2466"/>
      <c r="F5" s="2469"/>
      <c r="G5" s="2469"/>
      <c r="H5" s="2470"/>
      <c r="I5" s="2471">
        <f t="shared" si="0"/>
        <v>0</v>
      </c>
    </row>
    <row r="6" spans="1:9">
      <c r="A6" s="3596"/>
      <c r="B6" s="3597" t="s">
        <v>2480</v>
      </c>
      <c r="C6" s="3597"/>
      <c r="D6" s="2468"/>
      <c r="E6" s="2466"/>
      <c r="F6" s="2469"/>
      <c r="G6" s="2469"/>
      <c r="H6" s="2470"/>
      <c r="I6" s="2471">
        <f t="shared" si="0"/>
        <v>0</v>
      </c>
    </row>
    <row r="7" spans="1:9">
      <c r="A7" s="3596"/>
      <c r="B7" s="3597" t="s">
        <v>2481</v>
      </c>
      <c r="C7" s="3597"/>
      <c r="D7" s="2468"/>
      <c r="E7" s="2466"/>
      <c r="F7" s="2469"/>
      <c r="G7" s="2469"/>
      <c r="H7" s="2470"/>
      <c r="I7" s="2471">
        <f t="shared" si="0"/>
        <v>0</v>
      </c>
    </row>
    <row r="8" spans="1:9">
      <c r="A8" s="3596"/>
      <c r="B8" s="3597" t="s">
        <v>2482</v>
      </c>
      <c r="C8" s="3597"/>
      <c r="D8" s="2468"/>
      <c r="E8" s="2466"/>
      <c r="F8" s="2469"/>
      <c r="G8" s="2469"/>
      <c r="H8" s="2470"/>
      <c r="I8" s="2471">
        <f t="shared" si="0"/>
        <v>0</v>
      </c>
    </row>
    <row r="9" spans="1:9">
      <c r="A9" s="3596"/>
      <c r="B9" s="3597" t="s">
        <v>2483</v>
      </c>
      <c r="C9" s="3597"/>
      <c r="D9" s="2468"/>
      <c r="E9" s="2466"/>
      <c r="F9" s="2469"/>
      <c r="G9" s="2469"/>
      <c r="H9" s="2470"/>
      <c r="I9" s="2471">
        <f t="shared" si="0"/>
        <v>0</v>
      </c>
    </row>
    <row r="10" spans="1:9">
      <c r="A10" s="3596"/>
      <c r="B10" s="3598" t="s">
        <v>2484</v>
      </c>
      <c r="C10" s="3598"/>
      <c r="D10" s="2472">
        <v>527</v>
      </c>
      <c r="E10" s="2472" t="e">
        <f>ROUND(D1*10000/D10/H9,0)</f>
        <v>#DIV/0!</v>
      </c>
      <c r="F10" s="2473"/>
      <c r="G10" s="2473"/>
      <c r="H10" s="2474"/>
      <c r="I10" s="2475">
        <f>SUM(I3:I9)</f>
        <v>0</v>
      </c>
    </row>
    <row r="11" spans="1:9" ht="14.25">
      <c r="A11" s="3596" t="s">
        <v>2485</v>
      </c>
      <c r="B11" s="3597" t="s">
        <v>2486</v>
      </c>
      <c r="C11" s="3597"/>
      <c r="D11" s="2468" t="s">
        <v>2487</v>
      </c>
      <c r="E11" s="2468" t="s">
        <v>2488</v>
      </c>
      <c r="F11" s="2469" t="s">
        <v>2489</v>
      </c>
      <c r="G11" s="2469" t="s">
        <v>2490</v>
      </c>
      <c r="H11" s="2476" t="s">
        <v>2491</v>
      </c>
      <c r="I11" s="2467" t="s">
        <v>2492</v>
      </c>
    </row>
    <row r="12" spans="1:9">
      <c r="A12" s="3596"/>
      <c r="B12" s="3597" t="s">
        <v>2493</v>
      </c>
      <c r="C12" s="3597"/>
      <c r="D12" s="2468"/>
      <c r="E12" s="2468"/>
      <c r="F12" s="2469"/>
      <c r="G12" s="2470"/>
      <c r="H12" s="2477"/>
      <c r="I12" s="2467">
        <f>ROUND(D12*E12*F12*G12/10000,0)</f>
        <v>0</v>
      </c>
    </row>
    <row r="13" spans="1:9">
      <c r="A13" s="3596"/>
      <c r="B13" s="3597" t="s">
        <v>2494</v>
      </c>
      <c r="C13" s="3597"/>
      <c r="D13" s="2468"/>
      <c r="E13" s="2468"/>
      <c r="F13" s="2469"/>
      <c r="G13" s="2470"/>
      <c r="H13" s="2477"/>
      <c r="I13" s="2467">
        <f>ROUND(D13*E13*F13*G13/10000,0)</f>
        <v>0</v>
      </c>
    </row>
    <row r="14" spans="1:9">
      <c r="A14" s="3596"/>
      <c r="B14" s="3597" t="s">
        <v>2495</v>
      </c>
      <c r="C14" s="3597"/>
      <c r="D14" s="2468"/>
      <c r="E14" s="2468"/>
      <c r="F14" s="2469"/>
      <c r="G14" s="2470"/>
      <c r="H14" s="2477"/>
      <c r="I14" s="2467">
        <f>ROUND(D14*E14*F14*G14/10000,0)</f>
        <v>0</v>
      </c>
    </row>
    <row r="15" spans="1:9">
      <c r="A15" s="3596"/>
      <c r="B15" s="3598" t="s">
        <v>2484</v>
      </c>
      <c r="C15" s="3598"/>
      <c r="D15" s="2472"/>
      <c r="E15" s="2472">
        <f>SUM(E12:E14)</f>
        <v>0</v>
      </c>
      <c r="F15" s="2473"/>
      <c r="G15" s="2470"/>
      <c r="H15" s="2477"/>
      <c r="I15" s="2478">
        <f>SUM(I12:I14)</f>
        <v>0</v>
      </c>
    </row>
    <row r="16" spans="1:9" ht="24">
      <c r="A16" s="3596" t="s">
        <v>2496</v>
      </c>
      <c r="B16" s="3597" t="s">
        <v>2497</v>
      </c>
      <c r="C16" s="3597"/>
      <c r="D16" s="2468" t="s">
        <v>2498</v>
      </c>
      <c r="E16" s="2479" t="s">
        <v>2499</v>
      </c>
      <c r="F16" s="2469" t="s">
        <v>2500</v>
      </c>
      <c r="G16" s="2470" t="s">
        <v>2490</v>
      </c>
      <c r="H16" s="2476" t="s">
        <v>2491</v>
      </c>
      <c r="I16" s="2467" t="s">
        <v>2492</v>
      </c>
    </row>
    <row r="17" spans="1:9" ht="14.25">
      <c r="A17" s="3596"/>
      <c r="B17" s="3597" t="s">
        <v>2501</v>
      </c>
      <c r="C17" s="3597"/>
      <c r="D17" s="2468"/>
      <c r="E17" s="2468"/>
      <c r="F17" s="2469"/>
      <c r="G17" s="2470"/>
      <c r="H17" s="2480"/>
      <c r="I17" s="2481">
        <f>ROUND(D17*E17*F17*G17/10000,0)</f>
        <v>0</v>
      </c>
    </row>
    <row r="18" spans="1:9" ht="14.25">
      <c r="A18" s="3596"/>
      <c r="B18" s="3597" t="s">
        <v>2502</v>
      </c>
      <c r="C18" s="3597"/>
      <c r="D18" s="2468"/>
      <c r="E18" s="2468"/>
      <c r="F18" s="2469"/>
      <c r="G18" s="2470"/>
      <c r="H18" s="2480"/>
      <c r="I18" s="2481">
        <f>ROUND(D18*E18*F18*G18/10000,0)</f>
        <v>0</v>
      </c>
    </row>
    <row r="19" spans="1:9" ht="14.25">
      <c r="A19" s="3596"/>
      <c r="B19" s="3597" t="s">
        <v>2503</v>
      </c>
      <c r="C19" s="3597"/>
      <c r="D19" s="2468"/>
      <c r="E19" s="2468"/>
      <c r="F19" s="2469"/>
      <c r="G19" s="2470"/>
      <c r="H19" s="2480"/>
      <c r="I19" s="2481">
        <f>ROUND(D19*E19*F19*G19/10000,0)</f>
        <v>0</v>
      </c>
    </row>
    <row r="20" spans="1:9">
      <c r="A20" s="3596"/>
      <c r="B20" s="3598" t="s">
        <v>2484</v>
      </c>
      <c r="C20" s="3598"/>
      <c r="D20" s="2472">
        <f>SUM(D17:D19)</f>
        <v>0</v>
      </c>
      <c r="E20" s="2472"/>
      <c r="F20" s="2473"/>
      <c r="G20" s="2470"/>
      <c r="H20" s="2477"/>
      <c r="I20" s="2478">
        <f>SUM(I17:I19)</f>
        <v>0</v>
      </c>
    </row>
    <row r="21" spans="1:9">
      <c r="A21" s="3596" t="s">
        <v>2504</v>
      </c>
      <c r="B21" s="3599"/>
      <c r="C21" s="3599"/>
      <c r="D21" s="3599"/>
      <c r="E21" s="3599"/>
      <c r="F21" s="3599"/>
      <c r="G21" s="3599"/>
      <c r="H21" s="2482">
        <v>0.1</v>
      </c>
      <c r="I21" s="2475">
        <f>ROUND(I10*H21,0)</f>
        <v>0</v>
      </c>
    </row>
    <row r="22" spans="1:9" ht="14.25">
      <c r="A22" s="3600" t="s">
        <v>2505</v>
      </c>
      <c r="B22" s="3601"/>
      <c r="C22" s="3602"/>
      <c r="D22" s="2483" t="s">
        <v>2506</v>
      </c>
      <c r="E22" s="2483" t="s">
        <v>2507</v>
      </c>
      <c r="F22" s="2484" t="s">
        <v>2508</v>
      </c>
      <c r="G22" s="2484" t="s">
        <v>2509</v>
      </c>
      <c r="H22" s="2476" t="s">
        <v>2510</v>
      </c>
      <c r="I22" s="2467" t="s">
        <v>2511</v>
      </c>
    </row>
    <row r="23" spans="1:9" ht="14.25" thickBot="1">
      <c r="A23" s="3603"/>
      <c r="B23" s="3604"/>
      <c r="C23" s="3605"/>
      <c r="D23" s="2485"/>
      <c r="E23" s="2485"/>
      <c r="F23" s="2485"/>
      <c r="G23" s="2486"/>
      <c r="H23" s="2487"/>
      <c r="I23" s="2488">
        <f>ROUND(E23*D23*F23*(1-G23)/10000,0)</f>
        <v>0</v>
      </c>
    </row>
    <row r="26" spans="1:9">
      <c r="A26" s="2489" t="s">
        <v>2512</v>
      </c>
      <c r="B26" s="2489"/>
      <c r="C26" s="2489"/>
      <c r="D26" s="2489"/>
      <c r="E26" s="3593">
        <f>C27-C30-C31-C32</f>
        <v>0</v>
      </c>
      <c r="F26" s="3593"/>
      <c r="G26" s="3593"/>
      <c r="H26" s="2989" t="s">
        <v>2839</v>
      </c>
    </row>
    <row r="27" spans="1:9">
      <c r="A27" s="2490">
        <v>1</v>
      </c>
      <c r="B27" s="2491" t="s">
        <v>2513</v>
      </c>
      <c r="C27" s="2491"/>
      <c r="D27" s="2491"/>
      <c r="E27" s="3594"/>
      <c r="F27" s="3594"/>
      <c r="G27" s="3594"/>
    </row>
    <row r="28" spans="1:9">
      <c r="A28" s="2492" t="s">
        <v>2514</v>
      </c>
      <c r="B28" s="2491" t="s">
        <v>2515</v>
      </c>
      <c r="C28" s="2491"/>
      <c r="D28" s="2491"/>
      <c r="E28" s="3594"/>
      <c r="F28" s="3594"/>
      <c r="G28" s="3594"/>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595"/>
      <c r="F32" s="3595"/>
      <c r="G32" s="3595"/>
    </row>
    <row r="33" spans="1:7" hidden="1">
      <c r="A33" s="3590" t="s">
        <v>2523</v>
      </c>
      <c r="B33" s="3591"/>
      <c r="C33" s="3591"/>
      <c r="D33" s="3592"/>
      <c r="E33" s="3593"/>
      <c r="F33" s="3593"/>
      <c r="G33" s="3593"/>
    </row>
    <row r="34" spans="1:7" hidden="1">
      <c r="A34" s="2494">
        <v>1</v>
      </c>
      <c r="B34" s="2491" t="s">
        <v>2524</v>
      </c>
      <c r="C34" s="2491"/>
      <c r="D34" s="2491"/>
      <c r="E34" s="3594"/>
      <c r="F34" s="3594"/>
      <c r="G34" s="3594"/>
    </row>
    <row r="35" spans="1:7" hidden="1">
      <c r="A35" s="2494">
        <v>2</v>
      </c>
      <c r="B35" s="2491" t="s">
        <v>2525</v>
      </c>
      <c r="C35" s="2491"/>
      <c r="D35" s="2491"/>
      <c r="E35" s="3594"/>
      <c r="F35" s="3594"/>
      <c r="G35" s="3594"/>
    </row>
    <row r="36" spans="1:7" hidden="1">
      <c r="A36" s="2494">
        <v>3</v>
      </c>
      <c r="B36" s="2491" t="s">
        <v>2526</v>
      </c>
      <c r="C36" s="2491"/>
      <c r="D36" s="2491"/>
      <c r="E36" s="3594"/>
      <c r="F36" s="3594"/>
      <c r="G36" s="3594"/>
    </row>
    <row r="37" spans="1:7" hidden="1">
      <c r="A37" s="2494">
        <v>4</v>
      </c>
      <c r="B37" s="2491" t="s">
        <v>2527</v>
      </c>
      <c r="C37" s="2491"/>
      <c r="D37" s="2491"/>
      <c r="E37" s="3594"/>
      <c r="F37" s="3594"/>
      <c r="G37" s="3594"/>
    </row>
    <row r="38" spans="1:7" hidden="1">
      <c r="A38" s="3590" t="s">
        <v>2528</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93.75">
      <c r="A7" s="2823" t="s">
        <v>2744</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5" t="s">
        <v>2745</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4" t="s">
        <v>1684</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28">
        <v>1</v>
      </c>
      <c r="B7" s="748" t="s">
        <v>609</v>
      </c>
      <c r="C7" s="749">
        <f>C8+C9</f>
        <v>0</v>
      </c>
      <c r="D7" s="749"/>
      <c r="E7" s="750"/>
      <c r="F7" s="750"/>
      <c r="G7" s="2438"/>
    </row>
    <row r="8" spans="1:25" s="2165" customFormat="1" ht="13.5" customHeight="1">
      <c r="A8" s="2428" t="s">
        <v>2437</v>
      </c>
      <c r="B8" s="2431" t="s">
        <v>2439</v>
      </c>
      <c r="C8" s="2432"/>
      <c r="D8" s="749"/>
      <c r="E8" s="750"/>
      <c r="F8" s="750"/>
      <c r="G8" s="751"/>
    </row>
    <row r="9" spans="1:25" s="2165" customFormat="1" ht="13.5" customHeight="1">
      <c r="A9" s="2428" t="s">
        <v>2438</v>
      </c>
      <c r="B9" s="2431" t="s">
        <v>2440</v>
      </c>
      <c r="C9" s="2432"/>
      <c r="D9" s="749"/>
      <c r="E9" s="750"/>
      <c r="F9" s="750"/>
      <c r="G9" s="751"/>
    </row>
    <row r="10" spans="1:25" s="2165" customFormat="1" ht="36">
      <c r="A10" s="2428">
        <v>2</v>
      </c>
      <c r="B10" s="748" t="s">
        <v>613</v>
      </c>
      <c r="C10" s="749">
        <f>C11+C14+C15</f>
        <v>0</v>
      </c>
      <c r="D10" s="760">
        <f>'数据-汇总表'!E3</f>
        <v>394084</v>
      </c>
      <c r="E10" s="749">
        <f>'数据-取费表'!B31</f>
        <v>90</v>
      </c>
      <c r="F10" s="761"/>
      <c r="G10" s="759" t="s">
        <v>614</v>
      </c>
    </row>
    <row r="11" spans="1:25" s="2165" customFormat="1" ht="13.5" customHeight="1">
      <c r="A11" s="2428" t="s">
        <v>2437</v>
      </c>
      <c r="B11" s="752" t="s">
        <v>610</v>
      </c>
      <c r="C11" s="753">
        <f>'数据-取费表'!B29</f>
        <v>0</v>
      </c>
      <c r="D11" s="754"/>
      <c r="E11" s="753"/>
      <c r="F11" s="755"/>
      <c r="G11" s="2437" t="s">
        <v>2448</v>
      </c>
    </row>
    <row r="12" spans="1:25" s="2165" customFormat="1" ht="13.5" customHeight="1">
      <c r="A12" s="2435" t="s">
        <v>2445</v>
      </c>
      <c r="B12" s="756" t="s">
        <v>611</v>
      </c>
      <c r="C12" s="757">
        <f>ROUND(D12*E12/10000,0)</f>
        <v>5532</v>
      </c>
      <c r="D12" s="758">
        <f>'数据-汇总表'!E5</f>
        <v>190772</v>
      </c>
      <c r="E12" s="757">
        <f>'数据-取费表'!B27</f>
        <v>290</v>
      </c>
      <c r="F12" s="755"/>
      <c r="G12" s="759"/>
    </row>
    <row r="13" spans="1:25" s="2165" customFormat="1" ht="13.5" customHeight="1">
      <c r="A13" s="2435" t="s">
        <v>2444</v>
      </c>
      <c r="B13" s="756" t="s">
        <v>612</v>
      </c>
      <c r="C13" s="757">
        <f>ROUND(D13*E13/10000,0)</f>
        <v>5896</v>
      </c>
      <c r="D13" s="758">
        <f>'数据-汇总表'!E6</f>
        <v>203312</v>
      </c>
      <c r="E13" s="757">
        <f>'数据-取费表'!B28</f>
        <v>290</v>
      </c>
      <c r="F13" s="755"/>
      <c r="G13" s="759"/>
    </row>
    <row r="14" spans="1:25" s="2165" customFormat="1" ht="13.5" customHeight="1">
      <c r="A14" s="2428" t="s">
        <v>2438</v>
      </c>
      <c r="B14" s="2434" t="s">
        <v>2441</v>
      </c>
      <c r="C14" s="2432"/>
      <c r="D14" s="758"/>
      <c r="E14" s="757"/>
      <c r="F14" s="2433"/>
      <c r="G14" s="2436" t="s">
        <v>2446</v>
      </c>
    </row>
    <row r="15" spans="1:25" s="2165" customFormat="1" ht="13.5" customHeight="1">
      <c r="A15" s="2428" t="s">
        <v>2443</v>
      </c>
      <c r="B15" s="2434" t="s">
        <v>2442</v>
      </c>
      <c r="C15" s="2432"/>
      <c r="D15" s="758"/>
      <c r="E15" s="757"/>
      <c r="F15" s="2433"/>
      <c r="G15" s="2436" t="s">
        <v>2447</v>
      </c>
    </row>
    <row r="16" spans="1:25" s="2166" customFormat="1" ht="48">
      <c r="A16" s="2428">
        <v>3</v>
      </c>
      <c r="B16" s="748" t="s">
        <v>615</v>
      </c>
      <c r="C16" s="2432"/>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29">
        <v>4</v>
      </c>
      <c r="B17" s="748" t="s">
        <v>616</v>
      </c>
      <c r="C17" s="253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0"/>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29">
        <v>5</v>
      </c>
      <c r="B18" s="748" t="s">
        <v>617</v>
      </c>
      <c r="C18" s="749">
        <f>ROUND((C7+C10+C16)*F18,0)</f>
        <v>0</v>
      </c>
      <c r="D18" s="762"/>
      <c r="E18" s="763"/>
      <c r="F18" s="761">
        <f>'数据-取费表'!Q16</f>
        <v>0.09</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8">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8">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8">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8">
        <v>9</v>
      </c>
      <c r="B22" s="748" t="s">
        <v>625</v>
      </c>
      <c r="C22" s="749">
        <f ca="1">ROUND(C21*F22,0)</f>
        <v>0</v>
      </c>
      <c r="D22" s="760"/>
      <c r="E22" s="749"/>
      <c r="F22" s="766">
        <f>'数据-取费表'!AP16</f>
        <v>0.72099999999999997</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0">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7"/>
      <c r="G1" s="1585" t="s">
        <v>721</v>
      </c>
      <c r="H1" s="506"/>
      <c r="I1" s="506"/>
      <c r="J1" s="506"/>
      <c r="K1" s="507"/>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2" t="s">
        <v>521</v>
      </c>
      <c r="B4" s="513"/>
      <c r="C4" s="3503" t="s">
        <v>522</v>
      </c>
      <c r="D4" s="3504"/>
      <c r="E4" s="3527" t="s">
        <v>523</v>
      </c>
      <c r="F4" s="3528"/>
      <c r="G4" s="3503" t="s">
        <v>524</v>
      </c>
      <c r="H4" s="3504"/>
      <c r="I4" s="3503" t="s">
        <v>525</v>
      </c>
      <c r="J4" s="3504"/>
      <c r="K4" s="514" t="s">
        <v>526</v>
      </c>
      <c r="L4" s="2115"/>
      <c r="M4" s="2116"/>
      <c r="N4" s="2116"/>
      <c r="O4" s="2116"/>
      <c r="P4" s="3611" t="s">
        <v>527</v>
      </c>
      <c r="Q4" s="3506"/>
      <c r="R4" s="3491" t="s">
        <v>523</v>
      </c>
      <c r="S4" s="3492"/>
      <c r="T4" s="3491" t="s">
        <v>524</v>
      </c>
      <c r="U4" s="3492"/>
      <c r="V4" s="3511" t="s">
        <v>525</v>
      </c>
      <c r="W4" s="3511"/>
      <c r="X4" s="1552"/>
      <c r="Y4" s="3491" t="s">
        <v>527</v>
      </c>
      <c r="Z4" s="3492"/>
      <c r="AA4" s="3486" t="s">
        <v>523</v>
      </c>
      <c r="AB4" s="3486" t="s">
        <v>524</v>
      </c>
      <c r="AC4" s="3486" t="s">
        <v>525</v>
      </c>
    </row>
    <row r="5" spans="1:29" ht="15">
      <c r="A5" s="515"/>
      <c r="B5" s="516"/>
      <c r="C5" s="3514" t="s">
        <v>2920</v>
      </c>
      <c r="D5" s="3515"/>
      <c r="E5" s="3529" t="s">
        <v>2921</v>
      </c>
      <c r="F5" s="3530"/>
      <c r="G5" s="3514" t="s">
        <v>2922</v>
      </c>
      <c r="H5" s="3515"/>
      <c r="I5" s="3514" t="s">
        <v>2923</v>
      </c>
      <c r="J5" s="3515"/>
      <c r="K5" s="514"/>
      <c r="L5" s="2115"/>
      <c r="M5" s="2116"/>
      <c r="N5" s="2116"/>
      <c r="O5" s="2116"/>
      <c r="P5" s="3612"/>
      <c r="Q5" s="3508"/>
      <c r="R5" s="3493"/>
      <c r="S5" s="3494"/>
      <c r="T5" s="3493"/>
      <c r="U5" s="3494"/>
      <c r="V5" s="3511"/>
      <c r="W5" s="3511"/>
      <c r="X5" s="1552"/>
      <c r="Y5" s="3493"/>
      <c r="Z5" s="3494"/>
      <c r="AA5" s="3487"/>
      <c r="AB5" s="3487"/>
      <c r="AC5" s="3487"/>
    </row>
    <row r="6" spans="1:29" ht="15.75" thickBot="1">
      <c r="A6" s="517"/>
      <c r="B6" s="518"/>
      <c r="C6" s="3512" t="s">
        <v>2924</v>
      </c>
      <c r="D6" s="3513"/>
      <c r="E6" s="3531" t="s">
        <v>2924</v>
      </c>
      <c r="F6" s="3532"/>
      <c r="G6" s="3512" t="s">
        <v>2924</v>
      </c>
      <c r="H6" s="3513"/>
      <c r="I6" s="3512" t="s">
        <v>2924</v>
      </c>
      <c r="J6" s="3513"/>
      <c r="K6" s="514" t="s">
        <v>528</v>
      </c>
      <c r="L6" s="2115"/>
      <c r="M6" s="2116"/>
      <c r="N6" s="2116"/>
      <c r="O6" s="2116"/>
      <c r="P6" s="3613"/>
      <c r="Q6" s="3510"/>
      <c r="R6" s="3493"/>
      <c r="S6" s="3494"/>
      <c r="T6" s="3495"/>
      <c r="U6" s="3496"/>
      <c r="V6" s="3511"/>
      <c r="W6" s="3511"/>
      <c r="X6" s="1552"/>
      <c r="Y6" s="3495"/>
      <c r="Z6" s="3496"/>
      <c r="AA6" s="3488"/>
      <c r="AB6" s="3488"/>
      <c r="AC6" s="3488"/>
    </row>
    <row r="7" spans="1:29" s="1215" customFormat="1" ht="15.75" thickBot="1">
      <c r="A7" s="2861"/>
      <c r="B7" s="2868" t="s">
        <v>529</v>
      </c>
      <c r="C7" s="519">
        <f>'数据-取费表'!B2</f>
        <v>43602</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98" t="s">
        <v>530</v>
      </c>
      <c r="Q7" s="3498"/>
      <c r="R7" s="1553" t="s">
        <v>8</v>
      </c>
      <c r="S7" s="1554">
        <f t="shared" ref="S7:S15" si="0">F7</f>
        <v>0</v>
      </c>
      <c r="T7" s="1553" t="s">
        <v>8</v>
      </c>
      <c r="U7" s="1554">
        <f t="shared" ref="U7:U15" si="1">H7</f>
        <v>0</v>
      </c>
      <c r="V7" s="1553" t="s">
        <v>8</v>
      </c>
      <c r="W7" s="1554">
        <f t="shared" ref="W7:W15" si="2">J7</f>
        <v>0</v>
      </c>
      <c r="X7" s="1555"/>
      <c r="Y7" s="3489" t="s">
        <v>530</v>
      </c>
      <c r="Z7" s="3490"/>
      <c r="AA7" s="1556" t="e">
        <f>D7/F7</f>
        <v>#DIV/0!</v>
      </c>
      <c r="AB7" s="1556" t="e">
        <f>D7/H7</f>
        <v>#DIV/0!</v>
      </c>
      <c r="AC7" s="1556" t="e">
        <f>D7/J7</f>
        <v>#DIV/0!</v>
      </c>
    </row>
    <row r="8" spans="1:29" s="1215" customFormat="1" ht="15.75" thickBot="1">
      <c r="A8" s="2862"/>
      <c r="B8" s="2869"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98" t="s">
        <v>533</v>
      </c>
      <c r="Q8" s="3490"/>
      <c r="R8" s="1553" t="s">
        <v>8</v>
      </c>
      <c r="S8" s="1554">
        <f t="shared" si="0"/>
        <v>0</v>
      </c>
      <c r="T8" s="1553" t="s">
        <v>8</v>
      </c>
      <c r="U8" s="1554">
        <f t="shared" si="1"/>
        <v>0</v>
      </c>
      <c r="V8" s="1553" t="s">
        <v>8</v>
      </c>
      <c r="W8" s="1554">
        <f t="shared" si="2"/>
        <v>0</v>
      </c>
      <c r="X8" s="1555"/>
      <c r="Y8" s="3489" t="s">
        <v>533</v>
      </c>
      <c r="Z8" s="3490"/>
      <c r="AA8" s="1556" t="e">
        <f t="shared" ref="AA8:AA47" si="3">D8/F8</f>
        <v>#DIV/0!</v>
      </c>
      <c r="AB8" s="1556" t="e">
        <f t="shared" ref="AB8:AB47" si="4">D8/H8</f>
        <v>#DIV/0!</v>
      </c>
      <c r="AC8" s="1556" t="e">
        <f t="shared" ref="AC8:AC47" si="5">D8/J8</f>
        <v>#DIV/0!</v>
      </c>
    </row>
    <row r="9" spans="1:29" s="1215" customFormat="1" ht="15">
      <c r="A9" s="2863"/>
      <c r="B9" s="2870"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497" t="s">
        <v>535</v>
      </c>
      <c r="Q9" s="1146" t="str">
        <f t="shared" ref="Q9:Q15" si="6">B9</f>
        <v>用途</v>
      </c>
      <c r="R9" s="1553" t="s">
        <v>8</v>
      </c>
      <c r="S9" s="1554">
        <f t="shared" si="0"/>
        <v>100</v>
      </c>
      <c r="T9" s="1553" t="s">
        <v>8</v>
      </c>
      <c r="U9" s="1554">
        <f t="shared" si="1"/>
        <v>100</v>
      </c>
      <c r="V9" s="1553" t="s">
        <v>8</v>
      </c>
      <c r="W9" s="1554">
        <f t="shared" si="2"/>
        <v>100</v>
      </c>
      <c r="X9" s="1555"/>
      <c r="Y9" s="3454"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497"/>
      <c r="Q10" s="1146" t="str">
        <f t="shared" si="6"/>
        <v>土地使用年限（年）</v>
      </c>
      <c r="R10" s="1553" t="s">
        <v>8</v>
      </c>
      <c r="S10" s="1554">
        <f t="shared" si="0"/>
        <v>100</v>
      </c>
      <c r="T10" s="1553" t="s">
        <v>8</v>
      </c>
      <c r="U10" s="1554">
        <f t="shared" si="1"/>
        <v>100</v>
      </c>
      <c r="V10" s="1553" t="s">
        <v>8</v>
      </c>
      <c r="W10" s="1554">
        <f t="shared" si="2"/>
        <v>100</v>
      </c>
      <c r="X10" s="1555"/>
      <c r="Y10" s="3454"/>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497"/>
      <c r="Q11" s="1146" t="str">
        <f t="shared" si="6"/>
        <v>容积率</v>
      </c>
      <c r="R11" s="1553" t="s">
        <v>8</v>
      </c>
      <c r="S11" s="1554" t="e">
        <f t="shared" si="0"/>
        <v>#N/A</v>
      </c>
      <c r="T11" s="1553" t="s">
        <v>8</v>
      </c>
      <c r="U11" s="1554" t="e">
        <f t="shared" si="1"/>
        <v>#N/A</v>
      </c>
      <c r="V11" s="1553" t="s">
        <v>8</v>
      </c>
      <c r="W11" s="1554" t="e">
        <f t="shared" si="2"/>
        <v>#N/A</v>
      </c>
      <c r="X11" s="1555"/>
      <c r="Y11" s="3454"/>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497"/>
      <c r="Q12" s="1146">
        <f t="shared" si="6"/>
        <v>111</v>
      </c>
      <c r="R12" s="1553" t="s">
        <v>8</v>
      </c>
      <c r="S12" s="1554">
        <f t="shared" si="0"/>
        <v>100</v>
      </c>
      <c r="T12" s="1553" t="s">
        <v>8</v>
      </c>
      <c r="U12" s="1554">
        <f t="shared" si="1"/>
        <v>100</v>
      </c>
      <c r="V12" s="1553" t="s">
        <v>8</v>
      </c>
      <c r="W12" s="1554">
        <f t="shared" si="2"/>
        <v>100</v>
      </c>
      <c r="X12" s="1555"/>
      <c r="Y12" s="3454"/>
      <c r="Z12" s="1145">
        <f t="shared" si="7"/>
        <v>111</v>
      </c>
      <c r="AA12" s="1556">
        <f>D12/F12</f>
        <v>1</v>
      </c>
      <c r="AB12" s="1556">
        <f>D12/H12</f>
        <v>1</v>
      </c>
      <c r="AC12" s="1556">
        <f>D12/J12</f>
        <v>1</v>
      </c>
    </row>
    <row r="13" spans="1:29" ht="15">
      <c r="A13" s="2866"/>
      <c r="B13" s="2872">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497"/>
      <c r="Q13" s="1146">
        <f t="shared" si="6"/>
        <v>111</v>
      </c>
      <c r="R13" s="1553" t="s">
        <v>8</v>
      </c>
      <c r="S13" s="1554">
        <f t="shared" si="0"/>
        <v>100</v>
      </c>
      <c r="T13" s="1553" t="s">
        <v>8</v>
      </c>
      <c r="U13" s="1554">
        <f t="shared" si="1"/>
        <v>100</v>
      </c>
      <c r="V13" s="1553" t="s">
        <v>8</v>
      </c>
      <c r="W13" s="1554">
        <f t="shared" si="2"/>
        <v>100</v>
      </c>
      <c r="X13" s="1555"/>
      <c r="Y13" s="3454"/>
      <c r="Z13" s="1145">
        <f t="shared" si="7"/>
        <v>111</v>
      </c>
      <c r="AA13" s="1556">
        <f t="shared" si="3"/>
        <v>1</v>
      </c>
      <c r="AB13" s="1556">
        <f t="shared" si="4"/>
        <v>1</v>
      </c>
      <c r="AC13" s="1556">
        <f t="shared" si="5"/>
        <v>1</v>
      </c>
    </row>
    <row r="14" spans="1:29" ht="15.75" thickBot="1">
      <c r="A14" s="2867"/>
      <c r="B14" s="2873">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497"/>
      <c r="Q14" s="1146">
        <f t="shared" si="6"/>
        <v>111</v>
      </c>
      <c r="R14" s="1553" t="s">
        <v>8</v>
      </c>
      <c r="S14" s="1554">
        <f t="shared" si="0"/>
        <v>100</v>
      </c>
      <c r="T14" s="1553" t="s">
        <v>8</v>
      </c>
      <c r="U14" s="1554">
        <f t="shared" si="1"/>
        <v>100</v>
      </c>
      <c r="V14" s="1553" t="s">
        <v>8</v>
      </c>
      <c r="W14" s="1554">
        <f t="shared" si="2"/>
        <v>100</v>
      </c>
      <c r="X14" s="1555"/>
      <c r="Y14" s="3454"/>
      <c r="Z14" s="1145">
        <f t="shared" si="7"/>
        <v>111</v>
      </c>
      <c r="AA14" s="1556">
        <f t="shared" si="3"/>
        <v>1</v>
      </c>
      <c r="AB14" s="1556">
        <f t="shared" si="4"/>
        <v>1</v>
      </c>
      <c r="AC14" s="1556">
        <f t="shared" si="5"/>
        <v>1</v>
      </c>
    </row>
    <row r="15" spans="1:29" ht="57">
      <c r="A15" s="2859"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499" t="s">
        <v>540</v>
      </c>
      <c r="Q15" s="1557" t="str">
        <f t="shared" si="6"/>
        <v>办公集聚程度</v>
      </c>
      <c r="R15" s="1558" t="s">
        <v>8</v>
      </c>
      <c r="S15" s="1559">
        <f t="shared" si="0"/>
        <v>100</v>
      </c>
      <c r="T15" s="1558" t="s">
        <v>8</v>
      </c>
      <c r="U15" s="1559">
        <f t="shared" si="1"/>
        <v>100</v>
      </c>
      <c r="V15" s="1558" t="s">
        <v>8</v>
      </c>
      <c r="W15" s="1559">
        <f t="shared" si="2"/>
        <v>100</v>
      </c>
      <c r="X15" s="1552"/>
      <c r="Y15" s="349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4"/>
      <c r="M16" s="2116"/>
      <c r="N16" s="2116"/>
      <c r="O16" s="2116"/>
      <c r="P16" s="3500"/>
      <c r="Q16" s="1557"/>
      <c r="R16" s="1558"/>
      <c r="S16" s="1559"/>
      <c r="T16" s="1558"/>
      <c r="U16" s="1559"/>
      <c r="V16" s="1558"/>
      <c r="W16" s="1559"/>
      <c r="X16" s="1552"/>
      <c r="Y16" s="3500"/>
      <c r="Z16" s="1560"/>
      <c r="AA16" s="1561">
        <v>1</v>
      </c>
      <c r="AB16" s="1561">
        <v>1</v>
      </c>
      <c r="AC16" s="1561">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4"/>
      <c r="M18" s="2116"/>
      <c r="N18" s="2116"/>
      <c r="O18" s="2116"/>
      <c r="P18" s="3500"/>
      <c r="Q18" s="1557"/>
      <c r="R18" s="1558"/>
      <c r="S18" s="1559"/>
      <c r="T18" s="1558"/>
      <c r="U18" s="1559"/>
      <c r="V18" s="1558"/>
      <c r="W18" s="1559"/>
      <c r="X18" s="1552"/>
      <c r="Y18" s="3500"/>
      <c r="Z18" s="1560"/>
      <c r="AA18" s="1561">
        <v>1</v>
      </c>
      <c r="AB18" s="1561">
        <v>1</v>
      </c>
      <c r="AC18" s="1561">
        <v>1</v>
      </c>
    </row>
    <row r="19" spans="1:29" ht="42.75">
      <c r="A19" s="532"/>
      <c r="B19" s="2562"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4"/>
      <c r="M20" s="2116"/>
      <c r="N20" s="2116"/>
      <c r="O20" s="2116"/>
      <c r="P20" s="3500"/>
      <c r="Q20" s="1557"/>
      <c r="R20" s="1558"/>
      <c r="S20" s="1559"/>
      <c r="T20" s="1558"/>
      <c r="U20" s="1559"/>
      <c r="V20" s="1558"/>
      <c r="W20" s="1559"/>
      <c r="X20" s="1552"/>
      <c r="Y20" s="3500"/>
      <c r="Z20" s="1560"/>
      <c r="AA20" s="1561">
        <v>1</v>
      </c>
      <c r="AB20" s="1561">
        <v>1</v>
      </c>
      <c r="AC20" s="1561">
        <v>1</v>
      </c>
    </row>
    <row r="21" spans="1:29" ht="42.75">
      <c r="A21" s="532"/>
      <c r="B21" s="2550"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500"/>
      <c r="Q21" s="2538" t="str">
        <f>B21</f>
        <v>基础设施水平</v>
      </c>
      <c r="R21" s="1558" t="s">
        <v>8</v>
      </c>
      <c r="S21" s="1559">
        <f>F21</f>
        <v>100</v>
      </c>
      <c r="T21" s="1558" t="s">
        <v>8</v>
      </c>
      <c r="U21" s="1559">
        <f>H21</f>
        <v>100</v>
      </c>
      <c r="V21" s="1558" t="s">
        <v>8</v>
      </c>
      <c r="W21" s="1559">
        <f>J21</f>
        <v>100</v>
      </c>
      <c r="X21" s="2540"/>
      <c r="Y21" s="3500"/>
      <c r="Z21" s="2539"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1"/>
      <c r="L22" s="2124"/>
      <c r="M22" s="2116"/>
      <c r="N22" s="2116"/>
      <c r="O22" s="2116"/>
      <c r="P22" s="3500"/>
      <c r="Q22" s="2538"/>
      <c r="R22" s="1558"/>
      <c r="S22" s="1559"/>
      <c r="T22" s="1558"/>
      <c r="U22" s="1559"/>
      <c r="V22" s="1558"/>
      <c r="W22" s="1559"/>
      <c r="X22" s="2540"/>
      <c r="Y22" s="3500"/>
      <c r="Z22" s="2539"/>
      <c r="AA22" s="1561">
        <v>1</v>
      </c>
      <c r="AB22" s="1561">
        <v>1</v>
      </c>
      <c r="AC22" s="1561">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500"/>
      <c r="Q23" s="1557" t="str">
        <f>B23</f>
        <v>环境质量</v>
      </c>
      <c r="R23" s="1558" t="s">
        <v>8</v>
      </c>
      <c r="S23" s="1559">
        <f>F23</f>
        <v>100</v>
      </c>
      <c r="T23" s="1558" t="s">
        <v>8</v>
      </c>
      <c r="U23" s="1559">
        <f>H23</f>
        <v>100</v>
      </c>
      <c r="V23" s="1558" t="s">
        <v>8</v>
      </c>
      <c r="W23" s="1559">
        <f>J23</f>
        <v>100</v>
      </c>
      <c r="X23" s="1552"/>
      <c r="Y23" s="350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4"/>
      <c r="M24" s="2116"/>
      <c r="N24" s="2116"/>
      <c r="O24" s="2116"/>
      <c r="P24" s="3500"/>
      <c r="Q24" s="1557"/>
      <c r="R24" s="1558"/>
      <c r="S24" s="1559"/>
      <c r="T24" s="1558"/>
      <c r="U24" s="1559"/>
      <c r="V24" s="1558"/>
      <c r="W24" s="1559"/>
      <c r="X24" s="1552"/>
      <c r="Y24" s="3500"/>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500"/>
      <c r="Q25" s="1557" t="str">
        <f>B25</f>
        <v>毗邻道路的类型与等级</v>
      </c>
      <c r="R25" s="1558" t="s">
        <v>8</v>
      </c>
      <c r="S25" s="1559">
        <f>F25</f>
        <v>100</v>
      </c>
      <c r="T25" s="1558" t="s">
        <v>8</v>
      </c>
      <c r="U25" s="1559">
        <f>H25</f>
        <v>100</v>
      </c>
      <c r="V25" s="1558" t="s">
        <v>8</v>
      </c>
      <c r="W25" s="1559">
        <f>J25</f>
        <v>100</v>
      </c>
      <c r="X25" s="1552"/>
      <c r="Y25" s="350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4"/>
      <c r="M26" s="2116"/>
      <c r="N26" s="2116"/>
      <c r="O26" s="2116"/>
      <c r="P26" s="3500"/>
      <c r="Q26" s="1557"/>
      <c r="R26" s="1558"/>
      <c r="S26" s="1559"/>
      <c r="T26" s="1558"/>
      <c r="U26" s="1559"/>
      <c r="V26" s="1558"/>
      <c r="W26" s="1559"/>
      <c r="X26" s="1552"/>
      <c r="Y26" s="350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00"/>
      <c r="Q27" s="1557" t="str">
        <f t="shared" ref="Q27:Q47" si="11">B27</f>
        <v>楼层</v>
      </c>
      <c r="R27" s="1558" t="s">
        <v>8</v>
      </c>
      <c r="S27" s="1559">
        <f>F27</f>
        <v>100</v>
      </c>
      <c r="T27" s="1558" t="s">
        <v>8</v>
      </c>
      <c r="U27" s="1559">
        <f>H27</f>
        <v>100</v>
      </c>
      <c r="V27" s="1558" t="s">
        <v>8</v>
      </c>
      <c r="W27" s="1559">
        <f>J27</f>
        <v>100</v>
      </c>
      <c r="X27" s="1552"/>
      <c r="Y27" s="3500"/>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500"/>
      <c r="Q28" s="1146" t="str">
        <f t="shared" si="11"/>
        <v>朝向</v>
      </c>
      <c r="R28" s="1553" t="s">
        <v>8</v>
      </c>
      <c r="S28" s="1554">
        <f>F28</f>
        <v>100</v>
      </c>
      <c r="T28" s="1553" t="s">
        <v>8</v>
      </c>
      <c r="U28" s="1554">
        <f>H28</f>
        <v>100</v>
      </c>
      <c r="V28" s="1553" t="s">
        <v>8</v>
      </c>
      <c r="W28" s="1554">
        <f>J28</f>
        <v>100</v>
      </c>
      <c r="X28" s="1555"/>
      <c r="Y28" s="3500"/>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500"/>
      <c r="Q29" s="1557">
        <f t="shared" si="11"/>
        <v>111</v>
      </c>
      <c r="R29" s="1558" t="s">
        <v>8</v>
      </c>
      <c r="S29" s="1559">
        <f t="shared" ref="S29:S47" si="12">F29</f>
        <v>100</v>
      </c>
      <c r="T29" s="1558" t="s">
        <v>8</v>
      </c>
      <c r="U29" s="1559">
        <f t="shared" ref="U29:U47" si="13">H29</f>
        <v>100</v>
      </c>
      <c r="V29" s="1558" t="s">
        <v>8</v>
      </c>
      <c r="W29" s="1559">
        <f t="shared" ref="W29:W47" si="14">J29</f>
        <v>100</v>
      </c>
      <c r="X29" s="1552"/>
      <c r="Y29" s="3500"/>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500"/>
      <c r="Q30" s="1557">
        <f t="shared" si="11"/>
        <v>111</v>
      </c>
      <c r="R30" s="1558" t="s">
        <v>8</v>
      </c>
      <c r="S30" s="1559">
        <f t="shared" si="12"/>
        <v>100</v>
      </c>
      <c r="T30" s="1558" t="s">
        <v>8</v>
      </c>
      <c r="U30" s="1559">
        <f t="shared" si="13"/>
        <v>100</v>
      </c>
      <c r="V30" s="1558" t="s">
        <v>8</v>
      </c>
      <c r="W30" s="1559">
        <f t="shared" si="14"/>
        <v>100</v>
      </c>
      <c r="X30" s="1552"/>
      <c r="Y30" s="3500"/>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500"/>
      <c r="Q31" s="1557">
        <f t="shared" si="11"/>
        <v>111</v>
      </c>
      <c r="R31" s="1558" t="s">
        <v>8</v>
      </c>
      <c r="S31" s="1559">
        <f t="shared" si="12"/>
        <v>100</v>
      </c>
      <c r="T31" s="1558" t="s">
        <v>8</v>
      </c>
      <c r="U31" s="1559">
        <f t="shared" si="13"/>
        <v>100</v>
      </c>
      <c r="V31" s="1558" t="s">
        <v>8</v>
      </c>
      <c r="W31" s="1559">
        <f t="shared" si="14"/>
        <v>100</v>
      </c>
      <c r="X31" s="1552"/>
      <c r="Y31" s="3500"/>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500"/>
      <c r="Q32" s="1557">
        <f t="shared" si="11"/>
        <v>111</v>
      </c>
      <c r="R32" s="1558" t="s">
        <v>8</v>
      </c>
      <c r="S32" s="1559">
        <f t="shared" si="12"/>
        <v>100</v>
      </c>
      <c r="T32" s="1558" t="s">
        <v>8</v>
      </c>
      <c r="U32" s="1559">
        <f t="shared" si="13"/>
        <v>100</v>
      </c>
      <c r="V32" s="1558" t="s">
        <v>8</v>
      </c>
      <c r="W32" s="1559">
        <f t="shared" si="14"/>
        <v>100</v>
      </c>
      <c r="X32" s="1552"/>
      <c r="Y32" s="3500"/>
      <c r="Z32" s="1560">
        <f t="shared" si="15"/>
        <v>111</v>
      </c>
      <c r="AA32" s="1561">
        <f t="shared" si="3"/>
        <v>1</v>
      </c>
      <c r="AB32" s="1561">
        <f t="shared" si="4"/>
        <v>1</v>
      </c>
      <c r="AC32" s="1561">
        <f t="shared" si="5"/>
        <v>1</v>
      </c>
    </row>
    <row r="33" spans="1:29" ht="15">
      <c r="A33" s="2857"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501" t="s">
        <v>550</v>
      </c>
      <c r="Q33" s="1557" t="str">
        <f t="shared" si="11"/>
        <v>建筑类型</v>
      </c>
      <c r="R33" s="1558" t="s">
        <v>8</v>
      </c>
      <c r="S33" s="1559">
        <f t="shared" si="12"/>
        <v>100</v>
      </c>
      <c r="T33" s="1558" t="s">
        <v>8</v>
      </c>
      <c r="U33" s="1559">
        <f t="shared" si="13"/>
        <v>100</v>
      </c>
      <c r="V33" s="1558" t="s">
        <v>8</v>
      </c>
      <c r="W33" s="1559">
        <f t="shared" si="14"/>
        <v>100</v>
      </c>
      <c r="X33" s="1552"/>
      <c r="Y33" s="3502" t="s">
        <v>550</v>
      </c>
      <c r="Z33" s="1560" t="str">
        <f t="shared" si="15"/>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02"/>
      <c r="Q34" s="1589" t="str">
        <f t="shared" si="11"/>
        <v>项目建筑规模</v>
      </c>
      <c r="R34" s="1562" t="s">
        <v>8</v>
      </c>
      <c r="S34" s="1563" t="e">
        <f t="shared" si="12"/>
        <v>#N/A</v>
      </c>
      <c r="T34" s="1562" t="s">
        <v>8</v>
      </c>
      <c r="U34" s="1563" t="e">
        <f t="shared" si="13"/>
        <v>#N/A</v>
      </c>
      <c r="V34" s="1562" t="s">
        <v>8</v>
      </c>
      <c r="W34" s="1563" t="e">
        <f t="shared" si="14"/>
        <v>#N/A</v>
      </c>
      <c r="X34" s="1564"/>
      <c r="Y34" s="350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02"/>
      <c r="Q35" s="1557" t="str">
        <f t="shared" si="11"/>
        <v>建筑结构</v>
      </c>
      <c r="R35" s="1558" t="s">
        <v>8</v>
      </c>
      <c r="S35" s="1559">
        <f t="shared" si="12"/>
        <v>100</v>
      </c>
      <c r="T35" s="1558" t="s">
        <v>8</v>
      </c>
      <c r="U35" s="1559">
        <f t="shared" si="13"/>
        <v>100</v>
      </c>
      <c r="V35" s="1558" t="s">
        <v>8</v>
      </c>
      <c r="W35" s="1559">
        <f t="shared" si="14"/>
        <v>100</v>
      </c>
      <c r="X35" s="1552"/>
      <c r="Y35" s="350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02"/>
      <c r="Q36" s="1557" t="str">
        <f t="shared" si="11"/>
        <v>公共部分装修</v>
      </c>
      <c r="R36" s="1558" t="s">
        <v>8</v>
      </c>
      <c r="S36" s="1559">
        <f t="shared" si="12"/>
        <v>100</v>
      </c>
      <c r="T36" s="1558" t="s">
        <v>8</v>
      </c>
      <c r="U36" s="1559">
        <f t="shared" si="13"/>
        <v>100</v>
      </c>
      <c r="V36" s="1558" t="s">
        <v>8</v>
      </c>
      <c r="W36" s="1559">
        <f t="shared" si="14"/>
        <v>100</v>
      </c>
      <c r="X36" s="1552"/>
      <c r="Y36" s="3502"/>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502"/>
      <c r="Q37" s="1557" t="str">
        <f t="shared" si="11"/>
        <v>成新度</v>
      </c>
      <c r="R37" s="1558" t="s">
        <v>8</v>
      </c>
      <c r="S37" s="1559" t="e">
        <f t="shared" si="12"/>
        <v>#N/A</v>
      </c>
      <c r="T37" s="1558" t="s">
        <v>8</v>
      </c>
      <c r="U37" s="1559" t="e">
        <f t="shared" si="13"/>
        <v>#N/A</v>
      </c>
      <c r="V37" s="1558" t="s">
        <v>8</v>
      </c>
      <c r="W37" s="1559" t="e">
        <f t="shared" si="14"/>
        <v>#N/A</v>
      </c>
      <c r="X37" s="1552"/>
      <c r="Y37" s="3502"/>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02"/>
      <c r="Q38" s="1146" t="str">
        <f t="shared" si="11"/>
        <v>写字楼等级</v>
      </c>
      <c r="R38" s="1553" t="s">
        <v>8</v>
      </c>
      <c r="S38" s="1554">
        <f t="shared" si="12"/>
        <v>100</v>
      </c>
      <c r="T38" s="1553" t="s">
        <v>8</v>
      </c>
      <c r="U38" s="1554">
        <f t="shared" si="13"/>
        <v>100</v>
      </c>
      <c r="V38" s="1553" t="s">
        <v>8</v>
      </c>
      <c r="W38" s="1554">
        <f t="shared" si="14"/>
        <v>100</v>
      </c>
      <c r="X38" s="1555"/>
      <c r="Y38" s="3502"/>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02" t="s">
        <v>550</v>
      </c>
      <c r="Q39" s="1557" t="str">
        <f t="shared" si="11"/>
        <v>物业管理</v>
      </c>
      <c r="R39" s="1558" t="s">
        <v>8</v>
      </c>
      <c r="S39" s="1559">
        <f t="shared" si="12"/>
        <v>100</v>
      </c>
      <c r="T39" s="1558" t="s">
        <v>8</v>
      </c>
      <c r="U39" s="1559">
        <f t="shared" si="13"/>
        <v>100</v>
      </c>
      <c r="V39" s="1558" t="s">
        <v>8</v>
      </c>
      <c r="W39" s="1559">
        <f t="shared" si="14"/>
        <v>100</v>
      </c>
      <c r="X39" s="1552"/>
      <c r="Y39" s="3502" t="s">
        <v>550</v>
      </c>
      <c r="Z39" s="1560" t="str">
        <f t="shared" si="15"/>
        <v>物业管理</v>
      </c>
      <c r="AA39" s="1561">
        <f t="shared" si="3"/>
        <v>1</v>
      </c>
      <c r="AB39" s="1561">
        <f t="shared" si="4"/>
        <v>1</v>
      </c>
      <c r="AC39" s="1561">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02"/>
      <c r="Q40" s="1557" t="str">
        <f t="shared" si="11"/>
        <v>市政基础设施</v>
      </c>
      <c r="R40" s="1558" t="s">
        <v>8</v>
      </c>
      <c r="S40" s="1559">
        <f t="shared" si="12"/>
        <v>100</v>
      </c>
      <c r="T40" s="1558" t="s">
        <v>8</v>
      </c>
      <c r="U40" s="1559">
        <f t="shared" si="13"/>
        <v>100</v>
      </c>
      <c r="V40" s="1558" t="s">
        <v>8</v>
      </c>
      <c r="W40" s="1559">
        <f t="shared" si="14"/>
        <v>100</v>
      </c>
      <c r="X40" s="1552"/>
      <c r="Y40" s="350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02"/>
      <c r="Q41" s="1557" t="str">
        <f t="shared" si="11"/>
        <v>层高</v>
      </c>
      <c r="R41" s="1558" t="s">
        <v>8</v>
      </c>
      <c r="S41" s="1559">
        <f t="shared" si="12"/>
        <v>100</v>
      </c>
      <c r="T41" s="1558" t="s">
        <v>8</v>
      </c>
      <c r="U41" s="1559">
        <f t="shared" si="13"/>
        <v>100</v>
      </c>
      <c r="V41" s="1558" t="s">
        <v>8</v>
      </c>
      <c r="W41" s="1559">
        <f t="shared" si="14"/>
        <v>100</v>
      </c>
      <c r="X41" s="1552"/>
      <c r="Y41" s="3502"/>
      <c r="Z41" s="1560" t="str">
        <f t="shared" si="15"/>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02"/>
      <c r="Q42" s="1589" t="str">
        <f t="shared" si="11"/>
        <v>单套建筑面积</v>
      </c>
      <c r="R42" s="1562" t="s">
        <v>8</v>
      </c>
      <c r="S42" s="1563">
        <f t="shared" si="12"/>
        <v>100</v>
      </c>
      <c r="T42" s="1562" t="s">
        <v>8</v>
      </c>
      <c r="U42" s="1563">
        <f t="shared" si="13"/>
        <v>100</v>
      </c>
      <c r="V42" s="1562" t="s">
        <v>8</v>
      </c>
      <c r="W42" s="1563">
        <f t="shared" si="14"/>
        <v>100</v>
      </c>
      <c r="X42" s="1564"/>
      <c r="Y42" s="350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02"/>
      <c r="Q43" s="1557" t="str">
        <f t="shared" si="11"/>
        <v>内部装修</v>
      </c>
      <c r="R43" s="1558" t="s">
        <v>8</v>
      </c>
      <c r="S43" s="1559">
        <f t="shared" si="12"/>
        <v>100</v>
      </c>
      <c r="T43" s="1558" t="s">
        <v>8</v>
      </c>
      <c r="U43" s="1559">
        <f t="shared" si="13"/>
        <v>100</v>
      </c>
      <c r="V43" s="1558" t="s">
        <v>8</v>
      </c>
      <c r="W43" s="1559">
        <f t="shared" si="14"/>
        <v>100</v>
      </c>
      <c r="X43" s="1552"/>
      <c r="Y43" s="3502"/>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02"/>
      <c r="Q44" s="1557" t="str">
        <f t="shared" si="11"/>
        <v>内部装修维护情况</v>
      </c>
      <c r="R44" s="1558" t="s">
        <v>8</v>
      </c>
      <c r="S44" s="1559">
        <f t="shared" si="12"/>
        <v>100</v>
      </c>
      <c r="T44" s="1558" t="s">
        <v>8</v>
      </c>
      <c r="U44" s="1559">
        <f t="shared" si="13"/>
        <v>100</v>
      </c>
      <c r="V44" s="1558" t="s">
        <v>8</v>
      </c>
      <c r="W44" s="1559">
        <f t="shared" si="14"/>
        <v>100</v>
      </c>
      <c r="X44" s="1552"/>
      <c r="Y44" s="3502"/>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02"/>
      <c r="Q45" s="1146">
        <f t="shared" si="11"/>
        <v>111</v>
      </c>
      <c r="R45" s="1553" t="s">
        <v>8</v>
      </c>
      <c r="S45" s="1554">
        <f t="shared" si="12"/>
        <v>100</v>
      </c>
      <c r="T45" s="1553" t="s">
        <v>8</v>
      </c>
      <c r="U45" s="1554">
        <f t="shared" si="13"/>
        <v>100</v>
      </c>
      <c r="V45" s="1553" t="s">
        <v>8</v>
      </c>
      <c r="W45" s="1554">
        <f t="shared" si="14"/>
        <v>100</v>
      </c>
      <c r="X45" s="1555"/>
      <c r="Y45" s="3502"/>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02"/>
      <c r="Q46" s="1557">
        <f t="shared" si="11"/>
        <v>111</v>
      </c>
      <c r="R46" s="1558" t="s">
        <v>8</v>
      </c>
      <c r="S46" s="1559">
        <f t="shared" si="12"/>
        <v>100</v>
      </c>
      <c r="T46" s="1558" t="s">
        <v>8</v>
      </c>
      <c r="U46" s="1559">
        <f t="shared" si="13"/>
        <v>100</v>
      </c>
      <c r="V46" s="1558" t="s">
        <v>8</v>
      </c>
      <c r="W46" s="1559">
        <f t="shared" si="14"/>
        <v>100</v>
      </c>
      <c r="X46" s="1552"/>
      <c r="Y46" s="3502"/>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81"/>
      <c r="Q47" s="1557">
        <f t="shared" si="11"/>
        <v>111</v>
      </c>
      <c r="R47" s="1558" t="s">
        <v>8</v>
      </c>
      <c r="S47" s="1559">
        <f t="shared" si="12"/>
        <v>100</v>
      </c>
      <c r="T47" s="1558" t="s">
        <v>8</v>
      </c>
      <c r="U47" s="1559">
        <f t="shared" si="13"/>
        <v>100</v>
      </c>
      <c r="V47" s="1558" t="s">
        <v>8</v>
      </c>
      <c r="W47" s="1559">
        <f t="shared" si="14"/>
        <v>100</v>
      </c>
      <c r="X47" s="1552"/>
      <c r="Y47" s="3581"/>
      <c r="Z47" s="1560">
        <f t="shared" si="15"/>
        <v>111</v>
      </c>
      <c r="AA47" s="1561">
        <f t="shared" si="3"/>
        <v>1</v>
      </c>
      <c r="AB47" s="1561">
        <f t="shared" si="4"/>
        <v>1</v>
      </c>
      <c r="AC47" s="1561">
        <f t="shared" si="5"/>
        <v>1</v>
      </c>
    </row>
    <row r="48" spans="1:29" ht="15">
      <c r="A48" s="607" t="s">
        <v>736</v>
      </c>
      <c r="B48" s="887"/>
      <c r="C48" s="2586" t="s">
        <v>1</v>
      </c>
      <c r="D48" s="2587"/>
      <c r="E48" s="2588"/>
      <c r="F48" s="2589"/>
      <c r="G48" s="2590"/>
      <c r="H48" s="2591"/>
      <c r="I48" s="2588"/>
      <c r="J48" s="2591"/>
      <c r="K48" s="1595"/>
      <c r="L48" s="2126"/>
      <c r="M48" s="2116"/>
      <c r="N48" s="2116"/>
      <c r="O48" s="2116"/>
      <c r="P48" s="3519" t="str">
        <f>A48</f>
        <v>成交单价（元/平方米）</v>
      </c>
      <c r="Q48" s="3497"/>
      <c r="R48" s="3580">
        <f>E48</f>
        <v>0</v>
      </c>
      <c r="S48" s="3580"/>
      <c r="T48" s="3580">
        <f>G48</f>
        <v>0</v>
      </c>
      <c r="U48" s="3580"/>
      <c r="V48" s="3580">
        <f>I48</f>
        <v>0</v>
      </c>
      <c r="W48" s="3580"/>
      <c r="X48" s="1544"/>
      <c r="Y48" s="1566"/>
      <c r="Z48" s="1544"/>
      <c r="AA48" s="1544"/>
      <c r="AB48" s="1544"/>
      <c r="AC48" s="1544"/>
    </row>
    <row r="49" spans="1:29" ht="15.75" thickBot="1">
      <c r="A49" s="615" t="s">
        <v>2756</v>
      </c>
      <c r="B49" s="888"/>
      <c r="C49" s="2592" t="e">
        <f>R50</f>
        <v>#DIV/0!</v>
      </c>
      <c r="D49" s="2593"/>
      <c r="E49" s="2594" t="e">
        <f>R49</f>
        <v>#DIV/0!</v>
      </c>
      <c r="F49" s="2594"/>
      <c r="G49" s="2592" t="e">
        <f>T49</f>
        <v>#DIV/0!</v>
      </c>
      <c r="H49" s="2593"/>
      <c r="I49" s="2594" t="e">
        <f>V49</f>
        <v>#DIV/0!</v>
      </c>
      <c r="J49" s="2593"/>
      <c r="K49" s="1596"/>
      <c r="L49" s="2126"/>
      <c r="M49" s="2116"/>
      <c r="N49" s="2116"/>
      <c r="O49" s="2116"/>
      <c r="P49" s="3519" t="str">
        <f>A49</f>
        <v>比较价格（元/平方米）</v>
      </c>
      <c r="Q49" s="3497"/>
      <c r="R49" s="3580" t="e">
        <f>IF(F1="售价",ROUND(PRODUCT(R48,AA7:AA47),0),ROUND(PRODUCT(R48,AA7:AA47),1))</f>
        <v>#DIV/0!</v>
      </c>
      <c r="S49" s="3580"/>
      <c r="T49" s="3580" t="e">
        <f>IF(F1="售价",ROUND(PRODUCT(T48,AB7:AB47),0),ROUND(PRODUCT(T48,AB7:AB47),1))</f>
        <v>#DIV/0!</v>
      </c>
      <c r="U49" s="3580"/>
      <c r="V49" s="3580" t="e">
        <f>IF(F1="售价",ROUND(PRODUCT(V48,AC7:AC47),0),ROUND(PRODUCT(V48,AC7:AC47),1))</f>
        <v>#DIV/0!</v>
      </c>
      <c r="W49" s="3580"/>
      <c r="X49" s="1544"/>
      <c r="Y49" s="1544"/>
      <c r="Z49" s="1544"/>
      <c r="AA49" s="1544"/>
      <c r="AB49" s="1544"/>
      <c r="AC49" s="1544"/>
    </row>
    <row r="50" spans="1:29" ht="15.75" thickBot="1">
      <c r="A50" s="621" t="s">
        <v>2926</v>
      </c>
      <c r="B50" s="622"/>
      <c r="C50" s="2595" t="e">
        <f>R50</f>
        <v>#DIV/0!</v>
      </c>
      <c r="D50" s="2595"/>
      <c r="E50" s="2595"/>
      <c r="F50" s="2595"/>
      <c r="G50" s="2595"/>
      <c r="H50" s="2595"/>
      <c r="I50" s="2595"/>
      <c r="J50" s="2595"/>
      <c r="K50" s="1597"/>
      <c r="L50" s="2126"/>
      <c r="M50" s="2116"/>
      <c r="N50" s="2116"/>
      <c r="O50" s="2116"/>
      <c r="P50" s="3614" t="str">
        <f>A50</f>
        <v>估价对象XX用房的比较价格（楼面单价，元/平方米）</v>
      </c>
      <c r="Q50" s="3519"/>
      <c r="R50" s="3579" t="e">
        <f>IF(F1="售价",ROUND(AVERAGE(R49:V49),0),ROUND(AVERAGE(R49:V49),1))</f>
        <v>#DIV/0!</v>
      </c>
      <c r="S50" s="3579"/>
      <c r="T50" s="3579"/>
      <c r="U50" s="3579"/>
      <c r="V50" s="3579"/>
      <c r="W50" s="3579"/>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5" t="s">
        <v>529</v>
      </c>
      <c r="B59" s="646"/>
      <c r="C59" s="2752" t="str">
        <f>YEAR(C7)&amp;"-"&amp;MONTH(C7)</f>
        <v>2019-5</v>
      </c>
      <c r="D59" s="2754">
        <f>EDATE(C59,-1)</f>
        <v>43556</v>
      </c>
      <c r="E59" s="2754">
        <f t="shared" ref="E59:O59" si="16">EDATE(D59,-1)</f>
        <v>43525</v>
      </c>
      <c r="F59" s="2754">
        <f t="shared" si="16"/>
        <v>43497</v>
      </c>
      <c r="G59" s="2754">
        <f t="shared" si="16"/>
        <v>43466</v>
      </c>
      <c r="H59" s="2754">
        <f t="shared" si="16"/>
        <v>43435</v>
      </c>
      <c r="I59" s="2754">
        <f t="shared" si="16"/>
        <v>43405</v>
      </c>
      <c r="J59" s="2754">
        <f t="shared" si="16"/>
        <v>43374</v>
      </c>
      <c r="K59" s="2754">
        <f t="shared" si="16"/>
        <v>43344</v>
      </c>
      <c r="L59" s="2754">
        <f t="shared" si="16"/>
        <v>43313</v>
      </c>
      <c r="M59" s="2754">
        <f t="shared" si="16"/>
        <v>43282</v>
      </c>
      <c r="N59" s="2754">
        <f t="shared" si="16"/>
        <v>43252</v>
      </c>
      <c r="O59" s="2754">
        <f t="shared" si="16"/>
        <v>43221</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6" t="s">
        <v>2555</v>
      </c>
      <c r="C83" s="2557" t="s">
        <v>2556</v>
      </c>
      <c r="D83" s="2557" t="s">
        <v>2557</v>
      </c>
      <c r="E83" s="2557" t="s">
        <v>2558</v>
      </c>
      <c r="F83" s="2557" t="s">
        <v>2559</v>
      </c>
      <c r="G83" s="2557" t="s">
        <v>2560</v>
      </c>
      <c r="H83" s="674"/>
      <c r="I83" s="674"/>
      <c r="J83" s="674"/>
      <c r="K83" s="674"/>
      <c r="L83" s="674"/>
      <c r="M83" s="2560"/>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787</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7"/>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521</v>
      </c>
      <c r="B4" s="513"/>
      <c r="C4" s="3503" t="s">
        <v>522</v>
      </c>
      <c r="D4" s="3504"/>
      <c r="E4" s="3527" t="s">
        <v>523</v>
      </c>
      <c r="F4" s="3528"/>
      <c r="G4" s="3503" t="s">
        <v>524</v>
      </c>
      <c r="H4" s="3504"/>
      <c r="I4" s="3503" t="s">
        <v>525</v>
      </c>
      <c r="J4" s="3504"/>
      <c r="K4" s="514" t="s">
        <v>526</v>
      </c>
      <c r="L4" s="2115"/>
      <c r="M4" s="2116"/>
      <c r="N4" s="2116"/>
      <c r="O4" s="2116"/>
      <c r="P4" s="3505" t="s">
        <v>527</v>
      </c>
      <c r="Q4" s="3506"/>
      <c r="R4" s="3491" t="s">
        <v>523</v>
      </c>
      <c r="S4" s="3492"/>
      <c r="T4" s="3491" t="s">
        <v>524</v>
      </c>
      <c r="U4" s="3492"/>
      <c r="V4" s="3511" t="s">
        <v>525</v>
      </c>
      <c r="W4" s="3511"/>
      <c r="X4" s="1552"/>
      <c r="Y4" s="3491" t="s">
        <v>527</v>
      </c>
      <c r="Z4" s="3492"/>
      <c r="AA4" s="3486" t="s">
        <v>523</v>
      </c>
      <c r="AB4" s="3487" t="s">
        <v>524</v>
      </c>
      <c r="AC4" s="3486" t="s">
        <v>525</v>
      </c>
    </row>
    <row r="5" spans="1:29" ht="15">
      <c r="A5" s="515"/>
      <c r="B5" s="516"/>
      <c r="C5" s="3514" t="s">
        <v>2920</v>
      </c>
      <c r="D5" s="3515"/>
      <c r="E5" s="3529" t="s">
        <v>2921</v>
      </c>
      <c r="F5" s="3530"/>
      <c r="G5" s="3514" t="s">
        <v>2922</v>
      </c>
      <c r="H5" s="3515"/>
      <c r="I5" s="3514" t="s">
        <v>2923</v>
      </c>
      <c r="J5" s="3515"/>
      <c r="K5" s="514"/>
      <c r="L5" s="2115"/>
      <c r="M5" s="2116"/>
      <c r="N5" s="2116"/>
      <c r="O5" s="2116"/>
      <c r="P5" s="3507"/>
      <c r="Q5" s="3508"/>
      <c r="R5" s="3493"/>
      <c r="S5" s="3494"/>
      <c r="T5" s="3493"/>
      <c r="U5" s="3494"/>
      <c r="V5" s="3511"/>
      <c r="W5" s="3511"/>
      <c r="X5" s="1552"/>
      <c r="Y5" s="3493"/>
      <c r="Z5" s="3494"/>
      <c r="AA5" s="3487"/>
      <c r="AB5" s="3487"/>
      <c r="AC5" s="3487"/>
    </row>
    <row r="6" spans="1:29" ht="15.75" thickBot="1">
      <c r="A6" s="517"/>
      <c r="B6" s="518"/>
      <c r="C6" s="3512" t="s">
        <v>2924</v>
      </c>
      <c r="D6" s="3513"/>
      <c r="E6" s="3531" t="s">
        <v>2924</v>
      </c>
      <c r="F6" s="3532"/>
      <c r="G6" s="3512" t="s">
        <v>2924</v>
      </c>
      <c r="H6" s="3513"/>
      <c r="I6" s="3512" t="s">
        <v>2924</v>
      </c>
      <c r="J6" s="3513"/>
      <c r="K6" s="514" t="s">
        <v>528</v>
      </c>
      <c r="L6" s="2115"/>
      <c r="M6" s="2116"/>
      <c r="N6" s="2116"/>
      <c r="O6" s="2116"/>
      <c r="P6" s="3509"/>
      <c r="Q6" s="3510"/>
      <c r="R6" s="3493"/>
      <c r="S6" s="3494"/>
      <c r="T6" s="3495"/>
      <c r="U6" s="3496"/>
      <c r="V6" s="3511"/>
      <c r="W6" s="3511"/>
      <c r="X6" s="1552"/>
      <c r="Y6" s="3495"/>
      <c r="Z6" s="3496"/>
      <c r="AA6" s="3488"/>
      <c r="AB6" s="3488"/>
      <c r="AC6" s="3488"/>
    </row>
    <row r="7" spans="1:29" s="1215" customFormat="1" ht="15.75" thickBot="1">
      <c r="A7" s="2861"/>
      <c r="B7" s="2868" t="s">
        <v>529</v>
      </c>
      <c r="C7" s="519">
        <f>'数据-取费表'!B2</f>
        <v>43602</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89" t="s">
        <v>530</v>
      </c>
      <c r="Q7" s="3498"/>
      <c r="R7" s="1553" t="s">
        <v>8</v>
      </c>
      <c r="S7" s="1554">
        <f t="shared" ref="S7:S15" si="0">F7</f>
        <v>0</v>
      </c>
      <c r="T7" s="1553" t="s">
        <v>8</v>
      </c>
      <c r="U7" s="1554">
        <f t="shared" ref="U7:U15" si="1">H7</f>
        <v>0</v>
      </c>
      <c r="V7" s="1553" t="s">
        <v>8</v>
      </c>
      <c r="W7" s="1554">
        <f t="shared" ref="W7:W15" si="2">J7</f>
        <v>0</v>
      </c>
      <c r="X7" s="1555"/>
      <c r="Y7" s="3489" t="s">
        <v>530</v>
      </c>
      <c r="Z7" s="3490"/>
      <c r="AA7" s="1556" t="e">
        <f>D7/F7</f>
        <v>#DIV/0!</v>
      </c>
      <c r="AB7" s="1556" t="e">
        <f>D7/H7</f>
        <v>#DIV/0!</v>
      </c>
      <c r="AC7" s="1556" t="e">
        <f>D7/J7</f>
        <v>#DIV/0!</v>
      </c>
    </row>
    <row r="8" spans="1:29" s="1215" customFormat="1" ht="15.75" thickBot="1">
      <c r="A8" s="2862"/>
      <c r="B8" s="2869"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89" t="s">
        <v>533</v>
      </c>
      <c r="Q8" s="3490"/>
      <c r="R8" s="1553" t="s">
        <v>8</v>
      </c>
      <c r="S8" s="1554">
        <f t="shared" si="0"/>
        <v>0</v>
      </c>
      <c r="T8" s="1553" t="s">
        <v>8</v>
      </c>
      <c r="U8" s="1554">
        <f t="shared" si="1"/>
        <v>0</v>
      </c>
      <c r="V8" s="1553" t="s">
        <v>8</v>
      </c>
      <c r="W8" s="1554">
        <f t="shared" si="2"/>
        <v>0</v>
      </c>
      <c r="X8" s="1555"/>
      <c r="Y8" s="3489" t="s">
        <v>533</v>
      </c>
      <c r="Z8" s="3490"/>
      <c r="AA8" s="1556" t="e">
        <f t="shared" ref="AA8:AA40" si="3">D8/F8</f>
        <v>#DIV/0!</v>
      </c>
      <c r="AB8" s="1556" t="e">
        <f t="shared" ref="AB8:AB40" si="4">D8/H8</f>
        <v>#DIV/0!</v>
      </c>
      <c r="AC8" s="1556" t="e">
        <f t="shared" ref="AC8:AC40" si="5">D8/J8</f>
        <v>#DIV/0!</v>
      </c>
    </row>
    <row r="9" spans="1:29" s="1215" customFormat="1" ht="15">
      <c r="A9" s="2863"/>
      <c r="B9" s="2870"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497" t="s">
        <v>535</v>
      </c>
      <c r="Q9" s="1146" t="str">
        <f t="shared" ref="Q9:Q15" si="6">B9</f>
        <v>用途</v>
      </c>
      <c r="R9" s="1553" t="s">
        <v>8</v>
      </c>
      <c r="S9" s="1554">
        <f t="shared" si="0"/>
        <v>100</v>
      </c>
      <c r="T9" s="1553" t="s">
        <v>8</v>
      </c>
      <c r="U9" s="1554">
        <f t="shared" si="1"/>
        <v>100</v>
      </c>
      <c r="V9" s="1553" t="s">
        <v>8</v>
      </c>
      <c r="W9" s="1554">
        <f t="shared" si="2"/>
        <v>100</v>
      </c>
      <c r="X9" s="1555"/>
      <c r="Y9" s="3454"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497"/>
      <c r="Q10" s="1146" t="str">
        <f t="shared" si="6"/>
        <v>土地使用年限（年）</v>
      </c>
      <c r="R10" s="1553" t="s">
        <v>8</v>
      </c>
      <c r="S10" s="1554">
        <f t="shared" si="0"/>
        <v>100</v>
      </c>
      <c r="T10" s="1553" t="s">
        <v>8</v>
      </c>
      <c r="U10" s="1554">
        <f t="shared" si="1"/>
        <v>100</v>
      </c>
      <c r="V10" s="1553" t="s">
        <v>8</v>
      </c>
      <c r="W10" s="1554">
        <f t="shared" si="2"/>
        <v>100</v>
      </c>
      <c r="X10" s="1555"/>
      <c r="Y10" s="3454"/>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497"/>
      <c r="Q11" s="1146" t="str">
        <f t="shared" si="6"/>
        <v>容积率</v>
      </c>
      <c r="R11" s="1553" t="s">
        <v>8</v>
      </c>
      <c r="S11" s="1554" t="e">
        <f t="shared" si="0"/>
        <v>#N/A</v>
      </c>
      <c r="T11" s="1553" t="s">
        <v>8</v>
      </c>
      <c r="U11" s="1554" t="e">
        <f t="shared" si="1"/>
        <v>#N/A</v>
      </c>
      <c r="V11" s="1553" t="s">
        <v>8</v>
      </c>
      <c r="W11" s="1554" t="e">
        <f t="shared" si="2"/>
        <v>#N/A</v>
      </c>
      <c r="X11" s="1555"/>
      <c r="Y11" s="3454"/>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497"/>
      <c r="Q12" s="1146">
        <f t="shared" si="6"/>
        <v>111</v>
      </c>
      <c r="R12" s="1553" t="s">
        <v>8</v>
      </c>
      <c r="S12" s="1554">
        <f t="shared" si="0"/>
        <v>100</v>
      </c>
      <c r="T12" s="1553" t="s">
        <v>8</v>
      </c>
      <c r="U12" s="1554">
        <f t="shared" si="1"/>
        <v>100</v>
      </c>
      <c r="V12" s="1553" t="s">
        <v>8</v>
      </c>
      <c r="W12" s="1554">
        <f t="shared" si="2"/>
        <v>100</v>
      </c>
      <c r="X12" s="1555"/>
      <c r="Y12" s="3454"/>
      <c r="Z12" s="1145">
        <f t="shared" si="7"/>
        <v>111</v>
      </c>
      <c r="AA12" s="1556">
        <f>D12/F12</f>
        <v>1</v>
      </c>
      <c r="AB12" s="1556">
        <f>D12/H12</f>
        <v>1</v>
      </c>
      <c r="AC12" s="1556">
        <f>D12/J12</f>
        <v>1</v>
      </c>
    </row>
    <row r="13" spans="1:29" ht="15">
      <c r="A13" s="2866"/>
      <c r="B13" s="2872">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497"/>
      <c r="Q13" s="1146">
        <f t="shared" si="6"/>
        <v>111</v>
      </c>
      <c r="R13" s="1553" t="s">
        <v>8</v>
      </c>
      <c r="S13" s="1554">
        <f t="shared" si="0"/>
        <v>100</v>
      </c>
      <c r="T13" s="1553" t="s">
        <v>8</v>
      </c>
      <c r="U13" s="1554">
        <f t="shared" si="1"/>
        <v>100</v>
      </c>
      <c r="V13" s="1553" t="s">
        <v>8</v>
      </c>
      <c r="W13" s="1554">
        <f t="shared" si="2"/>
        <v>100</v>
      </c>
      <c r="X13" s="1555"/>
      <c r="Y13" s="3454"/>
      <c r="Z13" s="1145">
        <f t="shared" si="7"/>
        <v>111</v>
      </c>
      <c r="AA13" s="1556">
        <f t="shared" si="3"/>
        <v>1</v>
      </c>
      <c r="AB13" s="1556">
        <f t="shared" si="4"/>
        <v>1</v>
      </c>
      <c r="AC13" s="1556">
        <f t="shared" si="5"/>
        <v>1</v>
      </c>
    </row>
    <row r="14" spans="1:29" ht="15.75" thickBot="1">
      <c r="A14" s="2867"/>
      <c r="B14" s="2873">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497"/>
      <c r="Q14" s="1146">
        <f t="shared" si="6"/>
        <v>111</v>
      </c>
      <c r="R14" s="1553" t="s">
        <v>8</v>
      </c>
      <c r="S14" s="1554">
        <f t="shared" si="0"/>
        <v>100</v>
      </c>
      <c r="T14" s="1553" t="s">
        <v>8</v>
      </c>
      <c r="U14" s="1554">
        <f t="shared" si="1"/>
        <v>100</v>
      </c>
      <c r="V14" s="1553" t="s">
        <v>8</v>
      </c>
      <c r="W14" s="1554">
        <f t="shared" si="2"/>
        <v>100</v>
      </c>
      <c r="X14" s="1555"/>
      <c r="Y14" s="3454"/>
      <c r="Z14" s="1145">
        <f t="shared" si="7"/>
        <v>111</v>
      </c>
      <c r="AA14" s="1556">
        <f t="shared" si="3"/>
        <v>1</v>
      </c>
      <c r="AB14" s="1556">
        <f t="shared" si="4"/>
        <v>1</v>
      </c>
      <c r="AC14" s="1556">
        <f t="shared" si="5"/>
        <v>1</v>
      </c>
    </row>
    <row r="15" spans="1:29" ht="57">
      <c r="A15" s="2859"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499" t="s">
        <v>540</v>
      </c>
      <c r="Q15" s="1557" t="str">
        <f t="shared" si="6"/>
        <v>产业集聚程度</v>
      </c>
      <c r="R15" s="1558" t="s">
        <v>8</v>
      </c>
      <c r="S15" s="1559">
        <f t="shared" si="0"/>
        <v>100</v>
      </c>
      <c r="T15" s="1558" t="s">
        <v>8</v>
      </c>
      <c r="U15" s="1559">
        <f t="shared" si="1"/>
        <v>100</v>
      </c>
      <c r="V15" s="1558" t="s">
        <v>8</v>
      </c>
      <c r="W15" s="1559">
        <f t="shared" si="2"/>
        <v>100</v>
      </c>
      <c r="X15" s="1552"/>
      <c r="Y15" s="349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4"/>
      <c r="M16" s="2116"/>
      <c r="N16" s="2116"/>
      <c r="O16" s="2123"/>
      <c r="P16" s="3500"/>
      <c r="Q16" s="1557"/>
      <c r="R16" s="1558"/>
      <c r="S16" s="1559"/>
      <c r="T16" s="1558"/>
      <c r="U16" s="1559"/>
      <c r="V16" s="1558"/>
      <c r="W16" s="1559"/>
      <c r="X16" s="1552"/>
      <c r="Y16" s="3500"/>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4"/>
      <c r="M18" s="2116"/>
      <c r="N18" s="2116"/>
      <c r="O18" s="2123"/>
      <c r="P18" s="3500"/>
      <c r="Q18" s="1557"/>
      <c r="R18" s="1558"/>
      <c r="S18" s="1559"/>
      <c r="T18" s="1558"/>
      <c r="U18" s="1559"/>
      <c r="V18" s="1558"/>
      <c r="W18" s="1559"/>
      <c r="X18" s="1552"/>
      <c r="Y18" s="3500"/>
      <c r="Z18" s="1560"/>
      <c r="AA18" s="1561">
        <v>1</v>
      </c>
      <c r="AB18" s="1561">
        <v>1</v>
      </c>
      <c r="AC18" s="1561">
        <v>1</v>
      </c>
    </row>
    <row r="19" spans="1:29" ht="42.75">
      <c r="A19" s="532"/>
      <c r="B19" s="256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4"/>
      <c r="M20" s="2116"/>
      <c r="N20" s="2116"/>
      <c r="O20" s="2123"/>
      <c r="P20" s="3500"/>
      <c r="Q20" s="1557"/>
      <c r="R20" s="1558"/>
      <c r="S20" s="1559"/>
      <c r="T20" s="1558"/>
      <c r="U20" s="1559"/>
      <c r="V20" s="1558"/>
      <c r="W20" s="1559"/>
      <c r="X20" s="1552"/>
      <c r="Y20" s="3500"/>
      <c r="Z20" s="1560"/>
      <c r="AA20" s="1561">
        <v>1</v>
      </c>
      <c r="AB20" s="1561">
        <v>1</v>
      </c>
      <c r="AC20" s="1561">
        <v>1</v>
      </c>
    </row>
    <row r="21" spans="1:29" ht="28.5">
      <c r="A21" s="532"/>
      <c r="B21" s="255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500"/>
      <c r="Q21" s="2538" t="str">
        <f>B21</f>
        <v>基础设施水平</v>
      </c>
      <c r="R21" s="1558" t="s">
        <v>8</v>
      </c>
      <c r="S21" s="1559">
        <f>F21</f>
        <v>100</v>
      </c>
      <c r="T21" s="1558" t="s">
        <v>8</v>
      </c>
      <c r="U21" s="1559">
        <f>H21</f>
        <v>100</v>
      </c>
      <c r="V21" s="1558" t="s">
        <v>8</v>
      </c>
      <c r="W21" s="1559">
        <f>J21</f>
        <v>100</v>
      </c>
      <c r="X21" s="2540"/>
      <c r="Y21" s="3500"/>
      <c r="Z21" s="2539"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1"/>
      <c r="L22" s="2124"/>
      <c r="M22" s="2116"/>
      <c r="N22" s="2116"/>
      <c r="O22" s="2123"/>
      <c r="P22" s="3500"/>
      <c r="Q22" s="2538"/>
      <c r="R22" s="1558"/>
      <c r="S22" s="1559"/>
      <c r="T22" s="1558"/>
      <c r="U22" s="1559"/>
      <c r="V22" s="1558"/>
      <c r="W22" s="1559"/>
      <c r="X22" s="2540"/>
      <c r="Y22" s="3500"/>
      <c r="Z22" s="2539"/>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500"/>
      <c r="Q23" s="1557" t="str">
        <f>B23</f>
        <v>环境质量</v>
      </c>
      <c r="R23" s="1558" t="s">
        <v>8</v>
      </c>
      <c r="S23" s="1559">
        <f>F23</f>
        <v>100</v>
      </c>
      <c r="T23" s="1558" t="s">
        <v>8</v>
      </c>
      <c r="U23" s="1559">
        <f>H23</f>
        <v>100</v>
      </c>
      <c r="V23" s="1558" t="s">
        <v>8</v>
      </c>
      <c r="W23" s="1559">
        <f>J23</f>
        <v>100</v>
      </c>
      <c r="X23" s="1552"/>
      <c r="Y23" s="3500"/>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00"/>
      <c r="Q25" s="1557">
        <f>B25</f>
        <v>111</v>
      </c>
      <c r="R25" s="1558" t="s">
        <v>8</v>
      </c>
      <c r="S25" s="1559">
        <f>F25</f>
        <v>100</v>
      </c>
      <c r="T25" s="1558" t="s">
        <v>8</v>
      </c>
      <c r="U25" s="1559">
        <f>H25</f>
        <v>100</v>
      </c>
      <c r="V25" s="1558" t="s">
        <v>8</v>
      </c>
      <c r="W25" s="1559">
        <f>J25</f>
        <v>100</v>
      </c>
      <c r="X25" s="1552"/>
      <c r="Y25" s="350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00"/>
      <c r="Q26" s="1557">
        <f t="shared" ref="Q26:Q40" si="11">B26</f>
        <v>111</v>
      </c>
      <c r="R26" s="1558" t="s">
        <v>8</v>
      </c>
      <c r="S26" s="1559">
        <f>F26</f>
        <v>100</v>
      </c>
      <c r="T26" s="1558" t="s">
        <v>8</v>
      </c>
      <c r="U26" s="1559">
        <f>H26</f>
        <v>100</v>
      </c>
      <c r="V26" s="1558" t="s">
        <v>8</v>
      </c>
      <c r="W26" s="1559">
        <f>J26</f>
        <v>100</v>
      </c>
      <c r="X26" s="1552"/>
      <c r="Y26" s="3500"/>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00"/>
      <c r="Q27" s="1146">
        <f t="shared" si="11"/>
        <v>111</v>
      </c>
      <c r="R27" s="1553" t="s">
        <v>8</v>
      </c>
      <c r="S27" s="1554">
        <f>F27</f>
        <v>100</v>
      </c>
      <c r="T27" s="1553" t="s">
        <v>8</v>
      </c>
      <c r="U27" s="1554">
        <f>H27</f>
        <v>100</v>
      </c>
      <c r="V27" s="1553" t="s">
        <v>8</v>
      </c>
      <c r="W27" s="1554">
        <f>J27</f>
        <v>100</v>
      </c>
      <c r="X27" s="1555"/>
      <c r="Y27" s="3500"/>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500"/>
      <c r="Q28" s="1557">
        <f t="shared" si="11"/>
        <v>111</v>
      </c>
      <c r="R28" s="1558" t="s">
        <v>8</v>
      </c>
      <c r="S28" s="1559">
        <f t="shared" ref="S28:S40" si="12">F28</f>
        <v>100</v>
      </c>
      <c r="T28" s="1558" t="s">
        <v>8</v>
      </c>
      <c r="U28" s="1559">
        <f t="shared" ref="U28:U40" si="13">H28</f>
        <v>100</v>
      </c>
      <c r="V28" s="1558" t="s">
        <v>8</v>
      </c>
      <c r="W28" s="1559">
        <f t="shared" ref="W28:W40" si="14">J28</f>
        <v>100</v>
      </c>
      <c r="X28" s="1552"/>
      <c r="Y28" s="3500"/>
      <c r="Z28" s="1560">
        <f t="shared" ref="Z28:Z40" si="15">Q28</f>
        <v>111</v>
      </c>
      <c r="AA28" s="1561">
        <f t="shared" si="3"/>
        <v>1</v>
      </c>
      <c r="AB28" s="1561">
        <f t="shared" si="4"/>
        <v>1</v>
      </c>
      <c r="AC28" s="1561">
        <f t="shared" si="5"/>
        <v>1</v>
      </c>
    </row>
    <row r="29" spans="1:29" ht="15">
      <c r="A29" s="2857"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501" t="s">
        <v>550</v>
      </c>
      <c r="Q29" s="1557" t="str">
        <f t="shared" si="11"/>
        <v>建筑类型</v>
      </c>
      <c r="R29" s="1558" t="s">
        <v>8</v>
      </c>
      <c r="S29" s="1559">
        <f t="shared" si="12"/>
        <v>100</v>
      </c>
      <c r="T29" s="1558" t="s">
        <v>8</v>
      </c>
      <c r="U29" s="1559">
        <f t="shared" si="13"/>
        <v>100</v>
      </c>
      <c r="V29" s="1558" t="s">
        <v>8</v>
      </c>
      <c r="W29" s="1559">
        <f t="shared" si="14"/>
        <v>100</v>
      </c>
      <c r="X29" s="1552"/>
      <c r="Y29" s="3502" t="s">
        <v>550</v>
      </c>
      <c r="Z29" s="1560" t="str">
        <f t="shared" si="15"/>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02"/>
      <c r="Q30" s="1589" t="str">
        <f t="shared" si="11"/>
        <v>项目建筑规模</v>
      </c>
      <c r="R30" s="1562" t="s">
        <v>8</v>
      </c>
      <c r="S30" s="1563" t="e">
        <f t="shared" si="12"/>
        <v>#N/A</v>
      </c>
      <c r="T30" s="1562" t="s">
        <v>8</v>
      </c>
      <c r="U30" s="1563" t="e">
        <f t="shared" si="13"/>
        <v>#N/A</v>
      </c>
      <c r="V30" s="1562" t="s">
        <v>8</v>
      </c>
      <c r="W30" s="1563" t="e">
        <f t="shared" si="14"/>
        <v>#N/A</v>
      </c>
      <c r="X30" s="1564"/>
      <c r="Y30" s="350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02"/>
      <c r="Q31" s="1557" t="str">
        <f t="shared" si="11"/>
        <v>建筑结构</v>
      </c>
      <c r="R31" s="1558" t="s">
        <v>8</v>
      </c>
      <c r="S31" s="1559">
        <f t="shared" si="12"/>
        <v>100</v>
      </c>
      <c r="T31" s="1558" t="s">
        <v>8</v>
      </c>
      <c r="U31" s="1559">
        <f t="shared" si="13"/>
        <v>100</v>
      </c>
      <c r="V31" s="1558" t="s">
        <v>8</v>
      </c>
      <c r="W31" s="1559">
        <f t="shared" si="14"/>
        <v>100</v>
      </c>
      <c r="X31" s="1552"/>
      <c r="Y31" s="350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02"/>
      <c r="Q32" s="1557" t="str">
        <f t="shared" si="11"/>
        <v>公共部分装修</v>
      </c>
      <c r="R32" s="1558" t="s">
        <v>8</v>
      </c>
      <c r="S32" s="1559">
        <f t="shared" si="12"/>
        <v>100</v>
      </c>
      <c r="T32" s="1558" t="s">
        <v>8</v>
      </c>
      <c r="U32" s="1559">
        <f t="shared" si="13"/>
        <v>100</v>
      </c>
      <c r="V32" s="1558" t="s">
        <v>8</v>
      </c>
      <c r="W32" s="1559">
        <f t="shared" si="14"/>
        <v>100</v>
      </c>
      <c r="X32" s="1552"/>
      <c r="Y32" s="3502"/>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502"/>
      <c r="Q33" s="1557" t="str">
        <f t="shared" si="11"/>
        <v>成新度</v>
      </c>
      <c r="R33" s="1558" t="s">
        <v>8</v>
      </c>
      <c r="S33" s="1559" t="e">
        <f t="shared" si="12"/>
        <v>#N/A</v>
      </c>
      <c r="T33" s="1558" t="s">
        <v>8</v>
      </c>
      <c r="U33" s="1559" t="e">
        <f t="shared" si="13"/>
        <v>#N/A</v>
      </c>
      <c r="V33" s="1558" t="s">
        <v>8</v>
      </c>
      <c r="W33" s="1559" t="e">
        <f t="shared" si="14"/>
        <v>#N/A</v>
      </c>
      <c r="X33" s="1552"/>
      <c r="Y33" s="3502"/>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02"/>
      <c r="Q34" s="1146" t="str">
        <f t="shared" si="11"/>
        <v>物业管理</v>
      </c>
      <c r="R34" s="1553" t="s">
        <v>8</v>
      </c>
      <c r="S34" s="1554">
        <f t="shared" si="12"/>
        <v>100</v>
      </c>
      <c r="T34" s="1553" t="s">
        <v>8</v>
      </c>
      <c r="U34" s="1554">
        <f t="shared" si="13"/>
        <v>100</v>
      </c>
      <c r="V34" s="1553" t="s">
        <v>8</v>
      </c>
      <c r="W34" s="1554">
        <f t="shared" si="14"/>
        <v>100</v>
      </c>
      <c r="X34" s="1555"/>
      <c r="Y34" s="3502"/>
      <c r="Z34" s="1145" t="str">
        <f t="shared" si="15"/>
        <v>物业管理</v>
      </c>
      <c r="AA34" s="1556">
        <f t="shared" si="3"/>
        <v>1</v>
      </c>
      <c r="AB34" s="1556">
        <f t="shared" si="4"/>
        <v>1</v>
      </c>
      <c r="AC34" s="1556">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02" t="s">
        <v>550</v>
      </c>
      <c r="Q35" s="1557" t="str">
        <f t="shared" si="11"/>
        <v>市政基础设施</v>
      </c>
      <c r="R35" s="1558" t="s">
        <v>8</v>
      </c>
      <c r="S35" s="1559">
        <f t="shared" si="12"/>
        <v>100</v>
      </c>
      <c r="T35" s="1558" t="s">
        <v>8</v>
      </c>
      <c r="U35" s="1559">
        <f t="shared" si="13"/>
        <v>100</v>
      </c>
      <c r="V35" s="1558" t="s">
        <v>8</v>
      </c>
      <c r="W35" s="1559">
        <f t="shared" si="14"/>
        <v>100</v>
      </c>
      <c r="X35" s="1552"/>
      <c r="Y35" s="350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02"/>
      <c r="Q36" s="1557" t="str">
        <f t="shared" si="11"/>
        <v>内部装修</v>
      </c>
      <c r="R36" s="1558" t="s">
        <v>8</v>
      </c>
      <c r="S36" s="1559">
        <f t="shared" si="12"/>
        <v>100</v>
      </c>
      <c r="T36" s="1558" t="s">
        <v>8</v>
      </c>
      <c r="U36" s="1559">
        <f t="shared" si="13"/>
        <v>100</v>
      </c>
      <c r="V36" s="1558" t="s">
        <v>8</v>
      </c>
      <c r="W36" s="1559">
        <f t="shared" si="14"/>
        <v>100</v>
      </c>
      <c r="X36" s="1552"/>
      <c r="Y36" s="350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02"/>
      <c r="Q37" s="1557" t="str">
        <f t="shared" si="11"/>
        <v>内部装修状况</v>
      </c>
      <c r="R37" s="1558" t="s">
        <v>8</v>
      </c>
      <c r="S37" s="1559">
        <f t="shared" si="12"/>
        <v>100</v>
      </c>
      <c r="T37" s="1558" t="s">
        <v>8</v>
      </c>
      <c r="U37" s="1559">
        <f t="shared" si="13"/>
        <v>100</v>
      </c>
      <c r="V37" s="1558" t="s">
        <v>8</v>
      </c>
      <c r="W37" s="1559">
        <f t="shared" si="14"/>
        <v>100</v>
      </c>
      <c r="X37" s="1552"/>
      <c r="Y37" s="3502"/>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502"/>
      <c r="Q38" s="1589">
        <f t="shared" si="11"/>
        <v>111</v>
      </c>
      <c r="R38" s="1562" t="s">
        <v>8</v>
      </c>
      <c r="S38" s="1563">
        <f t="shared" si="12"/>
        <v>100</v>
      </c>
      <c r="T38" s="1562" t="s">
        <v>8</v>
      </c>
      <c r="U38" s="1563">
        <f t="shared" si="13"/>
        <v>100</v>
      </c>
      <c r="V38" s="1562" t="s">
        <v>8</v>
      </c>
      <c r="W38" s="1563">
        <f t="shared" si="14"/>
        <v>100</v>
      </c>
      <c r="X38" s="1564"/>
      <c r="Y38" s="3502"/>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502"/>
      <c r="Q39" s="1557">
        <f t="shared" si="11"/>
        <v>111</v>
      </c>
      <c r="R39" s="1558" t="s">
        <v>8</v>
      </c>
      <c r="S39" s="1559">
        <f t="shared" si="12"/>
        <v>100</v>
      </c>
      <c r="T39" s="1558" t="s">
        <v>8</v>
      </c>
      <c r="U39" s="1559">
        <f t="shared" si="13"/>
        <v>100</v>
      </c>
      <c r="V39" s="1558" t="s">
        <v>8</v>
      </c>
      <c r="W39" s="1559">
        <f t="shared" si="14"/>
        <v>100</v>
      </c>
      <c r="X39" s="1552"/>
      <c r="Y39" s="3502"/>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581"/>
      <c r="Q40" s="1557">
        <f t="shared" si="11"/>
        <v>111</v>
      </c>
      <c r="R40" s="1558" t="s">
        <v>8</v>
      </c>
      <c r="S40" s="1559">
        <f t="shared" si="12"/>
        <v>100</v>
      </c>
      <c r="T40" s="1558" t="s">
        <v>8</v>
      </c>
      <c r="U40" s="1559">
        <f t="shared" si="13"/>
        <v>100</v>
      </c>
      <c r="V40" s="1558" t="s">
        <v>8</v>
      </c>
      <c r="W40" s="1559">
        <f t="shared" si="14"/>
        <v>100</v>
      </c>
      <c r="X40" s="1552"/>
      <c r="Y40" s="3581"/>
      <c r="Z40" s="1560">
        <f t="shared" si="15"/>
        <v>111</v>
      </c>
      <c r="AA40" s="1561">
        <f t="shared" si="3"/>
        <v>1</v>
      </c>
      <c r="AB40" s="1561">
        <f t="shared" si="4"/>
        <v>1</v>
      </c>
      <c r="AC40" s="1561">
        <f t="shared" si="5"/>
        <v>1</v>
      </c>
    </row>
    <row r="41" spans="1:29" ht="15">
      <c r="A41" s="607" t="s">
        <v>736</v>
      </c>
      <c r="B41" s="887"/>
      <c r="C41" s="2586" t="s">
        <v>1</v>
      </c>
      <c r="D41" s="2587"/>
      <c r="E41" s="2588"/>
      <c r="F41" s="2589"/>
      <c r="G41" s="2590"/>
      <c r="H41" s="2591"/>
      <c r="I41" s="2588"/>
      <c r="J41" s="2591"/>
      <c r="K41" s="1595"/>
      <c r="L41" s="2126"/>
      <c r="M41" s="2127"/>
      <c r="N41" s="2116"/>
      <c r="O41" s="2127"/>
      <c r="P41" s="3497" t="str">
        <f>A41</f>
        <v>成交单价（元/平方米）</v>
      </c>
      <c r="Q41" s="3497"/>
      <c r="R41" s="3580">
        <f>E41</f>
        <v>0</v>
      </c>
      <c r="S41" s="3580"/>
      <c r="T41" s="3580">
        <f>G41</f>
        <v>0</v>
      </c>
      <c r="U41" s="3580"/>
      <c r="V41" s="3580">
        <f>I41</f>
        <v>0</v>
      </c>
      <c r="W41" s="3580"/>
      <c r="X41" s="1544"/>
      <c r="Y41" s="1566"/>
      <c r="Z41" s="1544"/>
      <c r="AA41" s="1544"/>
      <c r="AB41" s="1544"/>
      <c r="AC41" s="1544"/>
    </row>
    <row r="42" spans="1:29" ht="15.75" thickBot="1">
      <c r="A42" s="615" t="s">
        <v>2756</v>
      </c>
      <c r="B42" s="888"/>
      <c r="C42" s="2592" t="e">
        <f>R43</f>
        <v>#DIV/0!</v>
      </c>
      <c r="D42" s="2593"/>
      <c r="E42" s="2594" t="e">
        <f>R42</f>
        <v>#DIV/0!</v>
      </c>
      <c r="F42" s="2594"/>
      <c r="G42" s="2592" t="e">
        <f>T42</f>
        <v>#DIV/0!</v>
      </c>
      <c r="H42" s="2593"/>
      <c r="I42" s="2594" t="e">
        <f>V42</f>
        <v>#DIV/0!</v>
      </c>
      <c r="J42" s="2593"/>
      <c r="K42" s="1596"/>
      <c r="L42" s="2126"/>
      <c r="M42" s="2127"/>
      <c r="N42" s="2116"/>
      <c r="O42" s="2127"/>
      <c r="P42" s="3497" t="str">
        <f>A42</f>
        <v>比较价格（元/平方米）</v>
      </c>
      <c r="Q42" s="3497"/>
      <c r="R42" s="3580" t="e">
        <f>IF(F1="售价",ROUND(PRODUCT(R41,AA7:AA40),0),ROUND(PRODUCT(R41,AA7:AA40),1))</f>
        <v>#DIV/0!</v>
      </c>
      <c r="S42" s="3580"/>
      <c r="T42" s="3580" t="e">
        <f>IF(F1="售价",ROUND(PRODUCT(T41,AB7:AB40),0),ROUND(PRODUCT(T41,AB7:AB40),1))</f>
        <v>#DIV/0!</v>
      </c>
      <c r="U42" s="3580"/>
      <c r="V42" s="3580" t="e">
        <f>IF(F1="售价",ROUND(PRODUCT(V41,AC7:AC40),0),ROUND(PRODUCT(V41,AC7:AC40),1))</f>
        <v>#DIV/0!</v>
      </c>
      <c r="W42" s="3580"/>
      <c r="X42" s="1544"/>
      <c r="Y42" s="1544"/>
      <c r="Z42" s="1544"/>
      <c r="AA42" s="1544"/>
      <c r="AB42" s="1544"/>
      <c r="AC42" s="1544"/>
    </row>
    <row r="43" spans="1:29" ht="15.75" thickBot="1">
      <c r="A43" s="621" t="s">
        <v>2926</v>
      </c>
      <c r="B43" s="622"/>
      <c r="C43" s="2595" t="e">
        <f>R43</f>
        <v>#DIV/0!</v>
      </c>
      <c r="D43" s="2595"/>
      <c r="E43" s="2595"/>
      <c r="F43" s="2595"/>
      <c r="G43" s="2595"/>
      <c r="H43" s="2595"/>
      <c r="I43" s="2595"/>
      <c r="J43" s="2595"/>
      <c r="K43" s="1597"/>
      <c r="L43" s="2126"/>
      <c r="M43" s="2127"/>
      <c r="N43" s="2127"/>
      <c r="O43" s="2127"/>
      <c r="P43" s="3518" t="str">
        <f>A43</f>
        <v>估价对象XX用房的比较价格（楼面单价，元/平方米）</v>
      </c>
      <c r="Q43" s="3519"/>
      <c r="R43" s="3579" t="e">
        <f>IF(F1="售价",ROUND(AVERAGE(R42:V42),0),ROUND(AVERAGE(R42:V42),1))</f>
        <v>#DIV/0!</v>
      </c>
      <c r="S43" s="3579"/>
      <c r="T43" s="3579"/>
      <c r="U43" s="3579"/>
      <c r="V43" s="3579"/>
      <c r="W43" s="3579"/>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5" t="s">
        <v>529</v>
      </c>
      <c r="B52" s="646"/>
      <c r="C52" s="2752" t="str">
        <f>YEAR(C7)&amp;"-"&amp;MONTH(C7)</f>
        <v>2019-5</v>
      </c>
      <c r="D52" s="2754">
        <f>EDATE(C52,-1)</f>
        <v>43556</v>
      </c>
      <c r="E52" s="2754">
        <f t="shared" ref="E52:O52" si="16">EDATE(D52,-1)</f>
        <v>43525</v>
      </c>
      <c r="F52" s="2754">
        <f t="shared" si="16"/>
        <v>43497</v>
      </c>
      <c r="G52" s="2754">
        <f t="shared" si="16"/>
        <v>43466</v>
      </c>
      <c r="H52" s="2754">
        <f t="shared" si="16"/>
        <v>43435</v>
      </c>
      <c r="I52" s="2754">
        <f t="shared" si="16"/>
        <v>43405</v>
      </c>
      <c r="J52" s="2754">
        <f t="shared" si="16"/>
        <v>43374</v>
      </c>
      <c r="K52" s="2754">
        <f t="shared" si="16"/>
        <v>43344</v>
      </c>
      <c r="L52" s="2754">
        <f t="shared" si="16"/>
        <v>43313</v>
      </c>
      <c r="M52" s="2754">
        <f t="shared" si="16"/>
        <v>43282</v>
      </c>
      <c r="N52" s="2754">
        <f t="shared" si="16"/>
        <v>43252</v>
      </c>
      <c r="O52" s="2754">
        <f t="shared" si="16"/>
        <v>43221</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6" t="s">
        <v>2555</v>
      </c>
      <c r="C76" s="2557" t="s">
        <v>2556</v>
      </c>
      <c r="D76" s="2557" t="s">
        <v>2557</v>
      </c>
      <c r="E76" s="2557" t="s">
        <v>2558</v>
      </c>
      <c r="F76" s="2557" t="s">
        <v>2559</v>
      </c>
      <c r="G76" s="2557" t="s">
        <v>2560</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0" t="s">
        <v>2073</v>
      </c>
      <c r="F3" s="851">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503" t="s">
        <v>798</v>
      </c>
      <c r="D4" s="3504"/>
      <c r="E4" s="3503" t="s">
        <v>799</v>
      </c>
      <c r="F4" s="3504"/>
      <c r="G4" s="3503" t="s">
        <v>800</v>
      </c>
      <c r="H4" s="3504"/>
      <c r="I4" s="3503" t="s">
        <v>801</v>
      </c>
      <c r="J4" s="3504"/>
      <c r="K4" s="514" t="s">
        <v>802</v>
      </c>
      <c r="L4" s="2115"/>
      <c r="M4" s="2116"/>
      <c r="N4" s="2116"/>
      <c r="O4" s="2116"/>
      <c r="P4" s="3505" t="s">
        <v>803</v>
      </c>
      <c r="Q4" s="3506"/>
      <c r="R4" s="3491" t="s">
        <v>799</v>
      </c>
      <c r="S4" s="3492"/>
      <c r="T4" s="3491" t="s">
        <v>800</v>
      </c>
      <c r="U4" s="3492"/>
      <c r="V4" s="3511" t="s">
        <v>801</v>
      </c>
      <c r="W4" s="3511"/>
      <c r="X4" s="1552"/>
      <c r="Y4" s="3491" t="s">
        <v>803</v>
      </c>
      <c r="Z4" s="3492"/>
      <c r="AA4" s="3486" t="s">
        <v>799</v>
      </c>
      <c r="AB4" s="3487" t="s">
        <v>800</v>
      </c>
      <c r="AC4" s="3486" t="s">
        <v>801</v>
      </c>
    </row>
    <row r="5" spans="1:29" ht="15">
      <c r="A5" s="515"/>
      <c r="B5" s="516"/>
      <c r="C5" s="3514" t="s">
        <v>2920</v>
      </c>
      <c r="D5" s="3515"/>
      <c r="E5" s="3514" t="s">
        <v>2921</v>
      </c>
      <c r="F5" s="3515"/>
      <c r="G5" s="3514" t="s">
        <v>2922</v>
      </c>
      <c r="H5" s="3515"/>
      <c r="I5" s="3514" t="s">
        <v>2923</v>
      </c>
      <c r="J5" s="3515"/>
      <c r="K5" s="514"/>
      <c r="L5" s="2115"/>
      <c r="M5" s="2116"/>
      <c r="N5" s="2116"/>
      <c r="O5" s="2116"/>
      <c r="P5" s="3507"/>
      <c r="Q5" s="3508"/>
      <c r="R5" s="3493"/>
      <c r="S5" s="3494"/>
      <c r="T5" s="3493"/>
      <c r="U5" s="3494"/>
      <c r="V5" s="3511"/>
      <c r="W5" s="3511"/>
      <c r="X5" s="1552"/>
      <c r="Y5" s="3493"/>
      <c r="Z5" s="3494"/>
      <c r="AA5" s="3487"/>
      <c r="AB5" s="3487"/>
      <c r="AC5" s="3487"/>
    </row>
    <row r="6" spans="1:29" ht="15.75" thickBot="1">
      <c r="A6" s="517"/>
      <c r="B6" s="518"/>
      <c r="C6" s="3512" t="s">
        <v>2924</v>
      </c>
      <c r="D6" s="3513"/>
      <c r="E6" s="3516" t="s">
        <v>2924</v>
      </c>
      <c r="F6" s="3517"/>
      <c r="G6" s="3512" t="s">
        <v>2924</v>
      </c>
      <c r="H6" s="3513"/>
      <c r="I6" s="3512" t="s">
        <v>2924</v>
      </c>
      <c r="J6" s="3513"/>
      <c r="K6" s="514" t="s">
        <v>528</v>
      </c>
      <c r="L6" s="2115"/>
      <c r="M6" s="2116"/>
      <c r="N6" s="2116"/>
      <c r="O6" s="2116"/>
      <c r="P6" s="3509"/>
      <c r="Q6" s="3510"/>
      <c r="R6" s="3493"/>
      <c r="S6" s="3494"/>
      <c r="T6" s="3495"/>
      <c r="U6" s="3496"/>
      <c r="V6" s="3511"/>
      <c r="W6" s="3511"/>
      <c r="X6" s="1552"/>
      <c r="Y6" s="3495"/>
      <c r="Z6" s="3496"/>
      <c r="AA6" s="3488"/>
      <c r="AB6" s="3488"/>
      <c r="AC6" s="3488"/>
    </row>
    <row r="7" spans="1:29" s="1215" customFormat="1" ht="15.75" thickBot="1">
      <c r="A7" s="2861"/>
      <c r="B7" s="2868" t="s">
        <v>529</v>
      </c>
      <c r="C7" s="519">
        <f>'数据-取费表'!B2</f>
        <v>43602</v>
      </c>
      <c r="D7" s="520">
        <v>100</v>
      </c>
      <c r="E7" s="521"/>
      <c r="F7" s="522">
        <f>SUMIF(48:48,YEAR(E7)&amp;"-"&amp;MONTH(E7),49:49)</f>
        <v>0</v>
      </c>
      <c r="G7" s="523"/>
      <c r="H7" s="520">
        <f>SUMIF(48:48,YEAR(G7)&amp;"-"&amp;MONTH(G7),49:49)</f>
        <v>0</v>
      </c>
      <c r="I7" s="523"/>
      <c r="J7" s="520">
        <f>SUMIF(48:48,YEAR(I7)&amp;"-"&amp;MONTH(I7),49:49)</f>
        <v>0</v>
      </c>
      <c r="K7" s="524"/>
      <c r="L7" s="2117"/>
      <c r="M7" s="2118"/>
      <c r="N7" s="2118"/>
      <c r="O7" s="2118"/>
      <c r="P7" s="3489" t="s">
        <v>530</v>
      </c>
      <c r="Q7" s="3498"/>
      <c r="R7" s="1553" t="s">
        <v>8</v>
      </c>
      <c r="S7" s="1554">
        <f t="shared" ref="S7:S14" si="0">F7</f>
        <v>0</v>
      </c>
      <c r="T7" s="1553" t="s">
        <v>8</v>
      </c>
      <c r="U7" s="1554">
        <f t="shared" ref="U7:U14" si="1">H7</f>
        <v>0</v>
      </c>
      <c r="V7" s="1553" t="s">
        <v>8</v>
      </c>
      <c r="W7" s="1554">
        <f t="shared" ref="W7:W14" si="2">J7</f>
        <v>0</v>
      </c>
      <c r="X7" s="1555"/>
      <c r="Y7" s="3489" t="s">
        <v>530</v>
      </c>
      <c r="Z7" s="3490"/>
      <c r="AA7" s="1556" t="e">
        <f>D7/F7</f>
        <v>#DIV/0!</v>
      </c>
      <c r="AB7" s="1556" t="e">
        <f>D7/H7</f>
        <v>#DIV/0!</v>
      </c>
      <c r="AC7" s="1556" t="e">
        <f>D7/J7</f>
        <v>#DIV/0!</v>
      </c>
    </row>
    <row r="8" spans="1:29" s="1215" customFormat="1" ht="15.75" thickBot="1">
      <c r="A8" s="2862"/>
      <c r="B8" s="2869"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489" t="s">
        <v>533</v>
      </c>
      <c r="Q8" s="3490"/>
      <c r="R8" s="1553" t="s">
        <v>8</v>
      </c>
      <c r="S8" s="1554">
        <f t="shared" si="0"/>
        <v>0</v>
      </c>
      <c r="T8" s="1553" t="s">
        <v>8</v>
      </c>
      <c r="U8" s="1554">
        <f t="shared" si="1"/>
        <v>0</v>
      </c>
      <c r="V8" s="1553" t="s">
        <v>8</v>
      </c>
      <c r="W8" s="1554">
        <f t="shared" si="2"/>
        <v>0</v>
      </c>
      <c r="X8" s="1555"/>
      <c r="Y8" s="3489" t="s">
        <v>533</v>
      </c>
      <c r="Z8" s="3490"/>
      <c r="AA8" s="1556" t="e">
        <f t="shared" ref="AA8:AA36" si="3">D8/F8</f>
        <v>#DIV/0!</v>
      </c>
      <c r="AB8" s="1556" t="e">
        <f t="shared" ref="AB8:AB36" si="4">D8/H8</f>
        <v>#DIV/0!</v>
      </c>
      <c r="AC8" s="1556" t="e">
        <f t="shared" ref="AC8:AC36" si="5">D8/J8</f>
        <v>#DIV/0!</v>
      </c>
    </row>
    <row r="9" spans="1:29" s="1215" customFormat="1" ht="15">
      <c r="A9" s="2863"/>
      <c r="B9" s="2870"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497" t="s">
        <v>535</v>
      </c>
      <c r="Q9" s="1146" t="str">
        <f t="shared" ref="Q9:Q14" si="6">B9</f>
        <v>用途</v>
      </c>
      <c r="R9" s="1553" t="s">
        <v>8</v>
      </c>
      <c r="S9" s="1554">
        <f t="shared" si="0"/>
        <v>100</v>
      </c>
      <c r="T9" s="1553" t="s">
        <v>8</v>
      </c>
      <c r="U9" s="1554">
        <f t="shared" si="1"/>
        <v>100</v>
      </c>
      <c r="V9" s="1553" t="s">
        <v>8</v>
      </c>
      <c r="W9" s="1554">
        <f t="shared" si="2"/>
        <v>100</v>
      </c>
      <c r="X9" s="1555"/>
      <c r="Y9" s="3454"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497"/>
      <c r="Q10" s="1146" t="str">
        <f t="shared" si="6"/>
        <v>土地使用年限（年）</v>
      </c>
      <c r="R10" s="1553" t="s">
        <v>8</v>
      </c>
      <c r="S10" s="1554">
        <f t="shared" si="0"/>
        <v>100</v>
      </c>
      <c r="T10" s="1553" t="s">
        <v>8</v>
      </c>
      <c r="U10" s="1554">
        <f t="shared" si="1"/>
        <v>100</v>
      </c>
      <c r="V10" s="1553" t="s">
        <v>8</v>
      </c>
      <c r="W10" s="1554">
        <f t="shared" si="2"/>
        <v>100</v>
      </c>
      <c r="X10" s="1555"/>
      <c r="Y10" s="3454"/>
      <c r="Z10" s="1145" t="str">
        <f t="shared" si="7"/>
        <v>土地使用年限（年）</v>
      </c>
      <c r="AA10" s="1556">
        <f t="shared" si="3"/>
        <v>1</v>
      </c>
      <c r="AB10" s="1556">
        <f t="shared" si="4"/>
        <v>1</v>
      </c>
      <c r="AC10" s="1556">
        <f t="shared" si="5"/>
        <v>1</v>
      </c>
    </row>
    <row r="11" spans="1:29" ht="15">
      <c r="A11" s="2866"/>
      <c r="B11" s="2872">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497"/>
      <c r="Q11" s="1146">
        <f t="shared" si="6"/>
        <v>111</v>
      </c>
      <c r="R11" s="1553" t="s">
        <v>8</v>
      </c>
      <c r="S11" s="1554">
        <f t="shared" si="0"/>
        <v>100</v>
      </c>
      <c r="T11" s="1553" t="s">
        <v>8</v>
      </c>
      <c r="U11" s="1554">
        <f t="shared" si="1"/>
        <v>100</v>
      </c>
      <c r="V11" s="1553" t="s">
        <v>8</v>
      </c>
      <c r="W11" s="1554">
        <f t="shared" si="2"/>
        <v>100</v>
      </c>
      <c r="X11" s="1555"/>
      <c r="Y11" s="3454"/>
      <c r="Z11" s="1145">
        <f t="shared" si="7"/>
        <v>111</v>
      </c>
      <c r="AA11" s="1556">
        <f t="shared" si="3"/>
        <v>1</v>
      </c>
      <c r="AB11" s="1556">
        <f t="shared" si="4"/>
        <v>1</v>
      </c>
      <c r="AC11" s="1556">
        <f t="shared" si="5"/>
        <v>1</v>
      </c>
    </row>
    <row r="12" spans="1:29" s="1215" customFormat="1" ht="15">
      <c r="A12" s="2866"/>
      <c r="B12" s="2872">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497"/>
      <c r="Q12" s="1146">
        <f t="shared" si="6"/>
        <v>111</v>
      </c>
      <c r="R12" s="1553" t="s">
        <v>8</v>
      </c>
      <c r="S12" s="1554">
        <f t="shared" si="0"/>
        <v>100</v>
      </c>
      <c r="T12" s="1553" t="s">
        <v>8</v>
      </c>
      <c r="U12" s="1554">
        <f t="shared" si="1"/>
        <v>100</v>
      </c>
      <c r="V12" s="1553" t="s">
        <v>8</v>
      </c>
      <c r="W12" s="1554">
        <f t="shared" si="2"/>
        <v>100</v>
      </c>
      <c r="X12" s="1555"/>
      <c r="Y12" s="3454"/>
      <c r="Z12" s="1145">
        <f t="shared" si="7"/>
        <v>111</v>
      </c>
      <c r="AA12" s="1556">
        <f>D12/F12</f>
        <v>1</v>
      </c>
      <c r="AB12" s="1556">
        <f>D12/H12</f>
        <v>1</v>
      </c>
      <c r="AC12" s="1556">
        <f>D12/J12</f>
        <v>1</v>
      </c>
    </row>
    <row r="13" spans="1:29" ht="15.75" thickBot="1">
      <c r="A13" s="2867"/>
      <c r="B13" s="2873">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497"/>
      <c r="Q13" s="1146">
        <f t="shared" si="6"/>
        <v>111</v>
      </c>
      <c r="R13" s="1553" t="s">
        <v>8</v>
      </c>
      <c r="S13" s="1554">
        <f t="shared" si="0"/>
        <v>100</v>
      </c>
      <c r="T13" s="1553" t="s">
        <v>8</v>
      </c>
      <c r="U13" s="1554">
        <f t="shared" si="1"/>
        <v>100</v>
      </c>
      <c r="V13" s="1553" t="s">
        <v>8</v>
      </c>
      <c r="W13" s="1554">
        <f t="shared" si="2"/>
        <v>100</v>
      </c>
      <c r="X13" s="1555"/>
      <c r="Y13" s="3454"/>
      <c r="Z13" s="1145">
        <f t="shared" si="7"/>
        <v>111</v>
      </c>
      <c r="AA13" s="1556">
        <f t="shared" si="3"/>
        <v>1</v>
      </c>
      <c r="AB13" s="1556">
        <f t="shared" si="4"/>
        <v>1</v>
      </c>
      <c r="AC13" s="1556">
        <f t="shared" si="5"/>
        <v>1</v>
      </c>
    </row>
    <row r="14" spans="1:29" ht="114">
      <c r="A14" s="2859"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499" t="s">
        <v>540</v>
      </c>
      <c r="Q14" s="1557" t="str">
        <f t="shared" si="6"/>
        <v>交通便捷度</v>
      </c>
      <c r="R14" s="1558" t="s">
        <v>8</v>
      </c>
      <c r="S14" s="1559">
        <f t="shared" si="0"/>
        <v>100</v>
      </c>
      <c r="T14" s="1558" t="s">
        <v>8</v>
      </c>
      <c r="U14" s="1559">
        <f t="shared" si="1"/>
        <v>100</v>
      </c>
      <c r="V14" s="1558" t="s">
        <v>8</v>
      </c>
      <c r="W14" s="1559">
        <f t="shared" si="2"/>
        <v>100</v>
      </c>
      <c r="X14" s="1552"/>
      <c r="Y14" s="3499"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4"/>
      <c r="M15" s="2116"/>
      <c r="N15" s="2116"/>
      <c r="O15" s="2123"/>
      <c r="P15" s="3500"/>
      <c r="Q15" s="1557"/>
      <c r="R15" s="1558"/>
      <c r="S15" s="1559"/>
      <c r="T15" s="1558"/>
      <c r="U15" s="1559"/>
      <c r="V15" s="1558"/>
      <c r="W15" s="1559"/>
      <c r="X15" s="1552"/>
      <c r="Y15" s="3500"/>
      <c r="Z15" s="1560"/>
      <c r="AA15" s="1561">
        <v>1</v>
      </c>
      <c r="AB15" s="1561">
        <v>1</v>
      </c>
      <c r="AC15" s="1561">
        <v>1</v>
      </c>
    </row>
    <row r="16" spans="1:29" ht="42.75">
      <c r="A16" s="515"/>
      <c r="B16" s="2562"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500"/>
      <c r="Q16" s="1557" t="str">
        <f>B16</f>
        <v>公共配套设施</v>
      </c>
      <c r="R16" s="1558" t="s">
        <v>8</v>
      </c>
      <c r="S16" s="1559">
        <f>F16</f>
        <v>100</v>
      </c>
      <c r="T16" s="1558" t="s">
        <v>8</v>
      </c>
      <c r="U16" s="1559">
        <f>H16</f>
        <v>100</v>
      </c>
      <c r="V16" s="1558" t="s">
        <v>8</v>
      </c>
      <c r="W16" s="1559">
        <f>J16</f>
        <v>100</v>
      </c>
      <c r="X16" s="1552"/>
      <c r="Y16" s="350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4"/>
      <c r="M17" s="2116"/>
      <c r="N17" s="2116"/>
      <c r="O17" s="2123"/>
      <c r="P17" s="3500"/>
      <c r="Q17" s="1557"/>
      <c r="R17" s="1558"/>
      <c r="S17" s="1559"/>
      <c r="T17" s="1558"/>
      <c r="U17" s="1559"/>
      <c r="V17" s="1558"/>
      <c r="W17" s="1559"/>
      <c r="X17" s="1552"/>
      <c r="Y17" s="3500"/>
      <c r="Z17" s="1560"/>
      <c r="AA17" s="1561">
        <v>1</v>
      </c>
      <c r="AB17" s="1561">
        <v>1</v>
      </c>
      <c r="AC17" s="1561">
        <v>1</v>
      </c>
    </row>
    <row r="18" spans="1:29" ht="42.75">
      <c r="A18" s="515"/>
      <c r="B18" s="2550"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500"/>
      <c r="Q18" s="2538" t="str">
        <f>B18</f>
        <v>基础设施水平</v>
      </c>
      <c r="R18" s="1558" t="s">
        <v>8</v>
      </c>
      <c r="S18" s="1559">
        <f>F18</f>
        <v>100</v>
      </c>
      <c r="T18" s="1558" t="s">
        <v>8</v>
      </c>
      <c r="U18" s="1559">
        <f>H18</f>
        <v>100</v>
      </c>
      <c r="V18" s="1558" t="s">
        <v>8</v>
      </c>
      <c r="W18" s="1559">
        <f>J18</f>
        <v>100</v>
      </c>
      <c r="X18" s="2540"/>
      <c r="Y18" s="3500"/>
      <c r="Z18" s="2539"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1"/>
      <c r="L19" s="2124"/>
      <c r="M19" s="2116"/>
      <c r="N19" s="2116"/>
      <c r="O19" s="2123"/>
      <c r="P19" s="3500"/>
      <c r="Q19" s="2538"/>
      <c r="R19" s="1558"/>
      <c r="S19" s="1559"/>
      <c r="T19" s="1558"/>
      <c r="U19" s="1559"/>
      <c r="V19" s="1558"/>
      <c r="W19" s="1559"/>
      <c r="X19" s="2540"/>
      <c r="Y19" s="3500"/>
      <c r="Z19" s="2539"/>
      <c r="AA19" s="1561">
        <v>1</v>
      </c>
      <c r="AB19" s="1561">
        <v>1</v>
      </c>
      <c r="AC19" s="1561">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500"/>
      <c r="Q20" s="1557" t="str">
        <f>B20</f>
        <v>自然及人文环境</v>
      </c>
      <c r="R20" s="1558" t="s">
        <v>8</v>
      </c>
      <c r="S20" s="1559">
        <f>F20</f>
        <v>100</v>
      </c>
      <c r="T20" s="1558" t="s">
        <v>8</v>
      </c>
      <c r="U20" s="1559">
        <f>H20</f>
        <v>100</v>
      </c>
      <c r="V20" s="1558" t="s">
        <v>8</v>
      </c>
      <c r="W20" s="1559">
        <f>J20</f>
        <v>100</v>
      </c>
      <c r="X20" s="1552"/>
      <c r="Y20" s="350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4"/>
      <c r="M21" s="2116"/>
      <c r="N21" s="2116"/>
      <c r="O21" s="2123"/>
      <c r="P21" s="3500"/>
      <c r="Q21" s="1557"/>
      <c r="R21" s="1558"/>
      <c r="S21" s="1559"/>
      <c r="T21" s="1558"/>
      <c r="U21" s="1559"/>
      <c r="V21" s="1558"/>
      <c r="W21" s="1559"/>
      <c r="X21" s="1552"/>
      <c r="Y21" s="350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00"/>
      <c r="Q22" s="1557" t="str">
        <f>B22</f>
        <v>楼层</v>
      </c>
      <c r="R22" s="1558" t="s">
        <v>8</v>
      </c>
      <c r="S22" s="1559">
        <f>F22</f>
        <v>100</v>
      </c>
      <c r="T22" s="1558" t="s">
        <v>8</v>
      </c>
      <c r="U22" s="1559">
        <f>H22</f>
        <v>100</v>
      </c>
      <c r="V22" s="1558" t="s">
        <v>8</v>
      </c>
      <c r="W22" s="1559">
        <f>J22</f>
        <v>100</v>
      </c>
      <c r="X22" s="1552"/>
      <c r="Y22" s="3500"/>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00"/>
      <c r="Q23" s="1557">
        <f>B23</f>
        <v>111</v>
      </c>
      <c r="R23" s="1558" t="s">
        <v>8</v>
      </c>
      <c r="S23" s="1559">
        <f>F23</f>
        <v>100</v>
      </c>
      <c r="T23" s="1558" t="s">
        <v>8</v>
      </c>
      <c r="U23" s="1559">
        <f>H23</f>
        <v>100</v>
      </c>
      <c r="V23" s="1558" t="s">
        <v>8</v>
      </c>
      <c r="W23" s="1559">
        <f>J23</f>
        <v>100</v>
      </c>
      <c r="X23" s="1552"/>
      <c r="Y23" s="3500"/>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00"/>
      <c r="Q24" s="1557">
        <f t="shared" ref="Q24:Q36" si="11">B24</f>
        <v>111</v>
      </c>
      <c r="R24" s="1558" t="s">
        <v>8</v>
      </c>
      <c r="S24" s="1559">
        <f>F24</f>
        <v>100</v>
      </c>
      <c r="T24" s="1558" t="s">
        <v>8</v>
      </c>
      <c r="U24" s="1559">
        <f>H24</f>
        <v>100</v>
      </c>
      <c r="V24" s="1558" t="s">
        <v>8</v>
      </c>
      <c r="W24" s="1559">
        <f>J24</f>
        <v>100</v>
      </c>
      <c r="X24" s="1552"/>
      <c r="Y24" s="3500"/>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500"/>
      <c r="Q25" s="1146">
        <f t="shared" si="11"/>
        <v>111</v>
      </c>
      <c r="R25" s="1553" t="s">
        <v>8</v>
      </c>
      <c r="S25" s="1554">
        <f>F25</f>
        <v>100</v>
      </c>
      <c r="T25" s="1553" t="s">
        <v>8</v>
      </c>
      <c r="U25" s="1554">
        <f>H25</f>
        <v>100</v>
      </c>
      <c r="V25" s="1553" t="s">
        <v>8</v>
      </c>
      <c r="W25" s="1554">
        <f>J25</f>
        <v>100</v>
      </c>
      <c r="X25" s="1555"/>
      <c r="Y25" s="3500"/>
      <c r="Z25" s="1145">
        <f>Q25</f>
        <v>111</v>
      </c>
      <c r="AA25" s="1561">
        <f>D25/F25</f>
        <v>1</v>
      </c>
      <c r="AB25" s="1561">
        <f>D25/H25</f>
        <v>1</v>
      </c>
      <c r="AC25" s="1561">
        <f>D25/J25</f>
        <v>1</v>
      </c>
    </row>
    <row r="26" spans="1:29" ht="15">
      <c r="A26" s="2857"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0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02" t="s">
        <v>550</v>
      </c>
      <c r="Z26" s="1560" t="str">
        <f t="shared" ref="Z26:Z36" si="15">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502"/>
      <c r="Q27" s="1589" t="str">
        <f t="shared" si="11"/>
        <v>项目停车位配比</v>
      </c>
      <c r="R27" s="1562" t="s">
        <v>8</v>
      </c>
      <c r="S27" s="1563">
        <f t="shared" si="12"/>
        <v>100</v>
      </c>
      <c r="T27" s="1562" t="s">
        <v>8</v>
      </c>
      <c r="U27" s="1563">
        <f t="shared" si="13"/>
        <v>100</v>
      </c>
      <c r="V27" s="1562" t="s">
        <v>8</v>
      </c>
      <c r="W27" s="1563">
        <f t="shared" si="14"/>
        <v>100</v>
      </c>
      <c r="X27" s="1564"/>
      <c r="Y27" s="3502"/>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02"/>
      <c r="Q28" s="1557" t="str">
        <f t="shared" si="11"/>
        <v>公共部分装修</v>
      </c>
      <c r="R28" s="1558" t="s">
        <v>8</v>
      </c>
      <c r="S28" s="1559">
        <f t="shared" si="12"/>
        <v>100</v>
      </c>
      <c r="T28" s="1558" t="s">
        <v>8</v>
      </c>
      <c r="U28" s="1559">
        <f t="shared" si="13"/>
        <v>100</v>
      </c>
      <c r="V28" s="1558" t="s">
        <v>8</v>
      </c>
      <c r="W28" s="1559">
        <f t="shared" si="14"/>
        <v>100</v>
      </c>
      <c r="X28" s="1552"/>
      <c r="Y28" s="3502"/>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502"/>
      <c r="Q29" s="1557" t="str">
        <f t="shared" si="11"/>
        <v>成新率</v>
      </c>
      <c r="R29" s="1558" t="s">
        <v>8</v>
      </c>
      <c r="S29" s="1559" t="e">
        <f t="shared" si="12"/>
        <v>#N/A</v>
      </c>
      <c r="T29" s="1558" t="s">
        <v>8</v>
      </c>
      <c r="U29" s="1559" t="e">
        <f t="shared" si="13"/>
        <v>#N/A</v>
      </c>
      <c r="V29" s="1558" t="s">
        <v>8</v>
      </c>
      <c r="W29" s="1559" t="e">
        <f t="shared" si="14"/>
        <v>#N/A</v>
      </c>
      <c r="X29" s="1552"/>
      <c r="Y29" s="3502"/>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502"/>
      <c r="Q30" s="1557" t="str">
        <f t="shared" si="11"/>
        <v>物业等级</v>
      </c>
      <c r="R30" s="1558" t="s">
        <v>8</v>
      </c>
      <c r="S30" s="1559">
        <f t="shared" si="12"/>
        <v>100</v>
      </c>
      <c r="T30" s="1558" t="s">
        <v>8</v>
      </c>
      <c r="U30" s="1559">
        <f t="shared" si="13"/>
        <v>100</v>
      </c>
      <c r="V30" s="1558" t="s">
        <v>8</v>
      </c>
      <c r="W30" s="1559">
        <f t="shared" si="14"/>
        <v>100</v>
      </c>
      <c r="X30" s="1552"/>
      <c r="Y30" s="3502"/>
      <c r="Z30" s="1560" t="str">
        <f t="shared" si="15"/>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502"/>
      <c r="Q31" s="1146" t="str">
        <f t="shared" si="11"/>
        <v>停车位面积</v>
      </c>
      <c r="R31" s="1553" t="s">
        <v>8</v>
      </c>
      <c r="S31" s="1554" t="e">
        <f t="shared" si="12"/>
        <v>#N/A</v>
      </c>
      <c r="T31" s="1553" t="s">
        <v>8</v>
      </c>
      <c r="U31" s="1554" t="e">
        <f t="shared" si="13"/>
        <v>#N/A</v>
      </c>
      <c r="V31" s="1553" t="s">
        <v>8</v>
      </c>
      <c r="W31" s="1554" t="e">
        <f t="shared" si="14"/>
        <v>#N/A</v>
      </c>
      <c r="X31" s="1555"/>
      <c r="Y31" s="3502"/>
      <c r="Z31" s="1145"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02" t="s">
        <v>550</v>
      </c>
      <c r="Q32" s="1557" t="str">
        <f t="shared" si="11"/>
        <v>车位类型</v>
      </c>
      <c r="R32" s="1558" t="s">
        <v>8</v>
      </c>
      <c r="S32" s="1559">
        <f t="shared" si="12"/>
        <v>100</v>
      </c>
      <c r="T32" s="1558" t="s">
        <v>8</v>
      </c>
      <c r="U32" s="1559">
        <f t="shared" si="13"/>
        <v>100</v>
      </c>
      <c r="V32" s="1558" t="s">
        <v>8</v>
      </c>
      <c r="W32" s="1559">
        <f t="shared" si="14"/>
        <v>100</v>
      </c>
      <c r="X32" s="1552"/>
      <c r="Y32" s="3502"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02"/>
      <c r="Q33" s="1557" t="str">
        <f t="shared" si="11"/>
        <v>是否直接入户</v>
      </c>
      <c r="R33" s="1558" t="s">
        <v>8</v>
      </c>
      <c r="S33" s="1559">
        <f t="shared" si="12"/>
        <v>100</v>
      </c>
      <c r="T33" s="1558" t="s">
        <v>8</v>
      </c>
      <c r="U33" s="1559">
        <f t="shared" si="13"/>
        <v>100</v>
      </c>
      <c r="V33" s="1558" t="s">
        <v>8</v>
      </c>
      <c r="W33" s="1559">
        <f t="shared" si="14"/>
        <v>100</v>
      </c>
      <c r="X33" s="1552"/>
      <c r="Y33" s="3502"/>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02"/>
      <c r="Q34" s="1557">
        <f t="shared" si="11"/>
        <v>111</v>
      </c>
      <c r="R34" s="1558" t="s">
        <v>8</v>
      </c>
      <c r="S34" s="1559">
        <f t="shared" si="12"/>
        <v>100</v>
      </c>
      <c r="T34" s="1558" t="s">
        <v>8</v>
      </c>
      <c r="U34" s="1559">
        <f t="shared" si="13"/>
        <v>100</v>
      </c>
      <c r="V34" s="1558" t="s">
        <v>8</v>
      </c>
      <c r="W34" s="1559">
        <f t="shared" si="14"/>
        <v>100</v>
      </c>
      <c r="X34" s="1552"/>
      <c r="Y34" s="3502"/>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02"/>
      <c r="Q35" s="1589">
        <f t="shared" si="11"/>
        <v>111</v>
      </c>
      <c r="R35" s="1562" t="s">
        <v>8</v>
      </c>
      <c r="S35" s="1563">
        <f t="shared" si="12"/>
        <v>100</v>
      </c>
      <c r="T35" s="1562" t="s">
        <v>8</v>
      </c>
      <c r="U35" s="1563">
        <f t="shared" si="13"/>
        <v>100</v>
      </c>
      <c r="V35" s="1562" t="s">
        <v>8</v>
      </c>
      <c r="W35" s="1563">
        <f t="shared" si="14"/>
        <v>100</v>
      </c>
      <c r="X35" s="1564"/>
      <c r="Y35" s="3502"/>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02"/>
      <c r="Q36" s="1557">
        <f t="shared" si="11"/>
        <v>111</v>
      </c>
      <c r="R36" s="1558" t="s">
        <v>8</v>
      </c>
      <c r="S36" s="1559">
        <f t="shared" si="12"/>
        <v>100</v>
      </c>
      <c r="T36" s="1558" t="s">
        <v>8</v>
      </c>
      <c r="U36" s="1559">
        <f t="shared" si="13"/>
        <v>100</v>
      </c>
      <c r="V36" s="1558" t="s">
        <v>8</v>
      </c>
      <c r="W36" s="1559">
        <f t="shared" si="14"/>
        <v>100</v>
      </c>
      <c r="X36" s="1552"/>
      <c r="Y36" s="3502"/>
      <c r="Z36" s="1560">
        <f t="shared" si="15"/>
        <v>111</v>
      </c>
      <c r="AA36" s="1561">
        <f t="shared" si="3"/>
        <v>1</v>
      </c>
      <c r="AB36" s="1561">
        <f t="shared" si="4"/>
        <v>1</v>
      </c>
      <c r="AC36" s="1561">
        <f t="shared" si="5"/>
        <v>1</v>
      </c>
    </row>
    <row r="37" spans="1:29" ht="15">
      <c r="A37" s="1828" t="s">
        <v>2074</v>
      </c>
      <c r="B37" s="1829" t="s">
        <v>2075</v>
      </c>
      <c r="C37" s="2586" t="s">
        <v>1</v>
      </c>
      <c r="D37" s="2587"/>
      <c r="E37" s="2588"/>
      <c r="F37" s="2589"/>
      <c r="G37" s="2590"/>
      <c r="H37" s="2591"/>
      <c r="I37" s="2588"/>
      <c r="J37" s="2591"/>
      <c r="K37" s="1595"/>
      <c r="L37" s="2126"/>
      <c r="M37" s="2127"/>
      <c r="N37" s="2116"/>
      <c r="O37" s="2127"/>
      <c r="P37" s="3497" t="str">
        <f>A37</f>
        <v>成交单价</v>
      </c>
      <c r="Q37" s="3497"/>
      <c r="R37" s="3580">
        <f>E37</f>
        <v>0</v>
      </c>
      <c r="S37" s="3580"/>
      <c r="T37" s="3580">
        <f>G37</f>
        <v>0</v>
      </c>
      <c r="U37" s="3580"/>
      <c r="V37" s="3580">
        <f>I37</f>
        <v>0</v>
      </c>
      <c r="W37" s="3580"/>
      <c r="X37" s="1544"/>
      <c r="Y37" s="1566"/>
      <c r="Z37" s="1544"/>
      <c r="AA37" s="1544"/>
      <c r="AB37" s="1544"/>
      <c r="AC37" s="1544"/>
    </row>
    <row r="38" spans="1:29" ht="15.75" thickBot="1">
      <c r="A38" s="615" t="s">
        <v>2756</v>
      </c>
      <c r="B38" s="888"/>
      <c r="C38" s="2592" t="e">
        <f>R39</f>
        <v>#DIV/0!</v>
      </c>
      <c r="D38" s="2593"/>
      <c r="E38" s="2594" t="e">
        <f>R38</f>
        <v>#DIV/0!</v>
      </c>
      <c r="F38" s="2594"/>
      <c r="G38" s="2592" t="e">
        <f>T38</f>
        <v>#DIV/0!</v>
      </c>
      <c r="H38" s="2593"/>
      <c r="I38" s="2594" t="e">
        <f>V38</f>
        <v>#DIV/0!</v>
      </c>
      <c r="J38" s="2593"/>
      <c r="K38" s="1596"/>
      <c r="L38" s="2126"/>
      <c r="M38" s="2127"/>
      <c r="N38" s="2127"/>
      <c r="O38" s="2127"/>
      <c r="P38" s="3497" t="str">
        <f>A38</f>
        <v>比较价格（元/平方米）</v>
      </c>
      <c r="Q38" s="3497"/>
      <c r="R38" s="3580" t="e">
        <f>IF(F1="售价",ROUND(PRODUCT(R37,AA7:AA36),0),ROUND(PRODUCT(R37,AA7:AA36),1))</f>
        <v>#DIV/0!</v>
      </c>
      <c r="S38" s="3580"/>
      <c r="T38" s="3580" t="e">
        <f>IF(F1="售价",ROUND(PRODUCT(T37,AB7:AB36),0),ROUND(PRODUCT(T37,AB7:AB36),1))</f>
        <v>#DIV/0!</v>
      </c>
      <c r="U38" s="3580"/>
      <c r="V38" s="3580" t="e">
        <f>IF(F1="售价",ROUND(PRODUCT(V37,AC7:AC36),0),ROUND(PRODUCT(V37,AC7:AC36),1))</f>
        <v>#DIV/0!</v>
      </c>
      <c r="W38" s="3580"/>
      <c r="X38" s="1544"/>
      <c r="Y38" s="1544"/>
      <c r="Z38" s="1544"/>
      <c r="AA38" s="1544"/>
      <c r="AB38" s="1544"/>
      <c r="AC38" s="1544"/>
    </row>
    <row r="39" spans="1:29" ht="15.75" thickBot="1">
      <c r="A39" s="621" t="s">
        <v>2926</v>
      </c>
      <c r="B39" s="622"/>
      <c r="C39" s="2595" t="e">
        <f>R39</f>
        <v>#DIV/0!</v>
      </c>
      <c r="D39" s="2595"/>
      <c r="E39" s="2595"/>
      <c r="F39" s="2595"/>
      <c r="G39" s="2595"/>
      <c r="H39" s="2595"/>
      <c r="I39" s="2595"/>
      <c r="J39" s="2595"/>
      <c r="K39" s="1597"/>
      <c r="L39" s="2126"/>
      <c r="M39" s="2127"/>
      <c r="N39" s="2127"/>
      <c r="O39" s="2127"/>
      <c r="P39" s="3518" t="str">
        <f>A39</f>
        <v>估价对象XX用房的比较价格（楼面单价，元/平方米）</v>
      </c>
      <c r="Q39" s="3519"/>
      <c r="R39" s="3579" t="e">
        <f>IF(F1="售价",ROUND(AVERAGE(R38:V38),0),ROUND(AVERAGE(R38:V38),1))</f>
        <v>#DIV/0!</v>
      </c>
      <c r="S39" s="3579"/>
      <c r="T39" s="3579"/>
      <c r="U39" s="3579"/>
      <c r="V39" s="3579"/>
      <c r="W39" s="3579"/>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2" t="str">
        <f>YEAR(C7)&amp;"-"&amp;MONTH(C7)</f>
        <v>2019-5</v>
      </c>
      <c r="D48" s="2754">
        <f>EDATE(C48,-1)</f>
        <v>43556</v>
      </c>
      <c r="E48" s="2754">
        <f t="shared" ref="E48:O48" si="16">EDATE(D48,-1)</f>
        <v>43525</v>
      </c>
      <c r="F48" s="2754">
        <f t="shared" si="16"/>
        <v>43497</v>
      </c>
      <c r="G48" s="2754">
        <f t="shared" si="16"/>
        <v>43466</v>
      </c>
      <c r="H48" s="2754">
        <f t="shared" si="16"/>
        <v>43435</v>
      </c>
      <c r="I48" s="2754">
        <f t="shared" si="16"/>
        <v>43405</v>
      </c>
      <c r="J48" s="2754">
        <f t="shared" si="16"/>
        <v>43374</v>
      </c>
      <c r="K48" s="2754">
        <f t="shared" si="16"/>
        <v>43344</v>
      </c>
      <c r="L48" s="2754">
        <f t="shared" si="16"/>
        <v>43313</v>
      </c>
      <c r="M48" s="2754">
        <f t="shared" si="16"/>
        <v>43282</v>
      </c>
      <c r="N48" s="2754">
        <f t="shared" si="16"/>
        <v>43252</v>
      </c>
      <c r="O48" s="2754">
        <f t="shared" si="16"/>
        <v>43221</v>
      </c>
      <c r="P48" s="2142"/>
      <c r="Q48" s="2143"/>
      <c r="R48" s="2143"/>
      <c r="S48" s="2143"/>
      <c r="T48" s="2143"/>
      <c r="U48" s="2143"/>
      <c r="V48" s="2143"/>
      <c r="W48" s="2143"/>
      <c r="X48" s="2143"/>
      <c r="Y48" s="2143"/>
      <c r="Z48" s="2143"/>
      <c r="AA48" s="2143"/>
      <c r="AB48" s="2143"/>
      <c r="AC48" s="2143"/>
    </row>
    <row r="49" spans="1:29" s="1215" customFormat="1" ht="15">
      <c r="A49" s="647"/>
      <c r="B49" s="648"/>
      <c r="C49" s="2753">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6" t="s">
        <v>2555</v>
      </c>
      <c r="C67" s="2557" t="s">
        <v>2556</v>
      </c>
      <c r="D67" s="2557" t="s">
        <v>2557</v>
      </c>
      <c r="E67" s="2557" t="s">
        <v>2558</v>
      </c>
      <c r="F67" s="2557" t="s">
        <v>2559</v>
      </c>
      <c r="G67" s="2557" t="s">
        <v>2560</v>
      </c>
      <c r="H67" s="674"/>
      <c r="I67" s="674"/>
      <c r="J67" s="674"/>
      <c r="K67" s="674"/>
      <c r="L67" s="674"/>
      <c r="M67" s="2560"/>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503" t="s">
        <v>798</v>
      </c>
      <c r="D4" s="3504"/>
      <c r="E4" s="3527" t="s">
        <v>799</v>
      </c>
      <c r="F4" s="3528"/>
      <c r="G4" s="3503" t="s">
        <v>800</v>
      </c>
      <c r="H4" s="3504"/>
      <c r="I4" s="3503" t="s">
        <v>801</v>
      </c>
      <c r="J4" s="3504"/>
      <c r="K4" s="514" t="s">
        <v>802</v>
      </c>
      <c r="L4" s="2115"/>
      <c r="M4" s="2116"/>
      <c r="N4" s="2116"/>
      <c r="O4" s="2116"/>
      <c r="P4" s="3505" t="s">
        <v>803</v>
      </c>
      <c r="Q4" s="3506"/>
      <c r="R4" s="3491" t="s">
        <v>799</v>
      </c>
      <c r="S4" s="3492"/>
      <c r="T4" s="3491" t="s">
        <v>800</v>
      </c>
      <c r="U4" s="3492"/>
      <c r="V4" s="3511" t="s">
        <v>801</v>
      </c>
      <c r="W4" s="3511"/>
      <c r="X4" s="1552"/>
      <c r="Y4" s="3491" t="s">
        <v>803</v>
      </c>
      <c r="Z4" s="3492"/>
      <c r="AA4" s="3486" t="s">
        <v>799</v>
      </c>
      <c r="AB4" s="3487" t="s">
        <v>800</v>
      </c>
      <c r="AC4" s="3486" t="s">
        <v>801</v>
      </c>
    </row>
    <row r="5" spans="1:29" ht="15">
      <c r="A5" s="515"/>
      <c r="B5" s="516"/>
      <c r="C5" s="3514" t="s">
        <v>2920</v>
      </c>
      <c r="D5" s="3515"/>
      <c r="E5" s="3529" t="s">
        <v>2921</v>
      </c>
      <c r="F5" s="3530"/>
      <c r="G5" s="3514" t="s">
        <v>2922</v>
      </c>
      <c r="H5" s="3515"/>
      <c r="I5" s="3514" t="s">
        <v>2923</v>
      </c>
      <c r="J5" s="3515"/>
      <c r="K5" s="514"/>
      <c r="L5" s="2115"/>
      <c r="M5" s="2116"/>
      <c r="N5" s="2116"/>
      <c r="O5" s="2116"/>
      <c r="P5" s="3507"/>
      <c r="Q5" s="3508"/>
      <c r="R5" s="3493"/>
      <c r="S5" s="3494"/>
      <c r="T5" s="3493"/>
      <c r="U5" s="3494"/>
      <c r="V5" s="3511"/>
      <c r="W5" s="3511"/>
      <c r="X5" s="1552"/>
      <c r="Y5" s="3493"/>
      <c r="Z5" s="3494"/>
      <c r="AA5" s="3487"/>
      <c r="AB5" s="3487"/>
      <c r="AC5" s="3487"/>
    </row>
    <row r="6" spans="1:29" ht="15.75" thickBot="1">
      <c r="A6" s="517"/>
      <c r="B6" s="518"/>
      <c r="C6" s="3512" t="s">
        <v>2924</v>
      </c>
      <c r="D6" s="3513"/>
      <c r="E6" s="3531" t="s">
        <v>2924</v>
      </c>
      <c r="F6" s="3532"/>
      <c r="G6" s="3512" t="s">
        <v>2924</v>
      </c>
      <c r="H6" s="3513"/>
      <c r="I6" s="3512" t="s">
        <v>2924</v>
      </c>
      <c r="J6" s="3513"/>
      <c r="K6" s="514" t="s">
        <v>528</v>
      </c>
      <c r="L6" s="2115"/>
      <c r="M6" s="2116"/>
      <c r="N6" s="2116"/>
      <c r="O6" s="2116"/>
      <c r="P6" s="3509"/>
      <c r="Q6" s="3510"/>
      <c r="R6" s="3493"/>
      <c r="S6" s="3494"/>
      <c r="T6" s="3495"/>
      <c r="U6" s="3496"/>
      <c r="V6" s="3511"/>
      <c r="W6" s="3511"/>
      <c r="X6" s="1552"/>
      <c r="Y6" s="3495"/>
      <c r="Z6" s="3496"/>
      <c r="AA6" s="3488"/>
      <c r="AB6" s="3488"/>
      <c r="AC6" s="3488"/>
    </row>
    <row r="7" spans="1:29" s="1215" customFormat="1" ht="15.75" thickBot="1">
      <c r="A7" s="2861"/>
      <c r="B7" s="2868" t="s">
        <v>529</v>
      </c>
      <c r="C7" s="519">
        <f>'数据-取费表'!B2</f>
        <v>43602</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89" t="s">
        <v>530</v>
      </c>
      <c r="Q7" s="3498"/>
      <c r="R7" s="1553" t="s">
        <v>8</v>
      </c>
      <c r="S7" s="1554">
        <f t="shared" ref="S7:S14" si="0">F7</f>
        <v>0</v>
      </c>
      <c r="T7" s="1553" t="s">
        <v>8</v>
      </c>
      <c r="U7" s="1554">
        <f t="shared" ref="U7:U14" si="1">H7</f>
        <v>0</v>
      </c>
      <c r="V7" s="1553" t="s">
        <v>8</v>
      </c>
      <c r="W7" s="1554">
        <f t="shared" ref="W7:W14" si="2">J7</f>
        <v>0</v>
      </c>
      <c r="X7" s="1555"/>
      <c r="Y7" s="3489" t="s">
        <v>530</v>
      </c>
      <c r="Z7" s="3490"/>
      <c r="AA7" s="1556" t="e">
        <f>D7/F7</f>
        <v>#DIV/0!</v>
      </c>
      <c r="AB7" s="1556" t="e">
        <f>D7/H7</f>
        <v>#DIV/0!</v>
      </c>
      <c r="AC7" s="1556" t="e">
        <f>D7/J7</f>
        <v>#DIV/0!</v>
      </c>
    </row>
    <row r="8" spans="1:29" s="1215" customFormat="1" ht="15.75" thickBot="1">
      <c r="A8" s="2862"/>
      <c r="B8" s="2869"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89" t="s">
        <v>533</v>
      </c>
      <c r="Q8" s="3490"/>
      <c r="R8" s="1553" t="s">
        <v>8</v>
      </c>
      <c r="S8" s="1554">
        <f t="shared" si="0"/>
        <v>0</v>
      </c>
      <c r="T8" s="1553" t="s">
        <v>8</v>
      </c>
      <c r="U8" s="1554">
        <f t="shared" si="1"/>
        <v>0</v>
      </c>
      <c r="V8" s="1553" t="s">
        <v>8</v>
      </c>
      <c r="W8" s="1554">
        <f t="shared" si="2"/>
        <v>0</v>
      </c>
      <c r="X8" s="1555"/>
      <c r="Y8" s="3489" t="s">
        <v>533</v>
      </c>
      <c r="Z8" s="3490"/>
      <c r="AA8" s="1556" t="e">
        <f t="shared" ref="AA8:AA34" si="3">D8/F8</f>
        <v>#DIV/0!</v>
      </c>
      <c r="AB8" s="1556" t="e">
        <f t="shared" ref="AB8:AB34" si="4">D8/H8</f>
        <v>#DIV/0!</v>
      </c>
      <c r="AC8" s="1556" t="e">
        <f t="shared" ref="AC8:AC34" si="5">D8/J8</f>
        <v>#DIV/0!</v>
      </c>
    </row>
    <row r="9" spans="1:29" s="1215" customFormat="1" ht="15">
      <c r="A9" s="2863"/>
      <c r="B9" s="2870"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497" t="s">
        <v>535</v>
      </c>
      <c r="Q9" s="1146" t="str">
        <f t="shared" ref="Q9:Q14" si="6">B9</f>
        <v>用途</v>
      </c>
      <c r="R9" s="1553" t="s">
        <v>8</v>
      </c>
      <c r="S9" s="1554">
        <f t="shared" si="0"/>
        <v>100</v>
      </c>
      <c r="T9" s="1553" t="s">
        <v>8</v>
      </c>
      <c r="U9" s="1554">
        <f t="shared" si="1"/>
        <v>100</v>
      </c>
      <c r="V9" s="1553" t="s">
        <v>8</v>
      </c>
      <c r="W9" s="1554">
        <f t="shared" si="2"/>
        <v>100</v>
      </c>
      <c r="X9" s="1555"/>
      <c r="Y9" s="3454"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497"/>
      <c r="Q10" s="1146" t="str">
        <f t="shared" si="6"/>
        <v>土地使用年限（年）</v>
      </c>
      <c r="R10" s="1553" t="s">
        <v>8</v>
      </c>
      <c r="S10" s="1554">
        <f t="shared" si="0"/>
        <v>100</v>
      </c>
      <c r="T10" s="1553" t="s">
        <v>8</v>
      </c>
      <c r="U10" s="1554">
        <f t="shared" si="1"/>
        <v>100</v>
      </c>
      <c r="V10" s="1553" t="s">
        <v>8</v>
      </c>
      <c r="W10" s="1554">
        <f t="shared" si="2"/>
        <v>100</v>
      </c>
      <c r="X10" s="1555"/>
      <c r="Y10" s="3454"/>
      <c r="Z10" s="1145" t="str">
        <f t="shared" si="7"/>
        <v>土地使用年限（年）</v>
      </c>
      <c r="AA10" s="1556">
        <f t="shared" si="3"/>
        <v>1</v>
      </c>
      <c r="AB10" s="1556">
        <f t="shared" si="4"/>
        <v>1</v>
      </c>
      <c r="AC10" s="1556">
        <f t="shared" si="5"/>
        <v>1</v>
      </c>
    </row>
    <row r="11" spans="1:29" ht="15">
      <c r="A11" s="2866"/>
      <c r="B11" s="2872">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497"/>
      <c r="Q11" s="1146">
        <f t="shared" si="6"/>
        <v>111</v>
      </c>
      <c r="R11" s="1553" t="s">
        <v>8</v>
      </c>
      <c r="S11" s="1554">
        <f t="shared" si="0"/>
        <v>100</v>
      </c>
      <c r="T11" s="1553" t="s">
        <v>8</v>
      </c>
      <c r="U11" s="1554">
        <f t="shared" si="1"/>
        <v>100</v>
      </c>
      <c r="V11" s="1553" t="s">
        <v>8</v>
      </c>
      <c r="W11" s="1554">
        <f t="shared" si="2"/>
        <v>100</v>
      </c>
      <c r="X11" s="1555"/>
      <c r="Y11" s="3454"/>
      <c r="Z11" s="1145">
        <f t="shared" si="7"/>
        <v>111</v>
      </c>
      <c r="AA11" s="1556">
        <f t="shared" si="3"/>
        <v>1</v>
      </c>
      <c r="AB11" s="1556">
        <f t="shared" si="4"/>
        <v>1</v>
      </c>
      <c r="AC11" s="1556">
        <f t="shared" si="5"/>
        <v>1</v>
      </c>
    </row>
    <row r="12" spans="1:29" s="1215" customFormat="1" ht="15">
      <c r="A12" s="2866"/>
      <c r="B12" s="2872">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497"/>
      <c r="Q12" s="1146">
        <f t="shared" si="6"/>
        <v>111</v>
      </c>
      <c r="R12" s="1553" t="s">
        <v>8</v>
      </c>
      <c r="S12" s="1554">
        <f t="shared" si="0"/>
        <v>100</v>
      </c>
      <c r="T12" s="1553" t="s">
        <v>8</v>
      </c>
      <c r="U12" s="1554">
        <f t="shared" si="1"/>
        <v>100</v>
      </c>
      <c r="V12" s="1553" t="s">
        <v>8</v>
      </c>
      <c r="W12" s="1554">
        <f t="shared" si="2"/>
        <v>100</v>
      </c>
      <c r="X12" s="1555"/>
      <c r="Y12" s="3454"/>
      <c r="Z12" s="1145">
        <f t="shared" si="7"/>
        <v>111</v>
      </c>
      <c r="AA12" s="1556">
        <f>D12/F12</f>
        <v>1</v>
      </c>
      <c r="AB12" s="1556">
        <f>D12/H12</f>
        <v>1</v>
      </c>
      <c r="AC12" s="1556">
        <f>D12/J12</f>
        <v>1</v>
      </c>
    </row>
    <row r="13" spans="1:29" ht="15.75" thickBot="1">
      <c r="A13" s="2867"/>
      <c r="B13" s="2873">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497"/>
      <c r="Q13" s="1146">
        <f t="shared" si="6"/>
        <v>111</v>
      </c>
      <c r="R13" s="1553" t="s">
        <v>8</v>
      </c>
      <c r="S13" s="1554">
        <f t="shared" si="0"/>
        <v>100</v>
      </c>
      <c r="T13" s="1553" t="s">
        <v>8</v>
      </c>
      <c r="U13" s="1554">
        <f t="shared" si="1"/>
        <v>100</v>
      </c>
      <c r="V13" s="1553" t="s">
        <v>8</v>
      </c>
      <c r="W13" s="1554">
        <f t="shared" si="2"/>
        <v>100</v>
      </c>
      <c r="X13" s="1555"/>
      <c r="Y13" s="3454"/>
      <c r="Z13" s="1145">
        <f t="shared" si="7"/>
        <v>111</v>
      </c>
      <c r="AA13" s="1556">
        <f t="shared" si="3"/>
        <v>1</v>
      </c>
      <c r="AB13" s="1556">
        <f t="shared" si="4"/>
        <v>1</v>
      </c>
      <c r="AC13" s="1556">
        <f t="shared" si="5"/>
        <v>1</v>
      </c>
    </row>
    <row r="14" spans="1:29" ht="114">
      <c r="A14" s="2859"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499" t="s">
        <v>540</v>
      </c>
      <c r="Q14" s="1557" t="str">
        <f t="shared" si="6"/>
        <v>交通便捷度</v>
      </c>
      <c r="R14" s="1558" t="s">
        <v>8</v>
      </c>
      <c r="S14" s="1559">
        <f t="shared" si="0"/>
        <v>100</v>
      </c>
      <c r="T14" s="1558" t="s">
        <v>8</v>
      </c>
      <c r="U14" s="1559">
        <f t="shared" si="1"/>
        <v>100</v>
      </c>
      <c r="V14" s="1558" t="s">
        <v>8</v>
      </c>
      <c r="W14" s="1559">
        <f t="shared" si="2"/>
        <v>100</v>
      </c>
      <c r="X14" s="1552"/>
      <c r="Y14" s="349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4"/>
      <c r="M15" s="2116"/>
      <c r="N15" s="2116"/>
      <c r="O15" s="2123"/>
      <c r="P15" s="3500"/>
      <c r="Q15" s="1557"/>
      <c r="R15" s="1558"/>
      <c r="S15" s="1559"/>
      <c r="T15" s="1558"/>
      <c r="U15" s="1559"/>
      <c r="V15" s="1558"/>
      <c r="W15" s="1559"/>
      <c r="X15" s="1552"/>
      <c r="Y15" s="3500"/>
      <c r="Z15" s="1560"/>
      <c r="AA15" s="1561">
        <v>1</v>
      </c>
      <c r="AB15" s="1561">
        <v>1</v>
      </c>
      <c r="AC15" s="1561">
        <v>1</v>
      </c>
    </row>
    <row r="16" spans="1:29" ht="42.75">
      <c r="A16" s="532"/>
      <c r="B16" s="2562"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500"/>
      <c r="Q16" s="1557" t="str">
        <f>B16</f>
        <v>公共配套设施</v>
      </c>
      <c r="R16" s="1558" t="s">
        <v>8</v>
      </c>
      <c r="S16" s="1559">
        <f>F16</f>
        <v>100</v>
      </c>
      <c r="T16" s="1558" t="s">
        <v>8</v>
      </c>
      <c r="U16" s="1559">
        <f>H16</f>
        <v>100</v>
      </c>
      <c r="V16" s="1558" t="s">
        <v>8</v>
      </c>
      <c r="W16" s="1559">
        <f>J16</f>
        <v>100</v>
      </c>
      <c r="X16" s="1552"/>
      <c r="Y16" s="350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4"/>
      <c r="M17" s="2116"/>
      <c r="N17" s="2116"/>
      <c r="O17" s="2123"/>
      <c r="P17" s="3500"/>
      <c r="Q17" s="1557"/>
      <c r="R17" s="1558"/>
      <c r="S17" s="1559"/>
      <c r="T17" s="1558"/>
      <c r="U17" s="1559"/>
      <c r="V17" s="1558"/>
      <c r="W17" s="1559"/>
      <c r="X17" s="1552"/>
      <c r="Y17" s="3500"/>
      <c r="Z17" s="1560"/>
      <c r="AA17" s="1561">
        <v>1</v>
      </c>
      <c r="AB17" s="1561">
        <v>1</v>
      </c>
      <c r="AC17" s="1561">
        <v>1</v>
      </c>
    </row>
    <row r="18" spans="1:29" ht="42.75">
      <c r="A18" s="532"/>
      <c r="B18" s="2550"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500"/>
      <c r="Q18" s="2538" t="str">
        <f>B18</f>
        <v>基础设施水平</v>
      </c>
      <c r="R18" s="1558" t="s">
        <v>8</v>
      </c>
      <c r="S18" s="1559">
        <f>F18</f>
        <v>100</v>
      </c>
      <c r="T18" s="1558" t="s">
        <v>8</v>
      </c>
      <c r="U18" s="1559">
        <f>H18</f>
        <v>100</v>
      </c>
      <c r="V18" s="1558" t="s">
        <v>8</v>
      </c>
      <c r="W18" s="1559">
        <f>J18</f>
        <v>100</v>
      </c>
      <c r="X18" s="2540"/>
      <c r="Y18" s="3500"/>
      <c r="Z18" s="2539"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1"/>
      <c r="L19" s="2124"/>
      <c r="M19" s="2116"/>
      <c r="N19" s="2116"/>
      <c r="O19" s="2123"/>
      <c r="P19" s="3500"/>
      <c r="Q19" s="2538"/>
      <c r="R19" s="1558"/>
      <c r="S19" s="1559"/>
      <c r="T19" s="1558"/>
      <c r="U19" s="1559"/>
      <c r="V19" s="1558"/>
      <c r="W19" s="1559"/>
      <c r="X19" s="2540"/>
      <c r="Y19" s="3500"/>
      <c r="Z19" s="2539"/>
      <c r="AA19" s="1561">
        <v>1</v>
      </c>
      <c r="AB19" s="1561">
        <v>1</v>
      </c>
      <c r="AC19" s="1561">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500"/>
      <c r="Q20" s="1557" t="str">
        <f>B20</f>
        <v>自然及人文环境</v>
      </c>
      <c r="R20" s="1558" t="s">
        <v>8</v>
      </c>
      <c r="S20" s="1559">
        <f>F20</f>
        <v>100</v>
      </c>
      <c r="T20" s="1558" t="s">
        <v>8</v>
      </c>
      <c r="U20" s="1559">
        <f>H20</f>
        <v>100</v>
      </c>
      <c r="V20" s="1558" t="s">
        <v>8</v>
      </c>
      <c r="W20" s="1559">
        <f>J20</f>
        <v>100</v>
      </c>
      <c r="X20" s="1552"/>
      <c r="Y20" s="350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4"/>
      <c r="M21" s="2116"/>
      <c r="N21" s="2116"/>
      <c r="O21" s="2123"/>
      <c r="P21" s="3500"/>
      <c r="Q21" s="1557"/>
      <c r="R21" s="1558"/>
      <c r="S21" s="1559"/>
      <c r="T21" s="1558"/>
      <c r="U21" s="1559"/>
      <c r="V21" s="1558"/>
      <c r="W21" s="1559"/>
      <c r="X21" s="1552"/>
      <c r="Y21" s="350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00"/>
      <c r="Q22" s="1557" t="str">
        <f>B22</f>
        <v>楼层</v>
      </c>
      <c r="R22" s="1558" t="s">
        <v>8</v>
      </c>
      <c r="S22" s="1559">
        <f>F22</f>
        <v>100</v>
      </c>
      <c r="T22" s="1558" t="s">
        <v>8</v>
      </c>
      <c r="U22" s="1559">
        <f>H22</f>
        <v>100</v>
      </c>
      <c r="V22" s="1558" t="s">
        <v>8</v>
      </c>
      <c r="W22" s="1559">
        <f>J22</f>
        <v>100</v>
      </c>
      <c r="X22" s="1552"/>
      <c r="Y22" s="350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00"/>
      <c r="Q23" s="1557">
        <f>B23</f>
        <v>111</v>
      </c>
      <c r="R23" s="1558" t="s">
        <v>8</v>
      </c>
      <c r="S23" s="1559">
        <f>F23</f>
        <v>100</v>
      </c>
      <c r="T23" s="1558" t="s">
        <v>8</v>
      </c>
      <c r="U23" s="1559">
        <f>H23</f>
        <v>100</v>
      </c>
      <c r="V23" s="1558" t="s">
        <v>8</v>
      </c>
      <c r="W23" s="1559">
        <f>J23</f>
        <v>100</v>
      </c>
      <c r="X23" s="1552"/>
      <c r="Y23" s="350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00"/>
      <c r="Q24" s="1557">
        <f t="shared" ref="Q24:Q34" si="11">B24</f>
        <v>111</v>
      </c>
      <c r="R24" s="1558" t="s">
        <v>8</v>
      </c>
      <c r="S24" s="1559">
        <f>F24</f>
        <v>100</v>
      </c>
      <c r="T24" s="1558" t="s">
        <v>8</v>
      </c>
      <c r="U24" s="1559">
        <f>H24</f>
        <v>100</v>
      </c>
      <c r="V24" s="1558" t="s">
        <v>8</v>
      </c>
      <c r="W24" s="1559">
        <f>J24</f>
        <v>100</v>
      </c>
      <c r="X24" s="1552"/>
      <c r="Y24" s="3500"/>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500"/>
      <c r="Q25" s="1146">
        <f t="shared" si="11"/>
        <v>111</v>
      </c>
      <c r="R25" s="1553" t="s">
        <v>8</v>
      </c>
      <c r="S25" s="1554">
        <f>F25</f>
        <v>100</v>
      </c>
      <c r="T25" s="1553" t="s">
        <v>8</v>
      </c>
      <c r="U25" s="1554">
        <f>H25</f>
        <v>100</v>
      </c>
      <c r="V25" s="1553" t="s">
        <v>8</v>
      </c>
      <c r="W25" s="1554">
        <f>J25</f>
        <v>100</v>
      </c>
      <c r="X25" s="1555"/>
      <c r="Y25" s="3500"/>
      <c r="Z25" s="1145">
        <f>Q25</f>
        <v>111</v>
      </c>
      <c r="AA25" s="1561">
        <f>D25/F25</f>
        <v>1</v>
      </c>
      <c r="AB25" s="1561">
        <f>D25/H25</f>
        <v>1</v>
      </c>
      <c r="AC25" s="1561">
        <f>D25/J25</f>
        <v>1</v>
      </c>
    </row>
    <row r="26" spans="1:29" ht="15">
      <c r="A26" s="2857"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50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02" t="s">
        <v>821</v>
      </c>
      <c r="Z26" s="1560" t="str">
        <f t="shared" ref="Z26:Z34" si="15">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502"/>
      <c r="Q27" s="1589" t="str">
        <f t="shared" si="11"/>
        <v>成新率</v>
      </c>
      <c r="R27" s="1562" t="s">
        <v>8</v>
      </c>
      <c r="S27" s="1563" t="e">
        <f t="shared" si="12"/>
        <v>#N/A</v>
      </c>
      <c r="T27" s="1562" t="s">
        <v>8</v>
      </c>
      <c r="U27" s="1563" t="e">
        <f t="shared" si="13"/>
        <v>#N/A</v>
      </c>
      <c r="V27" s="1562" t="s">
        <v>8</v>
      </c>
      <c r="W27" s="1563" t="e">
        <f t="shared" si="14"/>
        <v>#N/A</v>
      </c>
      <c r="X27" s="1564"/>
      <c r="Y27" s="350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02"/>
      <c r="Q28" s="1557" t="str">
        <f t="shared" si="11"/>
        <v>物业等级</v>
      </c>
      <c r="R28" s="1558" t="s">
        <v>8</v>
      </c>
      <c r="S28" s="1559">
        <f t="shared" si="12"/>
        <v>100</v>
      </c>
      <c r="T28" s="1558" t="s">
        <v>8</v>
      </c>
      <c r="U28" s="1559">
        <f t="shared" si="13"/>
        <v>100</v>
      </c>
      <c r="V28" s="1558" t="s">
        <v>8</v>
      </c>
      <c r="W28" s="1559">
        <f t="shared" si="14"/>
        <v>100</v>
      </c>
      <c r="X28" s="1552"/>
      <c r="Y28" s="3502"/>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502"/>
      <c r="Q29" s="1557" t="str">
        <f t="shared" si="11"/>
        <v>有无电梯</v>
      </c>
      <c r="R29" s="1558" t="s">
        <v>8</v>
      </c>
      <c r="S29" s="1559">
        <f t="shared" si="12"/>
        <v>100</v>
      </c>
      <c r="T29" s="1558" t="s">
        <v>8</v>
      </c>
      <c r="U29" s="1559">
        <f t="shared" si="13"/>
        <v>100</v>
      </c>
      <c r="V29" s="1558" t="s">
        <v>8</v>
      </c>
      <c r="W29" s="1559">
        <f t="shared" si="14"/>
        <v>100</v>
      </c>
      <c r="X29" s="1552"/>
      <c r="Y29" s="3502"/>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502"/>
      <c r="Q30" s="1557" t="str">
        <f t="shared" si="11"/>
        <v>建筑面积</v>
      </c>
      <c r="R30" s="1558" t="s">
        <v>8</v>
      </c>
      <c r="S30" s="1559" t="e">
        <f t="shared" si="12"/>
        <v>#N/A</v>
      </c>
      <c r="T30" s="1558" t="s">
        <v>8</v>
      </c>
      <c r="U30" s="1559" t="e">
        <f t="shared" si="13"/>
        <v>#N/A</v>
      </c>
      <c r="V30" s="1558" t="s">
        <v>8</v>
      </c>
      <c r="W30" s="1559" t="e">
        <f t="shared" si="14"/>
        <v>#N/A</v>
      </c>
      <c r="X30" s="1552"/>
      <c r="Y30" s="3502"/>
      <c r="Z30" s="1560" t="str">
        <f t="shared" si="15"/>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502"/>
      <c r="Q31" s="1146" t="str">
        <f t="shared" si="11"/>
        <v>是否封闭</v>
      </c>
      <c r="R31" s="1553" t="s">
        <v>8</v>
      </c>
      <c r="S31" s="1554">
        <f t="shared" si="12"/>
        <v>100</v>
      </c>
      <c r="T31" s="1553" t="s">
        <v>8</v>
      </c>
      <c r="U31" s="1554">
        <f t="shared" si="13"/>
        <v>100</v>
      </c>
      <c r="V31" s="1553" t="s">
        <v>8</v>
      </c>
      <c r="W31" s="1554">
        <f t="shared" si="14"/>
        <v>100</v>
      </c>
      <c r="X31" s="1555"/>
      <c r="Y31" s="3502"/>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502" t="s">
        <v>550</v>
      </c>
      <c r="Q32" s="1557">
        <f t="shared" si="11"/>
        <v>111</v>
      </c>
      <c r="R32" s="1558" t="s">
        <v>8</v>
      </c>
      <c r="S32" s="1559">
        <f t="shared" si="12"/>
        <v>100</v>
      </c>
      <c r="T32" s="1558" t="s">
        <v>8</v>
      </c>
      <c r="U32" s="1559">
        <f t="shared" si="13"/>
        <v>100</v>
      </c>
      <c r="V32" s="1558" t="s">
        <v>8</v>
      </c>
      <c r="W32" s="1559">
        <f t="shared" si="14"/>
        <v>100</v>
      </c>
      <c r="X32" s="1552"/>
      <c r="Y32" s="3502"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502"/>
      <c r="Q33" s="1557">
        <f t="shared" si="11"/>
        <v>111</v>
      </c>
      <c r="R33" s="1558" t="s">
        <v>8</v>
      </c>
      <c r="S33" s="1559">
        <f t="shared" si="12"/>
        <v>100</v>
      </c>
      <c r="T33" s="1558" t="s">
        <v>8</v>
      </c>
      <c r="U33" s="1559">
        <f t="shared" si="13"/>
        <v>100</v>
      </c>
      <c r="V33" s="1558" t="s">
        <v>8</v>
      </c>
      <c r="W33" s="1559">
        <f t="shared" si="14"/>
        <v>100</v>
      </c>
      <c r="X33" s="1552"/>
      <c r="Y33" s="3502"/>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502"/>
      <c r="Q34" s="1557">
        <f t="shared" si="11"/>
        <v>111</v>
      </c>
      <c r="R34" s="1558" t="s">
        <v>8</v>
      </c>
      <c r="S34" s="1559">
        <f t="shared" si="12"/>
        <v>100</v>
      </c>
      <c r="T34" s="1558" t="s">
        <v>8</v>
      </c>
      <c r="U34" s="1559">
        <f t="shared" si="13"/>
        <v>100</v>
      </c>
      <c r="V34" s="1558" t="s">
        <v>8</v>
      </c>
      <c r="W34" s="1559">
        <f t="shared" si="14"/>
        <v>100</v>
      </c>
      <c r="X34" s="1552"/>
      <c r="Y34" s="3502"/>
      <c r="Z34" s="1560">
        <f t="shared" si="15"/>
        <v>111</v>
      </c>
      <c r="AA34" s="1561">
        <f t="shared" si="3"/>
        <v>1</v>
      </c>
      <c r="AB34" s="1561">
        <f t="shared" si="4"/>
        <v>1</v>
      </c>
      <c r="AC34" s="1561">
        <f t="shared" si="5"/>
        <v>1</v>
      </c>
    </row>
    <row r="35" spans="1:29" ht="15">
      <c r="A35" s="607" t="s">
        <v>736</v>
      </c>
      <c r="B35" s="887"/>
      <c r="C35" s="2586" t="s">
        <v>1</v>
      </c>
      <c r="D35" s="2587"/>
      <c r="E35" s="2588"/>
      <c r="F35" s="2589"/>
      <c r="G35" s="2590"/>
      <c r="H35" s="2591"/>
      <c r="I35" s="2588"/>
      <c r="J35" s="2591"/>
      <c r="K35" s="1595"/>
      <c r="L35" s="2126"/>
      <c r="M35" s="2127"/>
      <c r="N35" s="2116"/>
      <c r="O35" s="2127"/>
      <c r="P35" s="3497" t="str">
        <f>A35</f>
        <v>成交单价（元/平方米）</v>
      </c>
      <c r="Q35" s="3497"/>
      <c r="R35" s="3580">
        <f>E35</f>
        <v>0</v>
      </c>
      <c r="S35" s="3580"/>
      <c r="T35" s="3580">
        <f>G35</f>
        <v>0</v>
      </c>
      <c r="U35" s="3580"/>
      <c r="V35" s="3580">
        <f>I35</f>
        <v>0</v>
      </c>
      <c r="W35" s="3580"/>
      <c r="X35" s="1544"/>
      <c r="Y35" s="1566"/>
      <c r="Z35" s="1544"/>
      <c r="AA35" s="1544"/>
      <c r="AB35" s="1544"/>
      <c r="AC35" s="1544"/>
    </row>
    <row r="36" spans="1:29" ht="15.75" thickBot="1">
      <c r="A36" s="615" t="s">
        <v>2756</v>
      </c>
      <c r="B36" s="888"/>
      <c r="C36" s="2592" t="e">
        <f>R37</f>
        <v>#DIV/0!</v>
      </c>
      <c r="D36" s="2593"/>
      <c r="E36" s="2594" t="e">
        <f>R36</f>
        <v>#DIV/0!</v>
      </c>
      <c r="F36" s="2594"/>
      <c r="G36" s="2592" t="e">
        <f>T36</f>
        <v>#DIV/0!</v>
      </c>
      <c r="H36" s="2593"/>
      <c r="I36" s="2594" t="e">
        <f>V36</f>
        <v>#DIV/0!</v>
      </c>
      <c r="J36" s="2593"/>
      <c r="K36" s="1596"/>
      <c r="L36" s="2126"/>
      <c r="M36" s="2127"/>
      <c r="N36" s="2116"/>
      <c r="O36" s="2127"/>
      <c r="P36" s="3497" t="str">
        <f>A36</f>
        <v>比较价格（元/平方米）</v>
      </c>
      <c r="Q36" s="3497"/>
      <c r="R36" s="3580" t="e">
        <f>IF(F1="售价",ROUND(PRODUCT(R35,AA7:AA34),0),ROUND(PRODUCT(R35,AA7:AA34),1))</f>
        <v>#DIV/0!</v>
      </c>
      <c r="S36" s="3580"/>
      <c r="T36" s="3580" t="e">
        <f>IF(F1="售价",ROUND(PRODUCT(T35,AB7:AB34),0),ROUND(PRODUCT(T35,AB7:AB34),1))</f>
        <v>#DIV/0!</v>
      </c>
      <c r="U36" s="3580"/>
      <c r="V36" s="3580" t="e">
        <f>IF(F1="售价",ROUND(PRODUCT(V35,AC7:AC34),0),ROUND(PRODUCT(V35,AC7:AC34),1))</f>
        <v>#DIV/0!</v>
      </c>
      <c r="W36" s="3580"/>
      <c r="X36" s="1544"/>
      <c r="Y36" s="1544"/>
      <c r="Z36" s="1544"/>
      <c r="AA36" s="1544"/>
      <c r="AB36" s="1544"/>
      <c r="AC36" s="1544"/>
    </row>
    <row r="37" spans="1:29" ht="15.75" thickBot="1">
      <c r="A37" s="621" t="s">
        <v>2926</v>
      </c>
      <c r="B37" s="622"/>
      <c r="C37" s="2595" t="e">
        <f>R37</f>
        <v>#DIV/0!</v>
      </c>
      <c r="D37" s="2595"/>
      <c r="E37" s="2595"/>
      <c r="F37" s="2595"/>
      <c r="G37" s="2595"/>
      <c r="H37" s="2595"/>
      <c r="I37" s="2595"/>
      <c r="J37" s="2595"/>
      <c r="K37" s="1597"/>
      <c r="L37" s="2126"/>
      <c r="M37" s="2127"/>
      <c r="N37" s="2127"/>
      <c r="O37" s="2127"/>
      <c r="P37" s="3518" t="str">
        <f>A37</f>
        <v>估价对象XX用房的比较价格（楼面单价，元/平方米）</v>
      </c>
      <c r="Q37" s="3519"/>
      <c r="R37" s="3579" t="e">
        <f>IF(F1="售价",ROUND(AVERAGE(R36:V36),0),ROUND(AVERAGE(R36:V36),1))</f>
        <v>#DIV/0!</v>
      </c>
      <c r="S37" s="3579"/>
      <c r="T37" s="3579"/>
      <c r="U37" s="3579"/>
      <c r="V37" s="3579"/>
      <c r="W37" s="3579"/>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5" t="s">
        <v>529</v>
      </c>
      <c r="B46" s="646"/>
      <c r="C46" s="2752" t="str">
        <f>YEAR(C7)&amp;"-"&amp;MONTH(C7)</f>
        <v>2019-5</v>
      </c>
      <c r="D46" s="2754">
        <f>EDATE(C46,-1)</f>
        <v>43556</v>
      </c>
      <c r="E46" s="2754">
        <f t="shared" ref="E46:O46" si="16">EDATE(D46,-1)</f>
        <v>43525</v>
      </c>
      <c r="F46" s="2754">
        <f t="shared" si="16"/>
        <v>43497</v>
      </c>
      <c r="G46" s="2754">
        <f t="shared" si="16"/>
        <v>43466</v>
      </c>
      <c r="H46" s="2754">
        <f t="shared" si="16"/>
        <v>43435</v>
      </c>
      <c r="I46" s="2754">
        <f t="shared" si="16"/>
        <v>43405</v>
      </c>
      <c r="J46" s="2754">
        <f t="shared" si="16"/>
        <v>43374</v>
      </c>
      <c r="K46" s="2754">
        <f t="shared" si="16"/>
        <v>43344</v>
      </c>
      <c r="L46" s="2754">
        <f t="shared" si="16"/>
        <v>43313</v>
      </c>
      <c r="M46" s="2754">
        <f t="shared" si="16"/>
        <v>43282</v>
      </c>
      <c r="N46" s="2754">
        <f t="shared" si="16"/>
        <v>43252</v>
      </c>
      <c r="O46" s="2754">
        <f t="shared" si="16"/>
        <v>43221</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6" t="s">
        <v>2555</v>
      </c>
      <c r="C65" s="2557" t="s">
        <v>2556</v>
      </c>
      <c r="D65" s="2557" t="s">
        <v>2557</v>
      </c>
      <c r="E65" s="2557" t="s">
        <v>2558</v>
      </c>
      <c r="F65" s="2557" t="s">
        <v>2559</v>
      </c>
      <c r="G65" s="2557" t="s">
        <v>2560</v>
      </c>
      <c r="H65" s="674"/>
      <c r="I65" s="674"/>
      <c r="J65" s="674"/>
      <c r="K65" s="674"/>
      <c r="L65" s="674"/>
      <c r="M65" s="2560"/>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43602</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1.5</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G9" sqref="G9"/>
    </sheetView>
  </sheetViews>
  <sheetFormatPr defaultRowHeight="13.5"/>
  <cols>
    <col min="1" max="1" width="5.375" style="2888" customWidth="1"/>
    <col min="2" max="2" width="8.375" style="2888" customWidth="1"/>
    <col min="3" max="3" width="13" style="2888" customWidth="1"/>
    <col min="4" max="4" width="12.625" style="2888" customWidth="1"/>
    <col min="5" max="5" width="11.25" style="2888" customWidth="1"/>
    <col min="6" max="6" width="9.75" style="2888" customWidth="1"/>
    <col min="7" max="7" width="18.75" style="2888" customWidth="1"/>
    <col min="8" max="8" width="16.75" style="2888" customWidth="1"/>
    <col min="9" max="9" width="17.75" style="2888" customWidth="1"/>
    <col min="10" max="10" width="18.75" style="2888" customWidth="1"/>
    <col min="11" max="11" width="11.25" style="2888" customWidth="1"/>
    <col min="12" max="12" width="9.625" style="2888" customWidth="1"/>
    <col min="13" max="13" width="14.75" style="2888" customWidth="1"/>
    <col min="14" max="16384" width="9" style="2888"/>
  </cols>
  <sheetData>
    <row r="2" spans="1:13" ht="22.5">
      <c r="A2" s="3617" t="s">
        <v>3173</v>
      </c>
      <c r="B2" s="3617"/>
      <c r="C2" s="3617"/>
      <c r="D2" s="3617"/>
      <c r="E2" s="3617"/>
      <c r="F2" s="3617"/>
      <c r="G2" s="3617"/>
      <c r="H2" s="3617"/>
      <c r="I2" s="3617"/>
      <c r="J2" s="3617"/>
      <c r="K2" s="3617"/>
      <c r="L2" s="3617"/>
      <c r="M2" s="3617"/>
    </row>
    <row r="3" spans="1:13">
      <c r="A3" s="3618">
        <v>43608</v>
      </c>
      <c r="B3" s="3619"/>
      <c r="C3" s="3619"/>
      <c r="D3" s="3619"/>
      <c r="E3" s="3619"/>
      <c r="F3" s="3619"/>
      <c r="G3" s="3619"/>
      <c r="H3" s="3619"/>
      <c r="I3" s="3619"/>
      <c r="J3" s="3619"/>
      <c r="K3" s="3619"/>
      <c r="L3" s="3619"/>
      <c r="M3" s="3619"/>
    </row>
    <row r="4" spans="1:13">
      <c r="A4" s="3620" t="s">
        <v>3174</v>
      </c>
      <c r="B4" s="3620" t="s">
        <v>3175</v>
      </c>
      <c r="C4" s="3198" t="s">
        <v>3176</v>
      </c>
      <c r="D4" s="3198" t="s">
        <v>3177</v>
      </c>
      <c r="E4" s="3622" t="s">
        <v>3178</v>
      </c>
      <c r="F4" s="3623"/>
      <c r="G4" s="3624" t="s">
        <v>3179</v>
      </c>
      <c r="H4" s="3625"/>
      <c r="I4" s="3625"/>
      <c r="J4" s="3626"/>
      <c r="K4" s="3622" t="s">
        <v>3180</v>
      </c>
      <c r="L4" s="3623"/>
      <c r="M4" s="3198" t="s">
        <v>3181</v>
      </c>
    </row>
    <row r="5" spans="1:13">
      <c r="A5" s="3621"/>
      <c r="B5" s="3621"/>
      <c r="C5" s="3199" t="s">
        <v>3182</v>
      </c>
      <c r="D5" s="3199" t="s">
        <v>3182</v>
      </c>
      <c r="E5" s="3199" t="s">
        <v>3182</v>
      </c>
      <c r="F5" s="3199" t="s">
        <v>3183</v>
      </c>
      <c r="G5" s="3627"/>
      <c r="H5" s="3628"/>
      <c r="I5" s="3628"/>
      <c r="J5" s="3629"/>
      <c r="K5" s="3199" t="s">
        <v>3182</v>
      </c>
      <c r="L5" s="3199" t="s">
        <v>3183</v>
      </c>
      <c r="M5" s="3198"/>
    </row>
    <row r="6" spans="1:13">
      <c r="A6" s="3615">
        <v>1</v>
      </c>
      <c r="B6" s="3615" t="s">
        <v>3184</v>
      </c>
      <c r="C6" s="3615">
        <v>22838</v>
      </c>
      <c r="D6" s="3615">
        <v>70210</v>
      </c>
      <c r="E6" s="3615">
        <v>7667</v>
      </c>
      <c r="F6" s="3630">
        <f>E6/666.67</f>
        <v>11.500442497787512</v>
      </c>
      <c r="G6" s="3632" t="s">
        <v>3185</v>
      </c>
      <c r="H6" s="3633"/>
      <c r="I6" s="3633"/>
      <c r="J6" s="3634"/>
      <c r="K6" s="3615">
        <f>C6-E6</f>
        <v>15171</v>
      </c>
      <c r="L6" s="3630">
        <f>K6/666.67</f>
        <v>22.756386218068911</v>
      </c>
      <c r="M6" s="3615" t="s">
        <v>3186</v>
      </c>
    </row>
    <row r="7" spans="1:13">
      <c r="A7" s="3616"/>
      <c r="B7" s="3616"/>
      <c r="C7" s="3616"/>
      <c r="D7" s="3616"/>
      <c r="E7" s="3616"/>
      <c r="F7" s="3631"/>
      <c r="G7" s="3632">
        <v>7667</v>
      </c>
      <c r="H7" s="3633"/>
      <c r="I7" s="3633"/>
      <c r="J7" s="3634"/>
      <c r="K7" s="3616"/>
      <c r="L7" s="3631"/>
      <c r="M7" s="3616"/>
    </row>
    <row r="8" spans="1:13">
      <c r="A8" s="3200">
        <v>2</v>
      </c>
      <c r="B8" s="3615" t="s">
        <v>3187</v>
      </c>
      <c r="C8" s="3615">
        <v>30300.45</v>
      </c>
      <c r="D8" s="3615">
        <v>190650</v>
      </c>
      <c r="E8" s="3615">
        <v>29124.26</v>
      </c>
      <c r="F8" s="3630">
        <f t="shared" ref="F8:F18" si="0">E8/666.67</f>
        <v>43.686171569142154</v>
      </c>
      <c r="G8" s="3253" t="s">
        <v>3188</v>
      </c>
      <c r="H8" s="3200" t="s">
        <v>3189</v>
      </c>
      <c r="I8" s="3253" t="s">
        <v>3190</v>
      </c>
      <c r="J8" s="3200" t="s">
        <v>3191</v>
      </c>
      <c r="K8" s="3615">
        <f>C8-E8</f>
        <v>1176.1900000000023</v>
      </c>
      <c r="L8" s="3630">
        <f t="shared" ref="L8:L18" si="1">K8/666.67</f>
        <v>1.7642761786191106</v>
      </c>
      <c r="M8" s="3615" t="s">
        <v>3192</v>
      </c>
    </row>
    <row r="9" spans="1:13">
      <c r="A9" s="3200"/>
      <c r="B9" s="3616"/>
      <c r="C9" s="3616"/>
      <c r="D9" s="3616"/>
      <c r="E9" s="3616"/>
      <c r="F9" s="3631"/>
      <c r="G9" s="3200">
        <v>15693.87</v>
      </c>
      <c r="H9" s="3200">
        <v>1484.47</v>
      </c>
      <c r="I9" s="3200">
        <v>11676.56</v>
      </c>
      <c r="J9" s="3200">
        <v>269.36</v>
      </c>
      <c r="K9" s="3616"/>
      <c r="L9" s="3631"/>
      <c r="M9" s="3616"/>
    </row>
    <row r="10" spans="1:13">
      <c r="A10" s="3200">
        <v>3</v>
      </c>
      <c r="B10" s="3615" t="s">
        <v>3193</v>
      </c>
      <c r="C10" s="3615">
        <v>38270.76</v>
      </c>
      <c r="D10" s="3615">
        <v>63275</v>
      </c>
      <c r="E10" s="3615">
        <v>4758.38</v>
      </c>
      <c r="F10" s="3630">
        <f t="shared" si="0"/>
        <v>7.1375343123284392</v>
      </c>
      <c r="G10" s="3200" t="s">
        <v>3194</v>
      </c>
      <c r="H10" s="3200" t="s">
        <v>3195</v>
      </c>
      <c r="I10" s="3200" t="s">
        <v>3188</v>
      </c>
      <c r="J10" s="3200" t="s">
        <v>3196</v>
      </c>
      <c r="K10" s="3615">
        <v>37512.379999999997</v>
      </c>
      <c r="L10" s="3630">
        <f t="shared" si="1"/>
        <v>56.268288658556706</v>
      </c>
      <c r="M10" s="3615" t="s">
        <v>3192</v>
      </c>
    </row>
    <row r="11" spans="1:13">
      <c r="A11" s="3200"/>
      <c r="B11" s="3616"/>
      <c r="C11" s="3616"/>
      <c r="D11" s="3616"/>
      <c r="E11" s="3616"/>
      <c r="F11" s="3631"/>
      <c r="G11" s="3200">
        <v>4183.7700000000004</v>
      </c>
      <c r="H11" s="3200">
        <v>198.71</v>
      </c>
      <c r="I11" s="3200">
        <v>357.58</v>
      </c>
      <c r="J11" s="3200">
        <v>18.32</v>
      </c>
      <c r="K11" s="3616"/>
      <c r="L11" s="3631"/>
      <c r="M11" s="3616"/>
    </row>
    <row r="12" spans="1:13">
      <c r="A12" s="3200">
        <v>4</v>
      </c>
      <c r="B12" s="3615" t="s">
        <v>3197</v>
      </c>
      <c r="C12" s="3615">
        <v>23925</v>
      </c>
      <c r="D12" s="3615">
        <v>54020</v>
      </c>
      <c r="E12" s="3615">
        <v>16365</v>
      </c>
      <c r="F12" s="3630">
        <f t="shared" si="0"/>
        <v>24.547377263113685</v>
      </c>
      <c r="G12" s="3632" t="s">
        <v>3198</v>
      </c>
      <c r="H12" s="3634"/>
      <c r="I12" s="3632" t="s">
        <v>3199</v>
      </c>
      <c r="J12" s="3634"/>
      <c r="K12" s="3615">
        <f t="shared" ref="K12:K18" si="2">C12-E12</f>
        <v>7560</v>
      </c>
      <c r="L12" s="3630">
        <f t="shared" si="1"/>
        <v>11.339943300283499</v>
      </c>
      <c r="M12" s="3615" t="s">
        <v>3192</v>
      </c>
    </row>
    <row r="13" spans="1:13">
      <c r="A13" s="3200"/>
      <c r="B13" s="3616"/>
      <c r="C13" s="3616"/>
      <c r="D13" s="3616"/>
      <c r="E13" s="3616"/>
      <c r="F13" s="3631"/>
      <c r="G13" s="3632">
        <v>6862</v>
      </c>
      <c r="H13" s="3634"/>
      <c r="I13" s="3632">
        <v>9503</v>
      </c>
      <c r="J13" s="3634"/>
      <c r="K13" s="3616"/>
      <c r="L13" s="3631"/>
      <c r="M13" s="3616"/>
    </row>
    <row r="14" spans="1:13">
      <c r="A14" s="3200">
        <v>5</v>
      </c>
      <c r="B14" s="3615" t="s">
        <v>3200</v>
      </c>
      <c r="C14" s="3615">
        <v>33664.449999999997</v>
      </c>
      <c r="D14" s="3615">
        <v>90357</v>
      </c>
      <c r="E14" s="3615">
        <v>30861.85</v>
      </c>
      <c r="F14" s="3630">
        <f t="shared" si="0"/>
        <v>46.292543537282313</v>
      </c>
      <c r="G14" s="3253" t="s">
        <v>3190</v>
      </c>
      <c r="H14" s="3200" t="s">
        <v>3196</v>
      </c>
      <c r="I14" s="3635" t="s">
        <v>3201</v>
      </c>
      <c r="J14" s="3636"/>
      <c r="K14" s="3615">
        <f t="shared" si="2"/>
        <v>2802.5999999999985</v>
      </c>
      <c r="L14" s="3630">
        <f t="shared" si="1"/>
        <v>4.2038789806050954</v>
      </c>
      <c r="M14" s="3615" t="s">
        <v>3192</v>
      </c>
    </row>
    <row r="15" spans="1:13">
      <c r="A15" s="3200"/>
      <c r="B15" s="3616"/>
      <c r="C15" s="3616"/>
      <c r="D15" s="3616"/>
      <c r="E15" s="3616"/>
      <c r="F15" s="3631"/>
      <c r="G15" s="3200">
        <v>22669.3</v>
      </c>
      <c r="H15" s="3200">
        <v>641.62</v>
      </c>
      <c r="I15" s="3632">
        <v>7550.93</v>
      </c>
      <c r="J15" s="3634"/>
      <c r="K15" s="3616"/>
      <c r="L15" s="3631"/>
      <c r="M15" s="3616"/>
    </row>
    <row r="16" spans="1:13">
      <c r="A16" s="3200">
        <v>6</v>
      </c>
      <c r="B16" s="3615" t="s">
        <v>3202</v>
      </c>
      <c r="C16" s="3615">
        <v>9367</v>
      </c>
      <c r="D16" s="3615">
        <v>9742</v>
      </c>
      <c r="E16" s="3615">
        <v>6822</v>
      </c>
      <c r="F16" s="3630">
        <f t="shared" si="0"/>
        <v>10.232948835255824</v>
      </c>
      <c r="G16" s="3632" t="s">
        <v>3203</v>
      </c>
      <c r="H16" s="3633"/>
      <c r="I16" s="3633"/>
      <c r="J16" s="3634"/>
      <c r="K16" s="3615">
        <f t="shared" si="2"/>
        <v>2545</v>
      </c>
      <c r="L16" s="3630">
        <f t="shared" si="1"/>
        <v>3.8174809125954372</v>
      </c>
      <c r="M16" s="3615" t="s">
        <v>3192</v>
      </c>
    </row>
    <row r="17" spans="1:13">
      <c r="A17" s="3200"/>
      <c r="B17" s="3616"/>
      <c r="C17" s="3616"/>
      <c r="D17" s="3616"/>
      <c r="E17" s="3616"/>
      <c r="F17" s="3631"/>
      <c r="G17" s="3632">
        <v>6822</v>
      </c>
      <c r="H17" s="3633"/>
      <c r="I17" s="3633"/>
      <c r="J17" s="3634"/>
      <c r="K17" s="3616"/>
      <c r="L17" s="3631"/>
      <c r="M17" s="3616"/>
    </row>
    <row r="18" spans="1:13">
      <c r="A18" s="3200">
        <v>7</v>
      </c>
      <c r="B18" s="3639" t="s">
        <v>3204</v>
      </c>
      <c r="C18" s="3615">
        <v>696.93</v>
      </c>
      <c r="D18" s="3615">
        <v>1200</v>
      </c>
      <c r="E18" s="3615">
        <v>696.93</v>
      </c>
      <c r="F18" s="3630">
        <f t="shared" si="0"/>
        <v>1.0453897730511348</v>
      </c>
      <c r="G18" s="3632" t="s">
        <v>3205</v>
      </c>
      <c r="H18" s="3633"/>
      <c r="I18" s="3633"/>
      <c r="J18" s="3634"/>
      <c r="K18" s="3615">
        <f t="shared" si="2"/>
        <v>0</v>
      </c>
      <c r="L18" s="3630">
        <f t="shared" si="1"/>
        <v>0</v>
      </c>
      <c r="M18" s="3615"/>
    </row>
    <row r="19" spans="1:13">
      <c r="A19" s="3201"/>
      <c r="B19" s="3640"/>
      <c r="C19" s="3616"/>
      <c r="D19" s="3616"/>
      <c r="E19" s="3616"/>
      <c r="F19" s="3631"/>
      <c r="G19" s="3632">
        <v>696.93</v>
      </c>
      <c r="H19" s="3633"/>
      <c r="I19" s="3633"/>
      <c r="J19" s="3634"/>
      <c r="K19" s="3616"/>
      <c r="L19" s="3631"/>
      <c r="M19" s="3616"/>
    </row>
    <row r="20" spans="1:13">
      <c r="A20" s="3637" t="s">
        <v>3206</v>
      </c>
      <c r="B20" s="3638"/>
      <c r="C20" s="3202">
        <f>C6+C8+C10+C12+C14+C16+C18</f>
        <v>159062.58999999997</v>
      </c>
      <c r="D20" s="3202">
        <f t="shared" ref="D20:L20" si="3">D6+D8+D10+D12+D14+D16+D18</f>
        <v>479454</v>
      </c>
      <c r="E20" s="3202">
        <f t="shared" si="3"/>
        <v>96295.419999999984</v>
      </c>
      <c r="F20" s="3202">
        <f t="shared" si="3"/>
        <v>144.44240778796109</v>
      </c>
      <c r="G20" s="3202"/>
      <c r="H20" s="3202"/>
      <c r="I20" s="3202"/>
      <c r="J20" s="3202"/>
      <c r="K20" s="3202">
        <f t="shared" si="3"/>
        <v>66767.17</v>
      </c>
      <c r="L20" s="3202">
        <f t="shared" si="3"/>
        <v>100.15025424872876</v>
      </c>
      <c r="M20" s="3203"/>
    </row>
    <row r="21" spans="1:13">
      <c r="A21" s="3200">
        <v>8</v>
      </c>
      <c r="B21" s="3200" t="s">
        <v>3207</v>
      </c>
      <c r="C21" s="3200">
        <v>45356.3</v>
      </c>
      <c r="D21" s="3200">
        <v>43583</v>
      </c>
      <c r="E21" s="3200">
        <v>27269</v>
      </c>
      <c r="F21" s="3204">
        <f>E21/666.67</f>
        <v>40.903295483522584</v>
      </c>
      <c r="G21" s="3200" t="s">
        <v>3208</v>
      </c>
      <c r="H21" s="3200" t="s">
        <v>3209</v>
      </c>
      <c r="I21" s="3200" t="s">
        <v>3210</v>
      </c>
      <c r="J21" s="3200" t="s">
        <v>3211</v>
      </c>
      <c r="K21" s="3200">
        <f>C21-E21</f>
        <v>18087.300000000003</v>
      </c>
      <c r="L21" s="3204">
        <f>K21/666.67</f>
        <v>27.130814345928275</v>
      </c>
      <c r="M21" s="3200" t="s">
        <v>3212</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E4" sqref="E4"/>
    </sheetView>
  </sheetViews>
  <sheetFormatPr defaultColWidth="8.75" defaultRowHeight="14.25"/>
  <cols>
    <col min="1" max="1" width="8.375" style="3208" customWidth="1"/>
    <col min="2" max="2" width="5.125" style="3208" customWidth="1"/>
    <col min="3" max="3" width="18.5" style="3208" customWidth="1"/>
    <col min="4" max="4" width="11.125" style="3208" customWidth="1"/>
    <col min="5" max="5" width="11.25" style="3208" customWidth="1"/>
    <col min="6" max="6" width="15.875" style="3208" customWidth="1"/>
    <col min="7" max="7" width="32.25" style="3208" customWidth="1"/>
    <col min="8" max="8" width="14.625" style="3208" customWidth="1"/>
    <col min="9" max="9" width="9.5" style="3208" bestFit="1" customWidth="1"/>
    <col min="10" max="10" width="10.625" style="3208" bestFit="1" customWidth="1"/>
    <col min="11" max="11" width="11.25" style="3208" customWidth="1"/>
    <col min="12" max="12" width="10.375" style="3208" customWidth="1"/>
    <col min="13" max="16384" width="8.75" style="3208"/>
  </cols>
  <sheetData>
    <row r="1" spans="1:16" ht="42.75">
      <c r="A1" s="3205" t="s">
        <v>3214</v>
      </c>
      <c r="B1" s="3206"/>
      <c r="C1" s="3206"/>
      <c r="D1" s="3206"/>
      <c r="E1" s="3206"/>
      <c r="F1" s="3206"/>
      <c r="G1" s="3206"/>
      <c r="H1" s="3207"/>
    </row>
    <row r="2" spans="1:16" ht="25.5">
      <c r="A2" s="3642" t="s">
        <v>3215</v>
      </c>
      <c r="B2" s="3642"/>
      <c r="C2" s="3642"/>
      <c r="D2" s="3642"/>
      <c r="E2" s="3642"/>
      <c r="F2" s="3642"/>
      <c r="G2" s="3642"/>
      <c r="H2" s="3209"/>
    </row>
    <row r="3" spans="1:16">
      <c r="A3" s="3643" t="s">
        <v>3216</v>
      </c>
      <c r="B3" s="3643"/>
      <c r="C3" s="3643"/>
      <c r="D3" s="3210" t="s">
        <v>3217</v>
      </c>
      <c r="E3" s="3210" t="s">
        <v>3218</v>
      </c>
      <c r="F3" s="3210" t="s">
        <v>3219</v>
      </c>
      <c r="G3" s="3210" t="s">
        <v>3220</v>
      </c>
      <c r="H3" s="3209"/>
    </row>
    <row r="4" spans="1:16">
      <c r="A4" s="3641" t="s">
        <v>3221</v>
      </c>
      <c r="B4" s="3641"/>
      <c r="C4" s="3641"/>
      <c r="D4" s="3210" t="s">
        <v>3222</v>
      </c>
      <c r="E4" s="3210">
        <v>38270.76</v>
      </c>
      <c r="F4" s="3211">
        <v>38270.76</v>
      </c>
      <c r="G4" s="3206"/>
      <c r="H4" s="3212"/>
      <c r="J4" s="3210"/>
    </row>
    <row r="5" spans="1:16">
      <c r="A5" s="3641" t="s">
        <v>3223</v>
      </c>
      <c r="B5" s="3641"/>
      <c r="C5" s="3641"/>
      <c r="D5" s="3213" t="s">
        <v>3224</v>
      </c>
      <c r="E5" s="3210"/>
      <c r="F5" s="3214">
        <f>[3]A3组团表4!K36</f>
        <v>448</v>
      </c>
      <c r="G5" s="3206"/>
      <c r="H5" s="3207"/>
    </row>
    <row r="6" spans="1:16">
      <c r="A6" s="3641" t="s">
        <v>3225</v>
      </c>
      <c r="B6" s="3641"/>
      <c r="C6" s="3641"/>
      <c r="D6" s="3215" t="s">
        <v>3226</v>
      </c>
      <c r="E6" s="3210"/>
      <c r="F6" s="3216">
        <f>'[3]公共服务设施控制指标（㎡ 千人）'!F2</f>
        <v>1434</v>
      </c>
      <c r="G6" s="3206"/>
      <c r="H6" s="3207"/>
      <c r="I6" s="3217"/>
    </row>
    <row r="7" spans="1:16" ht="16.5">
      <c r="A7" s="3641" t="s">
        <v>3227</v>
      </c>
      <c r="B7" s="3641"/>
      <c r="C7" s="3641"/>
      <c r="D7" s="3215" t="s">
        <v>3228</v>
      </c>
      <c r="E7" s="3218"/>
      <c r="F7" s="3211">
        <f>F9+F10</f>
        <v>164550</v>
      </c>
      <c r="G7" s="3206"/>
      <c r="H7" s="3207"/>
    </row>
    <row r="8" spans="1:16" ht="16.5">
      <c r="A8" s="3644" t="s">
        <v>3229</v>
      </c>
      <c r="B8" s="3645"/>
      <c r="C8" s="3646"/>
      <c r="D8" s="3210"/>
      <c r="E8" s="3218"/>
      <c r="F8" s="3211"/>
      <c r="G8" s="3206"/>
      <c r="H8" s="3207"/>
    </row>
    <row r="9" spans="1:16" ht="16.5">
      <c r="A9" s="3641" t="s">
        <v>3230</v>
      </c>
      <c r="B9" s="3641" t="s">
        <v>3231</v>
      </c>
      <c r="C9" s="3641"/>
      <c r="D9" s="3210" t="s">
        <v>3232</v>
      </c>
      <c r="E9" s="3218"/>
      <c r="F9" s="3211">
        <f>F12+F13+F24+F27</f>
        <v>64550</v>
      </c>
      <c r="G9" s="3206"/>
      <c r="H9" s="3207"/>
      <c r="J9" s="3217"/>
    </row>
    <row r="10" spans="1:16" ht="16.5">
      <c r="A10" s="3641"/>
      <c r="B10" s="3641" t="s">
        <v>3233</v>
      </c>
      <c r="C10" s="3641"/>
      <c r="D10" s="3210" t="s">
        <v>3232</v>
      </c>
      <c r="E10" s="3218"/>
      <c r="F10" s="3211">
        <f>F25+F26+F28</f>
        <v>100000</v>
      </c>
      <c r="G10" s="3206"/>
      <c r="H10" s="3207"/>
    </row>
    <row r="11" spans="1:16" ht="16.5">
      <c r="A11" s="3644" t="s">
        <v>3234</v>
      </c>
      <c r="B11" s="3645"/>
      <c r="C11" s="3646"/>
      <c r="D11" s="3210"/>
      <c r="E11" s="3218"/>
      <c r="F11" s="3211"/>
      <c r="G11" s="3206"/>
      <c r="H11" s="3207"/>
    </row>
    <row r="12" spans="1:16">
      <c r="A12" s="3647"/>
      <c r="B12" s="3650" t="s">
        <v>3235</v>
      </c>
      <c r="C12" s="3650"/>
      <c r="D12" s="3210" t="s">
        <v>3232</v>
      </c>
      <c r="E12" s="3210"/>
      <c r="F12" s="3211">
        <f>[3]A3组团表4!J8+[3]A3组团表4!J9+[3]A3组团表4!J10+[3]A3组团表4!J15+[3]A3组团表4!J19+[3]A3组团表4!J23</f>
        <v>59500</v>
      </c>
      <c r="G12" s="3219"/>
      <c r="H12" s="3207"/>
    </row>
    <row r="13" spans="1:16">
      <c r="A13" s="3648"/>
      <c r="B13" s="3650" t="s">
        <v>3236</v>
      </c>
      <c r="C13" s="3650"/>
      <c r="D13" s="3210" t="s">
        <v>3232</v>
      </c>
      <c r="E13" s="3210"/>
      <c r="F13" s="3211">
        <f>SUM(F14:F23)</f>
        <v>3775</v>
      </c>
      <c r="G13" s="3206"/>
      <c r="H13" s="3207"/>
      <c r="J13" s="3217"/>
      <c r="K13" s="3217"/>
      <c r="L13" s="3217"/>
      <c r="M13" s="3217"/>
      <c r="N13" s="3217"/>
      <c r="O13" s="3217"/>
      <c r="P13" s="3217"/>
    </row>
    <row r="14" spans="1:16">
      <c r="A14" s="3648"/>
      <c r="B14" s="3651" t="s">
        <v>3230</v>
      </c>
      <c r="C14" s="3220" t="s">
        <v>3237</v>
      </c>
      <c r="D14" s="3210" t="s">
        <v>3238</v>
      </c>
      <c r="E14" s="3210"/>
      <c r="F14" s="3211">
        <f>[3]A3组团表4!J28</f>
        <v>3450</v>
      </c>
      <c r="G14" s="3206" t="s">
        <v>3239</v>
      </c>
      <c r="H14" s="3207"/>
      <c r="J14" s="3217"/>
      <c r="K14" s="3217"/>
      <c r="L14" s="3217"/>
      <c r="M14" s="3217"/>
      <c r="N14" s="3217"/>
      <c r="O14" s="3217"/>
      <c r="P14" s="3217"/>
    </row>
    <row r="15" spans="1:16">
      <c r="A15" s="3648"/>
      <c r="B15" s="3652"/>
      <c r="C15" s="3220" t="s">
        <v>3240</v>
      </c>
      <c r="D15" s="3210" t="s">
        <v>3228</v>
      </c>
      <c r="E15" s="3210"/>
      <c r="F15" s="3211">
        <v>0</v>
      </c>
      <c r="G15" s="3206"/>
      <c r="H15" s="3207"/>
      <c r="J15" s="3217"/>
      <c r="K15" s="3217"/>
      <c r="L15" s="3217"/>
      <c r="M15" s="3217"/>
      <c r="N15" s="3217"/>
      <c r="O15" s="3217"/>
      <c r="P15" s="3217"/>
    </row>
    <row r="16" spans="1:16" ht="28.5">
      <c r="A16" s="3648"/>
      <c r="B16" s="3652"/>
      <c r="C16" s="3220" t="s">
        <v>3241</v>
      </c>
      <c r="D16" s="3210" t="s">
        <v>3228</v>
      </c>
      <c r="E16" s="3210"/>
      <c r="F16" s="3211">
        <f>0</f>
        <v>0</v>
      </c>
      <c r="G16" s="3221"/>
      <c r="H16" s="3207"/>
      <c r="J16" s="3217"/>
      <c r="K16" s="3217"/>
      <c r="L16" s="3217"/>
      <c r="M16" s="3217"/>
      <c r="N16" s="3217"/>
      <c r="O16" s="3217"/>
      <c r="P16" s="3217"/>
    </row>
    <row r="17" spans="1:16">
      <c r="A17" s="3648"/>
      <c r="B17" s="3652"/>
      <c r="C17" s="3220" t="s">
        <v>3242</v>
      </c>
      <c r="D17" s="3210" t="s">
        <v>3222</v>
      </c>
      <c r="E17" s="3210"/>
      <c r="F17" s="3211">
        <f>[3]A3组团表4!J6</f>
        <v>300</v>
      </c>
      <c r="G17" s="3206" t="s">
        <v>3243</v>
      </c>
      <c r="H17" s="3222"/>
      <c r="J17" s="3217"/>
      <c r="K17" s="3217"/>
      <c r="L17" s="3217"/>
      <c r="M17" s="3217"/>
      <c r="N17" s="3217"/>
      <c r="O17" s="3217"/>
      <c r="P17" s="3217"/>
    </row>
    <row r="18" spans="1:16">
      <c r="A18" s="3648"/>
      <c r="B18" s="3652"/>
      <c r="C18" s="3220" t="s">
        <v>3244</v>
      </c>
      <c r="D18" s="3210" t="s">
        <v>3222</v>
      </c>
      <c r="E18" s="3210"/>
      <c r="F18" s="3211">
        <f>[3]A3组团表4!J7</f>
        <v>25</v>
      </c>
      <c r="G18" s="3206" t="s">
        <v>3245</v>
      </c>
      <c r="H18" s="3207"/>
      <c r="J18" s="3217"/>
      <c r="K18" s="3217"/>
      <c r="L18" s="3217"/>
      <c r="M18" s="3217"/>
      <c r="N18" s="3217"/>
      <c r="O18" s="3217"/>
      <c r="P18" s="3217"/>
    </row>
    <row r="19" spans="1:16">
      <c r="A19" s="3648"/>
      <c r="B19" s="3652"/>
      <c r="C19" s="3220" t="s">
        <v>3246</v>
      </c>
      <c r="D19" s="3210" t="s">
        <v>3228</v>
      </c>
      <c r="E19" s="3210"/>
      <c r="F19" s="3211">
        <v>0</v>
      </c>
      <c r="G19" s="3206"/>
      <c r="H19" s="3207"/>
      <c r="J19" s="3217"/>
      <c r="K19" s="3217"/>
      <c r="L19" s="3217"/>
      <c r="M19" s="3217"/>
      <c r="N19" s="3217"/>
      <c r="O19" s="3217"/>
      <c r="P19" s="3217"/>
    </row>
    <row r="20" spans="1:16">
      <c r="A20" s="3648"/>
      <c r="B20" s="3652"/>
      <c r="C20" s="3220" t="s">
        <v>3247</v>
      </c>
      <c r="D20" s="3210" t="s">
        <v>3228</v>
      </c>
      <c r="E20" s="3210"/>
      <c r="F20" s="3211">
        <v>0</v>
      </c>
      <c r="G20" s="3206"/>
      <c r="H20" s="3207"/>
      <c r="J20" s="3217"/>
      <c r="K20" s="3217"/>
      <c r="L20" s="3217"/>
      <c r="M20" s="3217"/>
      <c r="N20" s="3217"/>
      <c r="O20" s="3217"/>
      <c r="P20" s="3217"/>
    </row>
    <row r="21" spans="1:16" ht="28.5">
      <c r="A21" s="3648"/>
      <c r="B21" s="3652"/>
      <c r="C21" s="3220" t="s">
        <v>3248</v>
      </c>
      <c r="D21" s="3210" t="s">
        <v>3228</v>
      </c>
      <c r="E21" s="3210"/>
      <c r="F21" s="3211">
        <v>0</v>
      </c>
      <c r="G21" s="3206"/>
      <c r="H21" s="3207"/>
      <c r="J21" s="3217"/>
      <c r="K21" s="3217"/>
      <c r="L21" s="3217"/>
      <c r="M21" s="3217"/>
      <c r="N21" s="3217"/>
      <c r="O21" s="3217"/>
      <c r="P21" s="3217"/>
    </row>
    <row r="22" spans="1:16">
      <c r="A22" s="3648"/>
      <c r="B22" s="3652"/>
      <c r="C22" s="3220" t="s">
        <v>3249</v>
      </c>
      <c r="D22" s="3210" t="s">
        <v>3228</v>
      </c>
      <c r="E22" s="3210"/>
      <c r="F22" s="3211">
        <v>0</v>
      </c>
      <c r="G22" s="3206"/>
      <c r="H22" s="3207"/>
      <c r="J22" s="3217"/>
      <c r="K22" s="3217"/>
      <c r="L22" s="3217"/>
      <c r="M22" s="3217"/>
      <c r="N22" s="3217"/>
      <c r="O22" s="3217"/>
      <c r="P22" s="3217"/>
    </row>
    <row r="23" spans="1:16">
      <c r="A23" s="3648"/>
      <c r="B23" s="3653"/>
      <c r="C23" s="3220" t="s">
        <v>3250</v>
      </c>
      <c r="D23" s="3210" t="s">
        <v>3228</v>
      </c>
      <c r="E23" s="3210"/>
      <c r="F23" s="3211">
        <v>0</v>
      </c>
      <c r="G23" s="3206"/>
      <c r="H23" s="3207"/>
      <c r="J23" s="3217"/>
      <c r="K23" s="3217"/>
      <c r="L23" s="3217"/>
      <c r="M23" s="3217"/>
      <c r="N23" s="3217"/>
      <c r="O23" s="3217"/>
      <c r="P23" s="3217"/>
    </row>
    <row r="24" spans="1:16">
      <c r="A24" s="3648"/>
      <c r="B24" s="3650" t="s">
        <v>3251</v>
      </c>
      <c r="C24" s="3650"/>
      <c r="D24" s="3210" t="s">
        <v>3232</v>
      </c>
      <c r="E24" s="3210"/>
      <c r="F24" s="3211">
        <v>0</v>
      </c>
      <c r="G24" s="3206"/>
      <c r="H24" s="3207"/>
      <c r="J24" s="3217"/>
      <c r="K24" s="3217"/>
      <c r="L24" s="3217"/>
      <c r="M24" s="3217"/>
      <c r="N24" s="3217"/>
      <c r="O24" s="3217"/>
      <c r="P24" s="3217"/>
    </row>
    <row r="25" spans="1:16">
      <c r="A25" s="3648"/>
      <c r="B25" s="3650" t="s">
        <v>3252</v>
      </c>
      <c r="C25" s="3650"/>
      <c r="D25" s="3210" t="s">
        <v>3232</v>
      </c>
      <c r="E25" s="3210"/>
      <c r="F25" s="3210">
        <f>[3]A3组团表4!G31+[3]A3组团表4!G33</f>
        <v>59700</v>
      </c>
      <c r="G25" s="3206"/>
      <c r="H25" s="3207"/>
    </row>
    <row r="26" spans="1:16">
      <c r="A26" s="3648"/>
      <c r="B26" s="3650" t="s">
        <v>3253</v>
      </c>
      <c r="C26" s="3650"/>
      <c r="D26" s="3210" t="s">
        <v>3228</v>
      </c>
      <c r="E26" s="3210"/>
      <c r="F26" s="3210">
        <f>[3]A3组团表4!G32+[3]A3组团表4!G34</f>
        <v>300</v>
      </c>
      <c r="G26" s="3206"/>
      <c r="H26" s="3207"/>
    </row>
    <row r="27" spans="1:16" ht="28.5">
      <c r="A27" s="3648"/>
      <c r="B27" s="3650" t="s">
        <v>3254</v>
      </c>
      <c r="C27" s="3650"/>
      <c r="D27" s="3210" t="s">
        <v>3232</v>
      </c>
      <c r="E27" s="3210"/>
      <c r="F27" s="3210">
        <f>[3]A3组团表4!O15+[3]A3组团表4!O19+[3]A3组团表4!O11+[3]A3组团表4!O23</f>
        <v>1275</v>
      </c>
      <c r="G27" s="3210" t="s">
        <v>3255</v>
      </c>
      <c r="H27" s="3207"/>
    </row>
    <row r="28" spans="1:16" ht="28.5">
      <c r="A28" s="3649"/>
      <c r="B28" s="3641" t="s">
        <v>3256</v>
      </c>
      <c r="C28" s="3641"/>
      <c r="D28" s="3210" t="s">
        <v>3232</v>
      </c>
      <c r="E28" s="3210"/>
      <c r="F28" s="3210">
        <f>[3]A3组团表4!I29+[3]A3组团表4!I30</f>
        <v>40000</v>
      </c>
      <c r="G28" s="3210" t="s">
        <v>3257</v>
      </c>
      <c r="H28" s="3207"/>
    </row>
    <row r="29" spans="1:16">
      <c r="A29" s="3641" t="s">
        <v>3258</v>
      </c>
      <c r="B29" s="3641"/>
      <c r="C29" s="3641"/>
      <c r="D29" s="3210" t="s">
        <v>3232</v>
      </c>
      <c r="E29" s="3210"/>
      <c r="F29" s="3211">
        <f>F12+F13+F24</f>
        <v>63275</v>
      </c>
      <c r="G29" s="3206"/>
      <c r="H29" s="3207"/>
    </row>
    <row r="30" spans="1:16">
      <c r="A30" s="3641" t="s">
        <v>2029</v>
      </c>
      <c r="B30" s="3641"/>
      <c r="C30" s="3641"/>
      <c r="D30" s="3210"/>
      <c r="E30" s="3210"/>
      <c r="F30" s="3211">
        <f>F29/F4</f>
        <v>1.6533510178527941</v>
      </c>
      <c r="G30" s="3210"/>
      <c r="H30" s="3212"/>
    </row>
    <row r="31" spans="1:16">
      <c r="A31" s="3641" t="s">
        <v>3259</v>
      </c>
      <c r="B31" s="3641"/>
      <c r="C31" s="3641"/>
      <c r="D31" s="3215" t="s">
        <v>3260</v>
      </c>
      <c r="E31" s="3210"/>
      <c r="F31" s="3210" t="s">
        <v>1763</v>
      </c>
      <c r="G31" s="3210" t="s">
        <v>3261</v>
      </c>
      <c r="H31" s="3212"/>
    </row>
    <row r="32" spans="1:16">
      <c r="A32" s="3641" t="s">
        <v>3262</v>
      </c>
      <c r="B32" s="3641"/>
      <c r="C32" s="3641"/>
      <c r="D32" s="3215" t="s">
        <v>3260</v>
      </c>
      <c r="E32" s="3210"/>
      <c r="F32" s="3210" t="s">
        <v>1763</v>
      </c>
      <c r="G32" s="3210" t="s">
        <v>3261</v>
      </c>
      <c r="H32" s="3212"/>
    </row>
    <row r="33" spans="1:8">
      <c r="A33" s="3641" t="s">
        <v>3263</v>
      </c>
      <c r="B33" s="3641"/>
      <c r="C33" s="3641"/>
      <c r="D33" s="3215" t="s">
        <v>3264</v>
      </c>
      <c r="E33" s="3210"/>
      <c r="F33" s="3210">
        <f>F34+F35</f>
        <v>1750</v>
      </c>
      <c r="G33" s="3210"/>
      <c r="H33" s="3212"/>
    </row>
    <row r="34" spans="1:8">
      <c r="A34" s="3641" t="s">
        <v>3230</v>
      </c>
      <c r="B34" s="3641" t="s">
        <v>3265</v>
      </c>
      <c r="C34" s="3641"/>
      <c r="D34" s="3215" t="s">
        <v>3264</v>
      </c>
      <c r="E34" s="3210"/>
      <c r="F34" s="3210">
        <v>0</v>
      </c>
      <c r="G34" s="3210"/>
      <c r="H34" s="3212"/>
    </row>
    <row r="35" spans="1:8">
      <c r="A35" s="3641"/>
      <c r="B35" s="3641" t="s">
        <v>3266</v>
      </c>
      <c r="C35" s="3641"/>
      <c r="D35" s="3215" t="s">
        <v>3264</v>
      </c>
      <c r="E35" s="3210"/>
      <c r="F35" s="3210">
        <f>[3]A3组团表4!L36</f>
        <v>1750</v>
      </c>
      <c r="G35" s="3206"/>
      <c r="H35" s="3207"/>
    </row>
    <row r="36" spans="1:8">
      <c r="A36" s="3657" t="s">
        <v>3267</v>
      </c>
      <c r="B36" s="3657"/>
      <c r="C36" s="3657"/>
      <c r="D36" s="3223" t="s">
        <v>3268</v>
      </c>
      <c r="E36" s="3224"/>
      <c r="F36" s="3224" t="s">
        <v>3269</v>
      </c>
      <c r="G36" s="3224"/>
      <c r="H36" s="3212"/>
    </row>
    <row r="37" spans="1:8">
      <c r="A37" s="3658" t="s">
        <v>3270</v>
      </c>
      <c r="B37" s="3659"/>
      <c r="C37" s="3659"/>
      <c r="D37" s="3659"/>
      <c r="E37" s="3659"/>
      <c r="F37" s="3659"/>
      <c r="G37" s="3660"/>
      <c r="H37" s="3225"/>
    </row>
    <row r="38" spans="1:8">
      <c r="A38" s="3661" t="s">
        <v>3271</v>
      </c>
      <c r="B38" s="3662"/>
      <c r="C38" s="3662"/>
      <c r="D38" s="3662"/>
      <c r="E38" s="3662"/>
      <c r="F38" s="3662"/>
      <c r="G38" s="3663"/>
      <c r="H38" s="3225"/>
    </row>
    <row r="39" spans="1:8">
      <c r="A39" s="3661" t="s">
        <v>3272</v>
      </c>
      <c r="B39" s="3662"/>
      <c r="C39" s="3662"/>
      <c r="D39" s="3662"/>
      <c r="E39" s="3662"/>
      <c r="F39" s="3662"/>
      <c r="G39" s="3663"/>
      <c r="H39" s="3225"/>
    </row>
    <row r="40" spans="1:8">
      <c r="A40" s="3661" t="s">
        <v>3273</v>
      </c>
      <c r="B40" s="3662"/>
      <c r="C40" s="3662"/>
      <c r="D40" s="3662"/>
      <c r="E40" s="3662"/>
      <c r="F40" s="3662"/>
      <c r="G40" s="3663"/>
      <c r="H40" s="3225"/>
    </row>
    <row r="41" spans="1:8">
      <c r="A41" s="3661" t="s">
        <v>3274</v>
      </c>
      <c r="B41" s="3662"/>
      <c r="C41" s="3662"/>
      <c r="D41" s="3662"/>
      <c r="E41" s="3662"/>
      <c r="F41" s="3662"/>
      <c r="G41" s="3663"/>
      <c r="H41" s="3225"/>
    </row>
    <row r="42" spans="1:8">
      <c r="A42" s="3654" t="s">
        <v>3275</v>
      </c>
      <c r="B42" s="3655"/>
      <c r="C42" s="3655"/>
      <c r="D42" s="3655"/>
      <c r="E42" s="3655"/>
      <c r="F42" s="3655"/>
      <c r="G42" s="3656"/>
      <c r="H42" s="322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F9" sqref="F9"/>
    </sheetView>
  </sheetViews>
  <sheetFormatPr defaultColWidth="8.75" defaultRowHeight="14.25"/>
  <cols>
    <col min="1" max="1" width="5.875" style="3208" customWidth="1"/>
    <col min="2" max="2" width="5.125" style="3208" customWidth="1"/>
    <col min="3" max="3" width="20.625" style="3208" customWidth="1"/>
    <col min="4" max="4" width="14.625" style="3208" customWidth="1"/>
    <col min="5" max="5" width="15.25" style="3208" customWidth="1"/>
    <col min="6" max="6" width="17.875" style="3208" customWidth="1"/>
    <col min="7" max="7" width="39.875" style="3208" customWidth="1"/>
    <col min="8" max="9" width="8.75" style="3208"/>
    <col min="10" max="10" width="10.25" style="3208" customWidth="1"/>
    <col min="11" max="16384" width="8.75" style="3208"/>
  </cols>
  <sheetData>
    <row r="1" spans="1:10" ht="57">
      <c r="A1" s="3229" t="s">
        <v>3301</v>
      </c>
      <c r="B1" s="3230"/>
      <c r="C1" s="3230"/>
      <c r="D1" s="3230"/>
      <c r="E1" s="3230"/>
      <c r="F1" s="3230"/>
      <c r="G1" s="3230"/>
    </row>
    <row r="2" spans="1:10" ht="25.5">
      <c r="A2" s="3642" t="s">
        <v>3302</v>
      </c>
      <c r="B2" s="3642"/>
      <c r="C2" s="3642"/>
      <c r="D2" s="3642"/>
      <c r="E2" s="3642"/>
      <c r="F2" s="3642"/>
      <c r="G2" s="3642"/>
    </row>
    <row r="3" spans="1:10">
      <c r="A3" s="3643" t="s">
        <v>3216</v>
      </c>
      <c r="B3" s="3643"/>
      <c r="C3" s="3643"/>
      <c r="D3" s="3210" t="s">
        <v>3303</v>
      </c>
      <c r="E3" s="3210" t="s">
        <v>3218</v>
      </c>
      <c r="F3" s="3210" t="s">
        <v>3219</v>
      </c>
      <c r="G3" s="3210" t="s">
        <v>3304</v>
      </c>
    </row>
    <row r="4" spans="1:10">
      <c r="A4" s="3641" t="s">
        <v>3221</v>
      </c>
      <c r="B4" s="3641"/>
      <c r="C4" s="3641"/>
      <c r="D4" s="3210" t="s">
        <v>3305</v>
      </c>
      <c r="E4" s="3231">
        <v>20145.650000000001</v>
      </c>
      <c r="F4" s="3231">
        <v>20145.650000000001</v>
      </c>
      <c r="G4" s="3210"/>
      <c r="I4" s="3207"/>
      <c r="J4" s="3232"/>
    </row>
    <row r="5" spans="1:10">
      <c r="A5" s="3641" t="s">
        <v>3223</v>
      </c>
      <c r="B5" s="3641"/>
      <c r="C5" s="3641"/>
      <c r="D5" s="3213" t="s">
        <v>3224</v>
      </c>
      <c r="E5" s="3210"/>
      <c r="F5" s="3214">
        <f>[3]F组团表4!K29</f>
        <v>336</v>
      </c>
      <c r="G5" s="3233"/>
      <c r="I5" s="3207"/>
      <c r="J5" s="3207"/>
    </row>
    <row r="6" spans="1:10">
      <c r="A6" s="3641" t="s">
        <v>3225</v>
      </c>
      <c r="B6" s="3641"/>
      <c r="C6" s="3641"/>
      <c r="D6" s="3215" t="s">
        <v>3226</v>
      </c>
      <c r="E6" s="3210"/>
      <c r="F6" s="3214">
        <f>'[3]公共服务设施控制指标（㎡ 千人）'!F7</f>
        <v>1076</v>
      </c>
      <c r="G6" s="3233"/>
      <c r="I6" s="3234"/>
      <c r="J6" s="3207"/>
    </row>
    <row r="7" spans="1:10" ht="16.5">
      <c r="A7" s="3641" t="s">
        <v>3227</v>
      </c>
      <c r="B7" s="3641"/>
      <c r="C7" s="3641"/>
      <c r="D7" s="3215" t="s">
        <v>3228</v>
      </c>
      <c r="E7" s="3218"/>
      <c r="F7" s="3211">
        <f>F9+F10</f>
        <v>75490</v>
      </c>
      <c r="G7" s="3233"/>
      <c r="I7" s="3207"/>
      <c r="J7" s="3207"/>
    </row>
    <row r="8" spans="1:10" ht="16.5">
      <c r="A8" s="3641" t="s">
        <v>3229</v>
      </c>
      <c r="B8" s="3641"/>
      <c r="C8" s="3641"/>
      <c r="D8" s="3210"/>
      <c r="E8" s="3218"/>
      <c r="F8" s="3211"/>
      <c r="G8" s="3233"/>
      <c r="I8" s="3207"/>
      <c r="J8" s="3207"/>
    </row>
    <row r="9" spans="1:10" ht="16.5">
      <c r="A9" s="3641" t="s">
        <v>3230</v>
      </c>
      <c r="B9" s="3641" t="s">
        <v>3231</v>
      </c>
      <c r="C9" s="3641"/>
      <c r="D9" s="3210" t="s">
        <v>3232</v>
      </c>
      <c r="E9" s="3218"/>
      <c r="F9" s="3211">
        <f>F12+F24+F27+F13</f>
        <v>55490</v>
      </c>
      <c r="G9" s="3233"/>
    </row>
    <row r="10" spans="1:10" ht="16.5">
      <c r="A10" s="3641"/>
      <c r="B10" s="3641" t="s">
        <v>3233</v>
      </c>
      <c r="C10" s="3641"/>
      <c r="D10" s="3210" t="s">
        <v>3232</v>
      </c>
      <c r="E10" s="3218"/>
      <c r="F10" s="3211">
        <f>F25+F26</f>
        <v>20000</v>
      </c>
      <c r="G10" s="3233"/>
    </row>
    <row r="11" spans="1:10" ht="16.5">
      <c r="A11" s="3644" t="s">
        <v>3234</v>
      </c>
      <c r="B11" s="3645"/>
      <c r="C11" s="3646"/>
      <c r="D11" s="3210"/>
      <c r="E11" s="3218"/>
      <c r="F11" s="3211"/>
      <c r="G11" s="3233"/>
    </row>
    <row r="12" spans="1:10">
      <c r="A12" s="3647"/>
      <c r="B12" s="3641" t="s">
        <v>3235</v>
      </c>
      <c r="C12" s="3641"/>
      <c r="D12" s="3210" t="s">
        <v>3232</v>
      </c>
      <c r="E12" s="3210"/>
      <c r="F12" s="3211">
        <f>[3]F组团表4!J7+[3]F组团表4!J11+[3]F组团表4!J15</f>
        <v>51750</v>
      </c>
      <c r="G12" s="3233"/>
    </row>
    <row r="13" spans="1:10">
      <c r="A13" s="3648"/>
      <c r="B13" s="3641" t="s">
        <v>3236</v>
      </c>
      <c r="C13" s="3641"/>
      <c r="D13" s="3210" t="s">
        <v>3232</v>
      </c>
      <c r="E13" s="3210"/>
      <c r="F13" s="3235">
        <f>SUM(F14:F23)</f>
        <v>1690</v>
      </c>
      <c r="G13" s="3233"/>
    </row>
    <row r="14" spans="1:10">
      <c r="A14" s="3648"/>
      <c r="B14" s="3647" t="s">
        <v>3230</v>
      </c>
      <c r="C14" s="3220" t="s">
        <v>3237</v>
      </c>
      <c r="D14" s="3210" t="s">
        <v>3305</v>
      </c>
      <c r="E14" s="3210"/>
      <c r="F14" s="3235">
        <v>0</v>
      </c>
      <c r="G14" s="3233"/>
    </row>
    <row r="15" spans="1:10">
      <c r="A15" s="3648"/>
      <c r="B15" s="3648"/>
      <c r="C15" s="3220" t="s">
        <v>3306</v>
      </c>
      <c r="D15" s="3210" t="s">
        <v>3228</v>
      </c>
      <c r="E15" s="3210"/>
      <c r="F15" s="3235">
        <v>0</v>
      </c>
      <c r="G15" s="3233"/>
    </row>
    <row r="16" spans="1:10" ht="28.5">
      <c r="A16" s="3648"/>
      <c r="B16" s="3648"/>
      <c r="C16" s="3220" t="s">
        <v>3307</v>
      </c>
      <c r="D16" s="3210" t="s">
        <v>3228</v>
      </c>
      <c r="E16" s="3210"/>
      <c r="F16" s="3235">
        <f>[3]F组团表4!J17</f>
        <v>500</v>
      </c>
      <c r="G16" s="3233" t="s">
        <v>3308</v>
      </c>
    </row>
    <row r="17" spans="1:7">
      <c r="A17" s="3648"/>
      <c r="B17" s="3648"/>
      <c r="C17" s="3220" t="s">
        <v>3309</v>
      </c>
      <c r="D17" s="3210" t="s">
        <v>3305</v>
      </c>
      <c r="E17" s="3210"/>
      <c r="F17" s="3235">
        <f>[3]F组团表4!J16</f>
        <v>270</v>
      </c>
      <c r="G17" s="3233" t="s">
        <v>3308</v>
      </c>
    </row>
    <row r="18" spans="1:7">
      <c r="A18" s="3648"/>
      <c r="B18" s="3648"/>
      <c r="C18" s="3220" t="s">
        <v>3310</v>
      </c>
      <c r="D18" s="3210" t="s">
        <v>3305</v>
      </c>
      <c r="E18" s="3210"/>
      <c r="F18" s="3235">
        <f>[3]F组团表4!J18</f>
        <v>20</v>
      </c>
      <c r="G18" s="3233" t="s">
        <v>3311</v>
      </c>
    </row>
    <row r="19" spans="1:7">
      <c r="A19" s="3648"/>
      <c r="B19" s="3648"/>
      <c r="C19" s="3220" t="s">
        <v>3246</v>
      </c>
      <c r="D19" s="3210" t="s">
        <v>3228</v>
      </c>
      <c r="E19" s="3210"/>
      <c r="F19" s="3235">
        <f>[3]F组团表4!J21+[3]F组团表4!J22</f>
        <v>900</v>
      </c>
      <c r="G19" s="3233" t="s">
        <v>3311</v>
      </c>
    </row>
    <row r="20" spans="1:7">
      <c r="A20" s="3648"/>
      <c r="B20" s="3648"/>
      <c r="C20" s="3220" t="s">
        <v>3247</v>
      </c>
      <c r="D20" s="3210" t="s">
        <v>3228</v>
      </c>
      <c r="E20" s="3210"/>
      <c r="F20" s="3235">
        <v>0</v>
      </c>
      <c r="G20" s="3233"/>
    </row>
    <row r="21" spans="1:7" ht="28.5">
      <c r="A21" s="3648"/>
      <c r="B21" s="3648"/>
      <c r="C21" s="3220" t="s">
        <v>3248</v>
      </c>
      <c r="D21" s="3210" t="s">
        <v>3228</v>
      </c>
      <c r="E21" s="3210"/>
      <c r="F21" s="3235">
        <v>0</v>
      </c>
      <c r="G21" s="3233"/>
    </row>
    <row r="22" spans="1:7">
      <c r="A22" s="3648"/>
      <c r="B22" s="3648"/>
      <c r="C22" s="3220" t="s">
        <v>3249</v>
      </c>
      <c r="D22" s="3210" t="s">
        <v>3228</v>
      </c>
      <c r="E22" s="3210"/>
      <c r="F22" s="3235">
        <v>0</v>
      </c>
      <c r="G22" s="3233"/>
    </row>
    <row r="23" spans="1:7">
      <c r="A23" s="3648"/>
      <c r="B23" s="3649"/>
      <c r="C23" s="3220" t="s">
        <v>3250</v>
      </c>
      <c r="D23" s="3210" t="s">
        <v>3228</v>
      </c>
      <c r="E23" s="3210"/>
      <c r="F23" s="3235">
        <v>0</v>
      </c>
      <c r="G23" s="3233"/>
    </row>
    <row r="24" spans="1:7">
      <c r="A24" s="3648"/>
      <c r="B24" s="3641" t="s">
        <v>3251</v>
      </c>
      <c r="C24" s="3641"/>
      <c r="D24" s="3210" t="s">
        <v>3232</v>
      </c>
      <c r="E24" s="3210"/>
      <c r="F24" s="3235">
        <f>[3]F组团表4!J20</f>
        <v>580</v>
      </c>
      <c r="G24" s="3233"/>
    </row>
    <row r="25" spans="1:7">
      <c r="A25" s="3648"/>
      <c r="B25" s="3641" t="s">
        <v>3252</v>
      </c>
      <c r="C25" s="3641"/>
      <c r="D25" s="3210" t="s">
        <v>3238</v>
      </c>
      <c r="E25" s="3210"/>
      <c r="F25" s="3210">
        <f>[3]F组团表4!G24+[3]F组团表4!G26</f>
        <v>19600</v>
      </c>
      <c r="G25" s="3233"/>
    </row>
    <row r="26" spans="1:7">
      <c r="A26" s="3648"/>
      <c r="B26" s="3641" t="s">
        <v>3253</v>
      </c>
      <c r="C26" s="3641"/>
      <c r="D26" s="3210" t="s">
        <v>3228</v>
      </c>
      <c r="E26" s="3210"/>
      <c r="F26" s="3210">
        <f>[3]F组团表4!G25+[3]F组团表4!G27</f>
        <v>400</v>
      </c>
      <c r="G26" s="3233"/>
    </row>
    <row r="27" spans="1:7">
      <c r="A27" s="3648"/>
      <c r="B27" s="3641" t="s">
        <v>3254</v>
      </c>
      <c r="C27" s="3641"/>
      <c r="D27" s="3210" t="s">
        <v>3238</v>
      </c>
      <c r="E27" s="3210"/>
      <c r="F27" s="3210">
        <f>[3]F组团表4!O4+[3]F组团表4!O8+[3]F组团表4!O12</f>
        <v>1470</v>
      </c>
      <c r="G27" s="3233" t="s">
        <v>3312</v>
      </c>
    </row>
    <row r="28" spans="1:7">
      <c r="A28" s="3649"/>
      <c r="B28" s="3644" t="s">
        <v>3313</v>
      </c>
      <c r="C28" s="3646"/>
      <c r="D28" s="3210" t="s">
        <v>3238</v>
      </c>
      <c r="E28" s="3210"/>
      <c r="F28" s="3210">
        <v>0</v>
      </c>
      <c r="G28" s="3233"/>
    </row>
    <row r="29" spans="1:7">
      <c r="A29" s="3641" t="s">
        <v>3258</v>
      </c>
      <c r="B29" s="3641"/>
      <c r="C29" s="3641"/>
      <c r="D29" s="3210" t="s">
        <v>3238</v>
      </c>
      <c r="E29" s="3210"/>
      <c r="F29" s="3211">
        <f>F12+F13+F24</f>
        <v>54020</v>
      </c>
      <c r="G29" s="3233"/>
    </row>
    <row r="30" spans="1:7">
      <c r="A30" s="3641" t="s">
        <v>2029</v>
      </c>
      <c r="B30" s="3641"/>
      <c r="C30" s="3641"/>
      <c r="D30" s="3210"/>
      <c r="E30" s="3210"/>
      <c r="F30" s="3211">
        <f>F29/F4</f>
        <v>2.6814721788574705</v>
      </c>
      <c r="G30" s="3210"/>
    </row>
    <row r="31" spans="1:7">
      <c r="A31" s="3641" t="s">
        <v>3259</v>
      </c>
      <c r="B31" s="3641"/>
      <c r="C31" s="3641"/>
      <c r="D31" s="3215" t="s">
        <v>3260</v>
      </c>
      <c r="E31" s="3210"/>
      <c r="F31" s="3210" t="s">
        <v>3314</v>
      </c>
      <c r="G31" s="3210" t="s">
        <v>3315</v>
      </c>
    </row>
    <row r="32" spans="1:7">
      <c r="A32" s="3641" t="s">
        <v>3262</v>
      </c>
      <c r="B32" s="3641"/>
      <c r="C32" s="3641"/>
      <c r="D32" s="3215" t="s">
        <v>3260</v>
      </c>
      <c r="E32" s="3210"/>
      <c r="F32" s="3210" t="s">
        <v>3314</v>
      </c>
      <c r="G32" s="3210" t="s">
        <v>3315</v>
      </c>
    </row>
    <row r="33" spans="1:7">
      <c r="A33" s="3641" t="s">
        <v>3263</v>
      </c>
      <c r="B33" s="3641"/>
      <c r="C33" s="3641"/>
      <c r="D33" s="3215" t="s">
        <v>3264</v>
      </c>
      <c r="E33" s="3210"/>
      <c r="F33" s="3210">
        <f>F34+F35</f>
        <v>560</v>
      </c>
      <c r="G33" s="3210"/>
    </row>
    <row r="34" spans="1:7">
      <c r="A34" s="3641" t="s">
        <v>3230</v>
      </c>
      <c r="B34" s="3641" t="s">
        <v>3316</v>
      </c>
      <c r="C34" s="3641"/>
      <c r="D34" s="3215" t="s">
        <v>3264</v>
      </c>
      <c r="E34" s="3210"/>
      <c r="F34" s="3210">
        <v>0</v>
      </c>
      <c r="G34" s="3210"/>
    </row>
    <row r="35" spans="1:7">
      <c r="A35" s="3641"/>
      <c r="B35" s="3641" t="s">
        <v>3266</v>
      </c>
      <c r="C35" s="3641"/>
      <c r="D35" s="3215" t="s">
        <v>3264</v>
      </c>
      <c r="E35" s="3210"/>
      <c r="F35" s="3210">
        <f>[3]F组团表4!L29</f>
        <v>560</v>
      </c>
      <c r="G35" s="3210"/>
    </row>
    <row r="36" spans="1:7">
      <c r="A36" s="3657" t="s">
        <v>3267</v>
      </c>
      <c r="B36" s="3657"/>
      <c r="C36" s="3657"/>
      <c r="D36" s="3223" t="s">
        <v>3317</v>
      </c>
      <c r="E36" s="3224"/>
      <c r="F36" s="3224" t="s">
        <v>3318</v>
      </c>
      <c r="G36" s="3224"/>
    </row>
    <row r="37" spans="1:7">
      <c r="A37" s="3658" t="s">
        <v>3319</v>
      </c>
      <c r="B37" s="3659"/>
      <c r="C37" s="3659"/>
      <c r="D37" s="3659"/>
      <c r="E37" s="3659"/>
      <c r="F37" s="3659"/>
      <c r="G37" s="3660"/>
    </row>
    <row r="38" spans="1:7">
      <c r="A38" s="3661" t="s">
        <v>3271</v>
      </c>
      <c r="B38" s="3662"/>
      <c r="C38" s="3662"/>
      <c r="D38" s="3662"/>
      <c r="E38" s="3662"/>
      <c r="F38" s="3662"/>
      <c r="G38" s="3663"/>
    </row>
    <row r="39" spans="1:7">
      <c r="A39" s="3661" t="s">
        <v>3272</v>
      </c>
      <c r="B39" s="3662"/>
      <c r="C39" s="3662"/>
      <c r="D39" s="3662"/>
      <c r="E39" s="3662"/>
      <c r="F39" s="3662"/>
      <c r="G39" s="3663"/>
    </row>
    <row r="40" spans="1:7">
      <c r="A40" s="3661" t="s">
        <v>3273</v>
      </c>
      <c r="B40" s="3662"/>
      <c r="C40" s="3662"/>
      <c r="D40" s="3662"/>
      <c r="E40" s="3662"/>
      <c r="F40" s="3662"/>
      <c r="G40" s="3663"/>
    </row>
    <row r="41" spans="1:7">
      <c r="A41" s="3661" t="s">
        <v>3274</v>
      </c>
      <c r="B41" s="3662"/>
      <c r="C41" s="3662"/>
      <c r="D41" s="3662"/>
      <c r="E41" s="3662"/>
      <c r="F41" s="3662"/>
      <c r="G41" s="3663"/>
    </row>
    <row r="42" spans="1:7">
      <c r="A42" s="3654" t="s">
        <v>3275</v>
      </c>
      <c r="B42" s="3655"/>
      <c r="C42" s="3655"/>
      <c r="D42" s="3655"/>
      <c r="E42" s="3655"/>
      <c r="F42" s="3655"/>
      <c r="G42" s="3656"/>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38"/>
    <col min="2" max="2" width="6.25" style="3238" customWidth="1"/>
    <col min="3" max="3" width="21.375" style="3238" customWidth="1"/>
    <col min="4" max="4" width="14.625" style="3208" customWidth="1"/>
    <col min="5" max="5" width="15.25" style="3238" customWidth="1"/>
    <col min="6" max="6" width="17.875" style="3238" customWidth="1"/>
    <col min="7" max="7" width="24.5" style="3238" customWidth="1"/>
    <col min="8" max="9" width="8.75" style="3238"/>
    <col min="10" max="10" width="22.375" style="3238" customWidth="1"/>
    <col min="11" max="16384" width="8.75" style="3238"/>
  </cols>
  <sheetData>
    <row r="1" spans="1:10" ht="16.149999999999999" customHeight="1" thickBot="1">
      <c r="A1" s="3237" t="s">
        <v>3328</v>
      </c>
      <c r="D1" s="3230"/>
    </row>
    <row r="2" spans="1:10" ht="30" customHeight="1">
      <c r="A2" s="3666" t="s">
        <v>3329</v>
      </c>
      <c r="B2" s="3667"/>
      <c r="C2" s="3667"/>
      <c r="D2" s="3667"/>
      <c r="E2" s="3667"/>
      <c r="F2" s="3667"/>
      <c r="G2" s="3668"/>
    </row>
    <row r="3" spans="1:10" ht="20.100000000000001" customHeight="1">
      <c r="A3" s="3669" t="s">
        <v>3216</v>
      </c>
      <c r="B3" s="3670"/>
      <c r="C3" s="3670"/>
      <c r="D3" s="3210" t="s">
        <v>3303</v>
      </c>
      <c r="E3" s="3239" t="s">
        <v>3218</v>
      </c>
      <c r="F3" s="3239" t="s">
        <v>3219</v>
      </c>
      <c r="G3" s="3240" t="s">
        <v>3304</v>
      </c>
    </row>
    <row r="4" spans="1:10" ht="20.100000000000001" customHeight="1">
      <c r="A4" s="3664" t="s">
        <v>3221</v>
      </c>
      <c r="B4" s="3665"/>
      <c r="C4" s="3665"/>
      <c r="D4" s="3210" t="s">
        <v>3305</v>
      </c>
      <c r="E4" s="3241">
        <v>9367.48</v>
      </c>
      <c r="F4" s="3241">
        <v>9367.48</v>
      </c>
      <c r="G4" s="3240"/>
      <c r="J4" s="3241"/>
    </row>
    <row r="5" spans="1:10" ht="20.100000000000001" customHeight="1">
      <c r="A5" s="3664" t="s">
        <v>3223</v>
      </c>
      <c r="B5" s="3665"/>
      <c r="C5" s="3665"/>
      <c r="D5" s="3213" t="s">
        <v>3224</v>
      </c>
      <c r="E5" s="3239"/>
      <c r="F5" s="3242">
        <f>[3]C组团表4!K19</f>
        <v>24</v>
      </c>
      <c r="G5" s="3243"/>
    </row>
    <row r="6" spans="1:10" ht="20.100000000000001" customHeight="1">
      <c r="A6" s="3664" t="s">
        <v>3225</v>
      </c>
      <c r="B6" s="3665"/>
      <c r="C6" s="3665"/>
      <c r="D6" s="3215" t="s">
        <v>3226</v>
      </c>
      <c r="E6" s="3239"/>
      <c r="F6" s="3244">
        <f>'[3]公共服务设施控制指标（㎡ 千人）'!F5</f>
        <v>77</v>
      </c>
      <c r="G6" s="3243"/>
    </row>
    <row r="7" spans="1:10" ht="20.100000000000001" customHeight="1">
      <c r="A7" s="3664" t="s">
        <v>3227</v>
      </c>
      <c r="B7" s="3665"/>
      <c r="C7" s="3665"/>
      <c r="D7" s="3215" t="s">
        <v>3228</v>
      </c>
      <c r="E7" s="3245"/>
      <c r="F7" s="3246">
        <f>F9+F10</f>
        <v>16042</v>
      </c>
      <c r="G7" s="3243"/>
    </row>
    <row r="8" spans="1:10" ht="20.100000000000001" customHeight="1">
      <c r="A8" s="3671" t="s">
        <v>3229</v>
      </c>
      <c r="B8" s="3672"/>
      <c r="C8" s="3673"/>
      <c r="D8" s="3215"/>
      <c r="E8" s="3245"/>
      <c r="F8" s="3246"/>
      <c r="G8" s="3243"/>
    </row>
    <row r="9" spans="1:10" ht="20.100000000000001" customHeight="1">
      <c r="A9" s="3664" t="s">
        <v>3230</v>
      </c>
      <c r="B9" s="3665" t="s">
        <v>3231</v>
      </c>
      <c r="C9" s="3665"/>
      <c r="D9" s="3210"/>
      <c r="E9" s="3245"/>
      <c r="F9" s="3246">
        <f>F12+F13+F24+F27</f>
        <v>9742</v>
      </c>
      <c r="G9" s="3243"/>
    </row>
    <row r="10" spans="1:10" ht="20.100000000000001" customHeight="1">
      <c r="A10" s="3664"/>
      <c r="B10" s="3665" t="s">
        <v>3233</v>
      </c>
      <c r="C10" s="3665"/>
      <c r="D10" s="3210" t="s">
        <v>3232</v>
      </c>
      <c r="E10" s="3245"/>
      <c r="F10" s="3246">
        <f>F25+F26</f>
        <v>6300</v>
      </c>
      <c r="G10" s="3243"/>
    </row>
    <row r="11" spans="1:10" ht="20.100000000000001" customHeight="1">
      <c r="A11" s="3671" t="s">
        <v>3234</v>
      </c>
      <c r="B11" s="3672"/>
      <c r="C11" s="3673"/>
      <c r="D11" s="3210"/>
      <c r="E11" s="3245"/>
      <c r="F11" s="3246"/>
      <c r="G11" s="3243"/>
    </row>
    <row r="12" spans="1:10" ht="20.100000000000001" customHeight="1">
      <c r="A12" s="3674"/>
      <c r="B12" s="3665" t="s">
        <v>3235</v>
      </c>
      <c r="C12" s="3665"/>
      <c r="D12" s="3210" t="s">
        <v>3232</v>
      </c>
      <c r="E12" s="3239"/>
      <c r="F12" s="3241">
        <f>[3]C组团表4!J8</f>
        <v>6512</v>
      </c>
      <c r="G12" s="3243"/>
    </row>
    <row r="13" spans="1:10" ht="20.100000000000001" customHeight="1">
      <c r="A13" s="3675"/>
      <c r="B13" s="3665" t="s">
        <v>3236</v>
      </c>
      <c r="C13" s="3665"/>
      <c r="D13" s="3210"/>
      <c r="E13" s="3239"/>
      <c r="F13" s="3246">
        <f>SUM(F14:F23)</f>
        <v>70</v>
      </c>
      <c r="G13" s="3243"/>
    </row>
    <row r="14" spans="1:10" ht="20.100000000000001" customHeight="1">
      <c r="A14" s="3675"/>
      <c r="B14" s="3677" t="s">
        <v>3230</v>
      </c>
      <c r="C14" s="3220" t="s">
        <v>3237</v>
      </c>
      <c r="D14" s="3210" t="s">
        <v>3305</v>
      </c>
      <c r="E14" s="3239"/>
      <c r="F14" s="3246">
        <v>0</v>
      </c>
      <c r="G14" s="3243"/>
    </row>
    <row r="15" spans="1:10" ht="20.100000000000001" customHeight="1">
      <c r="A15" s="3675"/>
      <c r="B15" s="3678"/>
      <c r="C15" s="3220" t="s">
        <v>3306</v>
      </c>
      <c r="D15" s="3210" t="s">
        <v>3228</v>
      </c>
      <c r="E15" s="3239"/>
      <c r="F15" s="3246">
        <v>0</v>
      </c>
      <c r="G15" s="3243"/>
    </row>
    <row r="16" spans="1:10" ht="20.100000000000001" customHeight="1">
      <c r="A16" s="3675"/>
      <c r="B16" s="3678"/>
      <c r="C16" s="3220" t="s">
        <v>3307</v>
      </c>
      <c r="D16" s="3210" t="s">
        <v>3305</v>
      </c>
      <c r="E16" s="3239"/>
      <c r="F16" s="3246">
        <v>0</v>
      </c>
      <c r="G16" s="3243"/>
    </row>
    <row r="17" spans="1:7">
      <c r="A17" s="3675"/>
      <c r="B17" s="3678"/>
      <c r="C17" s="3220" t="s">
        <v>3309</v>
      </c>
      <c r="D17" s="3210" t="s">
        <v>3305</v>
      </c>
      <c r="E17" s="3239"/>
      <c r="F17" s="3246">
        <f>[3]C组团表4!J10</f>
        <v>50</v>
      </c>
      <c r="G17" s="3243" t="s">
        <v>3330</v>
      </c>
    </row>
    <row r="18" spans="1:7">
      <c r="A18" s="3675"/>
      <c r="B18" s="3678"/>
      <c r="C18" s="3220" t="s">
        <v>3310</v>
      </c>
      <c r="D18" s="3210" t="s">
        <v>3228</v>
      </c>
      <c r="E18" s="3239"/>
      <c r="F18" s="3246">
        <f>[3]C组团表4!J11</f>
        <v>20</v>
      </c>
      <c r="G18" s="3243" t="s">
        <v>3331</v>
      </c>
    </row>
    <row r="19" spans="1:7">
      <c r="A19" s="3675"/>
      <c r="B19" s="3678"/>
      <c r="C19" s="3220" t="s">
        <v>3246</v>
      </c>
      <c r="D19" s="3210" t="s">
        <v>3232</v>
      </c>
      <c r="E19" s="3239"/>
      <c r="F19" s="3246">
        <v>0</v>
      </c>
      <c r="G19" s="3243"/>
    </row>
    <row r="20" spans="1:7">
      <c r="A20" s="3675"/>
      <c r="B20" s="3678"/>
      <c r="C20" s="3220" t="s">
        <v>3247</v>
      </c>
      <c r="D20" s="3210" t="s">
        <v>3232</v>
      </c>
      <c r="E20" s="3239"/>
      <c r="F20" s="3246">
        <v>0</v>
      </c>
      <c r="G20" s="3243"/>
    </row>
    <row r="21" spans="1:7" ht="28.5">
      <c r="A21" s="3675"/>
      <c r="B21" s="3678"/>
      <c r="C21" s="3220" t="s">
        <v>3248</v>
      </c>
      <c r="D21" s="3210" t="s">
        <v>3228</v>
      </c>
      <c r="E21" s="3239"/>
      <c r="F21" s="3246">
        <v>0</v>
      </c>
      <c r="G21" s="3243"/>
    </row>
    <row r="22" spans="1:7">
      <c r="A22" s="3675"/>
      <c r="B22" s="3678"/>
      <c r="C22" s="3220" t="s">
        <v>3249</v>
      </c>
      <c r="D22" s="3210" t="s">
        <v>3228</v>
      </c>
      <c r="E22" s="3239"/>
      <c r="F22" s="3246">
        <v>0</v>
      </c>
      <c r="G22" s="3243"/>
    </row>
    <row r="23" spans="1:7">
      <c r="A23" s="3675"/>
      <c r="B23" s="3679"/>
      <c r="C23" s="3220" t="s">
        <v>3250</v>
      </c>
      <c r="D23" s="3210" t="s">
        <v>3228</v>
      </c>
      <c r="E23" s="3239"/>
      <c r="F23" s="3246">
        <v>0</v>
      </c>
      <c r="G23" s="3243"/>
    </row>
    <row r="24" spans="1:7">
      <c r="A24" s="3675"/>
      <c r="B24" s="3665" t="s">
        <v>3251</v>
      </c>
      <c r="C24" s="3665"/>
      <c r="D24" s="3210" t="s">
        <v>3232</v>
      </c>
      <c r="E24" s="3239"/>
      <c r="F24" s="3246">
        <f>[3]C组团表4!J9+[3]C组团表4!J12+[3]C组团表4!J13</f>
        <v>3160</v>
      </c>
      <c r="G24" s="3243"/>
    </row>
    <row r="25" spans="1:7">
      <c r="A25" s="3675"/>
      <c r="B25" s="3665" t="s">
        <v>3252</v>
      </c>
      <c r="C25" s="3665"/>
      <c r="D25" s="3210" t="s">
        <v>3228</v>
      </c>
      <c r="E25" s="3239"/>
      <c r="F25" s="3239">
        <f>[3]C组团表4!G15+[3]C组团表4!G16</f>
        <v>6000</v>
      </c>
      <c r="G25" s="3243"/>
    </row>
    <row r="26" spans="1:7">
      <c r="A26" s="3675"/>
      <c r="B26" s="3665" t="s">
        <v>3253</v>
      </c>
      <c r="C26" s="3665"/>
      <c r="D26" s="3210" t="s">
        <v>3232</v>
      </c>
      <c r="E26" s="3239"/>
      <c r="F26" s="3239">
        <f>[3]C组团表4!G17</f>
        <v>300</v>
      </c>
      <c r="G26" s="3243"/>
    </row>
    <row r="27" spans="1:7">
      <c r="A27" s="3675"/>
      <c r="B27" s="3665" t="s">
        <v>3254</v>
      </c>
      <c r="C27" s="3665"/>
      <c r="D27" s="3210" t="s">
        <v>3305</v>
      </c>
      <c r="E27" s="3239"/>
      <c r="F27" s="3239">
        <v>0</v>
      </c>
      <c r="G27" s="3243"/>
    </row>
    <row r="28" spans="1:7">
      <c r="A28" s="3676"/>
      <c r="B28" s="3680" t="s">
        <v>3332</v>
      </c>
      <c r="C28" s="3673"/>
      <c r="D28" s="3210" t="s">
        <v>3305</v>
      </c>
      <c r="E28" s="3239"/>
      <c r="F28" s="3239">
        <v>0</v>
      </c>
      <c r="G28" s="3243"/>
    </row>
    <row r="29" spans="1:7">
      <c r="A29" s="3664" t="s">
        <v>3258</v>
      </c>
      <c r="B29" s="3665"/>
      <c r="C29" s="3665"/>
      <c r="D29" s="3210" t="s">
        <v>3228</v>
      </c>
      <c r="E29" s="3239"/>
      <c r="F29" s="3246">
        <f>[3]C组团表4!J19</f>
        <v>9742</v>
      </c>
      <c r="G29" s="3243"/>
    </row>
    <row r="30" spans="1:7">
      <c r="A30" s="3664" t="s">
        <v>2029</v>
      </c>
      <c r="B30" s="3665"/>
      <c r="C30" s="3665"/>
      <c r="D30" s="3210" t="s">
        <v>3305</v>
      </c>
      <c r="E30" s="3239"/>
      <c r="F30" s="3246">
        <f>F29/F4</f>
        <v>1.0399808699885136</v>
      </c>
      <c r="G30" s="3240"/>
    </row>
    <row r="31" spans="1:7">
      <c r="A31" s="3664" t="s">
        <v>3259</v>
      </c>
      <c r="B31" s="3665"/>
      <c r="C31" s="3665"/>
      <c r="D31" s="3210" t="s">
        <v>3305</v>
      </c>
      <c r="E31" s="3239"/>
      <c r="F31" s="3239" t="s">
        <v>3333</v>
      </c>
      <c r="G31" s="3240" t="s">
        <v>3334</v>
      </c>
    </row>
    <row r="32" spans="1:7">
      <c r="A32" s="3664" t="s">
        <v>3262</v>
      </c>
      <c r="B32" s="3665"/>
      <c r="C32" s="3665"/>
      <c r="D32" s="3210"/>
      <c r="E32" s="3239"/>
      <c r="F32" s="3239" t="s">
        <v>3333</v>
      </c>
      <c r="G32" s="3240" t="s">
        <v>3334</v>
      </c>
    </row>
    <row r="33" spans="1:7">
      <c r="A33" s="3664" t="s">
        <v>3263</v>
      </c>
      <c r="B33" s="3665"/>
      <c r="C33" s="3665"/>
      <c r="D33" s="3215" t="s">
        <v>3260</v>
      </c>
      <c r="E33" s="3239"/>
      <c r="F33" s="3239">
        <f>F35+F34</f>
        <v>150</v>
      </c>
      <c r="G33" s="3240"/>
    </row>
    <row r="34" spans="1:7">
      <c r="A34" s="3669" t="s">
        <v>3230</v>
      </c>
      <c r="B34" s="3665" t="s">
        <v>3335</v>
      </c>
      <c r="C34" s="3665"/>
      <c r="D34" s="3215" t="s">
        <v>3260</v>
      </c>
      <c r="E34" s="3239"/>
      <c r="F34" s="3239">
        <v>0</v>
      </c>
      <c r="G34" s="3240"/>
    </row>
    <row r="35" spans="1:7">
      <c r="A35" s="3669"/>
      <c r="B35" s="3665" t="s">
        <v>3266</v>
      </c>
      <c r="C35" s="3665"/>
      <c r="D35" s="3215" t="s">
        <v>3264</v>
      </c>
      <c r="E35" s="3239"/>
      <c r="F35" s="3239">
        <f>[3]C组团表4!L19</f>
        <v>150</v>
      </c>
      <c r="G35" s="3240"/>
    </row>
    <row r="36" spans="1:7">
      <c r="A36" s="3684" t="s">
        <v>3267</v>
      </c>
      <c r="B36" s="3685"/>
      <c r="C36" s="3685"/>
      <c r="D36" s="3247" t="s">
        <v>3264</v>
      </c>
      <c r="E36" s="3248"/>
      <c r="F36" s="3248" t="s">
        <v>3336</v>
      </c>
      <c r="G36" s="3249"/>
    </row>
    <row r="37" spans="1:7">
      <c r="A37" s="3686" t="s">
        <v>3337</v>
      </c>
      <c r="B37" s="3687"/>
      <c r="C37" s="3687"/>
      <c r="D37" s="3687"/>
      <c r="E37" s="3687"/>
      <c r="F37" s="3687"/>
      <c r="G37" s="3688"/>
    </row>
    <row r="38" spans="1:7">
      <c r="A38" s="3689" t="s">
        <v>3271</v>
      </c>
      <c r="B38" s="3690"/>
      <c r="C38" s="3690"/>
      <c r="D38" s="3690"/>
      <c r="E38" s="3690"/>
      <c r="F38" s="3690"/>
      <c r="G38" s="3691"/>
    </row>
    <row r="39" spans="1:7">
      <c r="A39" s="3689" t="s">
        <v>3272</v>
      </c>
      <c r="B39" s="3690"/>
      <c r="C39" s="3690"/>
      <c r="D39" s="3690"/>
      <c r="E39" s="3690"/>
      <c r="F39" s="3690"/>
      <c r="G39" s="3691"/>
    </row>
    <row r="40" spans="1:7">
      <c r="A40" s="3689" t="s">
        <v>3273</v>
      </c>
      <c r="B40" s="3690"/>
      <c r="C40" s="3690"/>
      <c r="D40" s="3690"/>
      <c r="E40" s="3690"/>
      <c r="F40" s="3690"/>
      <c r="G40" s="3691"/>
    </row>
    <row r="41" spans="1:7">
      <c r="A41" s="3689" t="s">
        <v>3274</v>
      </c>
      <c r="B41" s="3690"/>
      <c r="C41" s="3690"/>
      <c r="D41" s="3690"/>
      <c r="E41" s="3690"/>
      <c r="F41" s="3690"/>
      <c r="G41" s="3691"/>
    </row>
    <row r="42" spans="1:7">
      <c r="A42" s="3681" t="s">
        <v>3275</v>
      </c>
      <c r="B42" s="3682"/>
      <c r="C42" s="3682"/>
      <c r="D42" s="3682"/>
      <c r="E42" s="3682"/>
      <c r="F42" s="3682"/>
      <c r="G42" s="3683"/>
    </row>
    <row r="43" spans="1:7">
      <c r="D43" s="3238"/>
    </row>
    <row r="44" spans="1:7">
      <c r="D44" s="3238"/>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2035</v>
      </c>
      <c r="B1" s="3298"/>
      <c r="C1" s="3298"/>
      <c r="D1" s="3298"/>
      <c r="E1" s="3298"/>
      <c r="F1" s="3298"/>
      <c r="G1" s="3298"/>
      <c r="H1" s="3298"/>
      <c r="I1" s="3298"/>
      <c r="J1" s="3298"/>
      <c r="K1" s="3298"/>
      <c r="L1" s="3298"/>
      <c r="M1" s="3298"/>
      <c r="N1" s="3298"/>
      <c r="O1" s="3298"/>
      <c r="P1" s="3298"/>
      <c r="Q1" s="3298"/>
      <c r="R1" s="3298"/>
    </row>
    <row r="2" spans="1:18">
      <c r="A2" s="1789" t="s">
        <v>2037</v>
      </c>
      <c r="B2" s="1789"/>
      <c r="C2" s="1789"/>
      <c r="D2" s="1789"/>
      <c r="E2" s="1789"/>
      <c r="F2" s="1789"/>
      <c r="G2" s="1789"/>
      <c r="H2" s="1789"/>
      <c r="I2" s="1790"/>
      <c r="J2" s="1790"/>
      <c r="K2" s="1791" t="str">
        <f>"估价期日："&amp;TEXT(项目基本情况!D3,"yyyy年m月d日;;")</f>
        <v>估价期日：2019年5月17日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99" t="s">
        <v>2026</v>
      </c>
      <c r="B3" s="3299" t="s">
        <v>2727</v>
      </c>
      <c r="C3" s="3300" t="s">
        <v>2027</v>
      </c>
      <c r="D3" s="3299" t="s">
        <v>2731</v>
      </c>
      <c r="E3" s="3302" t="s">
        <v>2028</v>
      </c>
      <c r="F3" s="3302"/>
      <c r="G3" s="3302"/>
      <c r="H3" s="3302" t="s">
        <v>2029</v>
      </c>
      <c r="I3" s="3302"/>
      <c r="J3" s="3302"/>
      <c r="K3" s="3300" t="s">
        <v>2030</v>
      </c>
      <c r="L3" s="3300" t="s">
        <v>2031</v>
      </c>
      <c r="M3" s="3299" t="s">
        <v>2728</v>
      </c>
      <c r="N3" s="3301" t="str">
        <f>"（分摊）"&amp;项目基本情况!B16&amp;"国有建设用地使用权面积/㎡"</f>
        <v>（分摊）出让国有建设用地使用权面积/㎡</v>
      </c>
      <c r="O3" s="3299" t="s">
        <v>2060</v>
      </c>
      <c r="P3" s="3300" t="s">
        <v>2040</v>
      </c>
      <c r="Q3" s="3300" t="s">
        <v>2061</v>
      </c>
      <c r="R3" s="3300" t="s">
        <v>2032</v>
      </c>
    </row>
    <row r="4" spans="1:18" ht="36.75" customHeight="1">
      <c r="A4" s="3299"/>
      <c r="B4" s="3299"/>
      <c r="C4" s="3300"/>
      <c r="D4" s="3299"/>
      <c r="E4" s="2608" t="s">
        <v>2039</v>
      </c>
      <c r="F4" s="2608" t="s">
        <v>2740</v>
      </c>
      <c r="G4" s="2608" t="s">
        <v>2033</v>
      </c>
      <c r="H4" s="2608" t="s">
        <v>2034</v>
      </c>
      <c r="I4" s="2608" t="s">
        <v>2741</v>
      </c>
      <c r="J4" s="2608" t="s">
        <v>2033</v>
      </c>
      <c r="K4" s="3300"/>
      <c r="L4" s="3300"/>
      <c r="M4" s="3299"/>
      <c r="N4" s="3301"/>
      <c r="O4" s="3299"/>
      <c r="P4" s="3300"/>
      <c r="Q4" s="3300"/>
      <c r="R4" s="3300"/>
    </row>
    <row r="5" spans="1:18" ht="135" customHeight="1">
      <c r="A5" s="1925" t="s">
        <v>2651</v>
      </c>
      <c r="B5" s="2817" t="s">
        <v>2649</v>
      </c>
      <c r="C5" s="2607">
        <v>22</v>
      </c>
      <c r="D5" s="2606" t="s">
        <v>2650</v>
      </c>
      <c r="E5" s="1792" t="str">
        <f>项目基本情况!B12</f>
        <v>城镇住宅用地</v>
      </c>
      <c r="F5" s="2606">
        <v>258</v>
      </c>
      <c r="G5" s="1792" t="str">
        <f>项目基本情况!B13</f>
        <v>住宅</v>
      </c>
      <c r="H5" s="2606">
        <v>1.5</v>
      </c>
      <c r="I5" s="2606">
        <v>1.5</v>
      </c>
      <c r="J5" s="2606">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住宅33.91年</v>
      </c>
      <c r="N5" s="1792">
        <f>项目基本情况!C22</f>
        <v>22838</v>
      </c>
      <c r="O5" s="1792">
        <f>项目基本情况!C21</f>
        <v>394084</v>
      </c>
      <c r="P5" s="1792">
        <f ca="1">结果表!E42</f>
        <v>145159</v>
      </c>
      <c r="Q5" s="1792">
        <f ca="1">结果表!D42</f>
        <v>8412</v>
      </c>
      <c r="R5" s="1793">
        <f ca="1">结果表!C42</f>
        <v>331515</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94">
        <f ca="1">结果表!O39</f>
        <v>331515</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4"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08" customWidth="1"/>
    <col min="2" max="2" width="5.125" style="3208" customWidth="1"/>
    <col min="3" max="3" width="20.125" style="3208" customWidth="1"/>
    <col min="4" max="4" width="14.625" style="3208" customWidth="1"/>
    <col min="5" max="5" width="15.25" style="3208" customWidth="1"/>
    <col min="6" max="6" width="17.375" style="3208" customWidth="1"/>
    <col min="7" max="7" width="44.375" style="3208" customWidth="1"/>
    <col min="8" max="8" width="8.75" style="3208"/>
    <col min="9" max="9" width="9" style="3208" bestFit="1" customWidth="1"/>
    <col min="10" max="10" width="11.875" style="3208" customWidth="1"/>
    <col min="11" max="16384" width="8.75" style="3208"/>
  </cols>
  <sheetData>
    <row r="1" spans="1:10" ht="57">
      <c r="A1" s="3229" t="s">
        <v>3342</v>
      </c>
      <c r="B1" s="3230"/>
      <c r="C1" s="3230"/>
      <c r="D1" s="3230"/>
      <c r="E1" s="3230"/>
      <c r="F1" s="3230"/>
      <c r="G1" s="3230"/>
    </row>
    <row r="2" spans="1:10" ht="25.5">
      <c r="A2" s="3642" t="s">
        <v>3343</v>
      </c>
      <c r="B2" s="3642"/>
      <c r="C2" s="3642"/>
      <c r="D2" s="3642"/>
      <c r="E2" s="3642"/>
      <c r="F2" s="3642"/>
      <c r="G2" s="3642"/>
    </row>
    <row r="3" spans="1:10">
      <c r="A3" s="3643" t="s">
        <v>3216</v>
      </c>
      <c r="B3" s="3643"/>
      <c r="C3" s="3643"/>
      <c r="D3" s="3210" t="s">
        <v>3344</v>
      </c>
      <c r="E3" s="3210" t="s">
        <v>3218</v>
      </c>
      <c r="F3" s="3210" t="s">
        <v>3219</v>
      </c>
      <c r="G3" s="3210" t="s">
        <v>3304</v>
      </c>
    </row>
    <row r="4" spans="1:10" ht="28.5">
      <c r="A4" s="3641" t="s">
        <v>3221</v>
      </c>
      <c r="B4" s="3641"/>
      <c r="C4" s="3641"/>
      <c r="D4" s="3210" t="s">
        <v>3345</v>
      </c>
      <c r="E4" s="3231" t="s">
        <v>3346</v>
      </c>
      <c r="F4" s="3250">
        <v>22838.42</v>
      </c>
      <c r="G4" s="3210"/>
      <c r="J4" s="3250"/>
    </row>
    <row r="5" spans="1:10">
      <c r="A5" s="3641" t="s">
        <v>3223</v>
      </c>
      <c r="B5" s="3641"/>
      <c r="C5" s="3641"/>
      <c r="D5" s="3213" t="s">
        <v>3224</v>
      </c>
      <c r="E5" s="3210"/>
      <c r="F5" s="3214">
        <f>[3]E2组团表4!K36</f>
        <v>432</v>
      </c>
      <c r="G5" s="3233"/>
    </row>
    <row r="6" spans="1:10">
      <c r="A6" s="3641" t="s">
        <v>3225</v>
      </c>
      <c r="B6" s="3641"/>
      <c r="C6" s="3641"/>
      <c r="D6" s="3215" t="s">
        <v>3226</v>
      </c>
      <c r="E6" s="3210"/>
      <c r="F6" s="3214">
        <f>'[3]公共服务设施控制指标（㎡ 千人）'!F6</f>
        <v>1383</v>
      </c>
      <c r="G6" s="3233"/>
    </row>
    <row r="7" spans="1:10" ht="16.5">
      <c r="A7" s="3641" t="s">
        <v>3227</v>
      </c>
      <c r="B7" s="3641"/>
      <c r="C7" s="3641"/>
      <c r="D7" s="3215" t="s">
        <v>3228</v>
      </c>
      <c r="E7" s="3218"/>
      <c r="F7" s="3251">
        <f>F9+F10</f>
        <v>143720</v>
      </c>
      <c r="G7" s="3233"/>
    </row>
    <row r="8" spans="1:10" ht="16.5">
      <c r="A8" s="3641" t="s">
        <v>3347</v>
      </c>
      <c r="B8" s="3641"/>
      <c r="C8" s="3641"/>
      <c r="D8" s="3210"/>
      <c r="E8" s="3218"/>
      <c r="F8" s="3251"/>
      <c r="G8" s="3233"/>
    </row>
    <row r="9" spans="1:10" ht="16.5">
      <c r="A9" s="3641" t="s">
        <v>3230</v>
      </c>
      <c r="B9" s="3641" t="s">
        <v>3231</v>
      </c>
      <c r="C9" s="3641"/>
      <c r="D9" s="3210" t="s">
        <v>3348</v>
      </c>
      <c r="E9" s="3218"/>
      <c r="F9" s="3251">
        <f>F12+F13+F27</f>
        <v>70820</v>
      </c>
      <c r="G9" s="3233"/>
    </row>
    <row r="10" spans="1:10" ht="16.5">
      <c r="A10" s="3641"/>
      <c r="B10" s="3641" t="s">
        <v>3233</v>
      </c>
      <c r="C10" s="3641"/>
      <c r="D10" s="3210" t="s">
        <v>3348</v>
      </c>
      <c r="E10" s="3218"/>
      <c r="F10" s="3251">
        <f>F25+F26+F28</f>
        <v>72900</v>
      </c>
      <c r="G10" s="3233"/>
    </row>
    <row r="11" spans="1:10" ht="16.5">
      <c r="A11" s="3644" t="s">
        <v>3349</v>
      </c>
      <c r="B11" s="3645"/>
      <c r="C11" s="3646"/>
      <c r="D11" s="3210"/>
      <c r="E11" s="3218"/>
      <c r="F11" s="3251"/>
      <c r="G11" s="3233"/>
    </row>
    <row r="12" spans="1:10">
      <c r="A12" s="3647"/>
      <c r="B12" s="3641" t="s">
        <v>3235</v>
      </c>
      <c r="C12" s="3641"/>
      <c r="D12" s="3210" t="s">
        <v>3348</v>
      </c>
      <c r="E12" s="3210"/>
      <c r="F12" s="3251">
        <f>[3]E2组团表4!J6+[3]E2组团表4!J9+[3]E2组团表4!J10+[3]E2组团表4!J15+[3]E2组团表4!J19</f>
        <v>66390</v>
      </c>
      <c r="G12" s="3233"/>
    </row>
    <row r="13" spans="1:10">
      <c r="A13" s="3648"/>
      <c r="B13" s="3641" t="s">
        <v>3236</v>
      </c>
      <c r="C13" s="3641"/>
      <c r="D13" s="3210" t="s">
        <v>3348</v>
      </c>
      <c r="E13" s="3210"/>
      <c r="F13" s="3251">
        <f>SUM(F14:F23)</f>
        <v>3820</v>
      </c>
      <c r="G13" s="3233"/>
    </row>
    <row r="14" spans="1:10">
      <c r="A14" s="3648"/>
      <c r="B14" s="3647" t="s">
        <v>3230</v>
      </c>
      <c r="C14" s="3220" t="s">
        <v>3237</v>
      </c>
      <c r="D14" s="3210" t="s">
        <v>3350</v>
      </c>
      <c r="E14" s="3210"/>
      <c r="F14" s="3251">
        <f>[3]E2组团表4!J24</f>
        <v>3450</v>
      </c>
      <c r="G14" s="3233" t="s">
        <v>3351</v>
      </c>
    </row>
    <row r="15" spans="1:10">
      <c r="A15" s="3648"/>
      <c r="B15" s="3648"/>
      <c r="C15" s="3220" t="s">
        <v>3352</v>
      </c>
      <c r="D15" s="3210" t="s">
        <v>3228</v>
      </c>
      <c r="E15" s="3210"/>
      <c r="F15" s="3251">
        <v>0</v>
      </c>
      <c r="G15" s="3233"/>
    </row>
    <row r="16" spans="1:10" ht="28.5">
      <c r="A16" s="3648"/>
      <c r="B16" s="3648"/>
      <c r="C16" s="3220" t="s">
        <v>3353</v>
      </c>
      <c r="D16" s="3210" t="s">
        <v>3228</v>
      </c>
      <c r="E16" s="3210"/>
      <c r="F16" s="3251">
        <f>0</f>
        <v>0</v>
      </c>
      <c r="G16" s="3233"/>
    </row>
    <row r="17" spans="1:8">
      <c r="A17" s="3648"/>
      <c r="B17" s="3648"/>
      <c r="C17" s="3220" t="s">
        <v>3354</v>
      </c>
      <c r="D17" s="3210" t="s">
        <v>3348</v>
      </c>
      <c r="E17" s="3210"/>
      <c r="F17" s="3251">
        <f>[3]E2组团表4!J7</f>
        <v>350</v>
      </c>
      <c r="G17" s="3233" t="s">
        <v>3355</v>
      </c>
    </row>
    <row r="18" spans="1:8">
      <c r="A18" s="3648"/>
      <c r="B18" s="3648"/>
      <c r="C18" s="3220" t="s">
        <v>3356</v>
      </c>
      <c r="D18" s="3210" t="s">
        <v>3348</v>
      </c>
      <c r="E18" s="3210"/>
      <c r="F18" s="3251">
        <f>[3]E2组团表4!J8</f>
        <v>20</v>
      </c>
      <c r="G18" s="3233" t="s">
        <v>3357</v>
      </c>
    </row>
    <row r="19" spans="1:8">
      <c r="A19" s="3648"/>
      <c r="B19" s="3648"/>
      <c r="C19" s="3220" t="s">
        <v>3358</v>
      </c>
      <c r="D19" s="3210" t="s">
        <v>3228</v>
      </c>
      <c r="E19" s="3210"/>
      <c r="F19" s="3251">
        <v>0</v>
      </c>
      <c r="G19" s="3233"/>
    </row>
    <row r="20" spans="1:8">
      <c r="A20" s="3648"/>
      <c r="B20" s="3648"/>
      <c r="C20" s="3220" t="s">
        <v>3359</v>
      </c>
      <c r="D20" s="3210" t="s">
        <v>3228</v>
      </c>
      <c r="E20" s="3210"/>
      <c r="F20" s="3251">
        <v>0</v>
      </c>
      <c r="G20" s="3233"/>
    </row>
    <row r="21" spans="1:8" ht="28.5">
      <c r="A21" s="3648"/>
      <c r="B21" s="3648"/>
      <c r="C21" s="3220" t="s">
        <v>3360</v>
      </c>
      <c r="D21" s="3210" t="s">
        <v>3228</v>
      </c>
      <c r="E21" s="3210"/>
      <c r="F21" s="3251">
        <v>0</v>
      </c>
      <c r="G21" s="3233"/>
    </row>
    <row r="22" spans="1:8">
      <c r="A22" s="3648"/>
      <c r="B22" s="3648"/>
      <c r="C22" s="3220" t="s">
        <v>3361</v>
      </c>
      <c r="D22" s="3210" t="s">
        <v>3228</v>
      </c>
      <c r="E22" s="3210"/>
      <c r="F22" s="3251">
        <v>0</v>
      </c>
      <c r="G22" s="3233"/>
    </row>
    <row r="23" spans="1:8">
      <c r="A23" s="3648"/>
      <c r="B23" s="3649"/>
      <c r="C23" s="3220" t="s">
        <v>3362</v>
      </c>
      <c r="D23" s="3210" t="s">
        <v>3228</v>
      </c>
      <c r="E23" s="3210"/>
      <c r="F23" s="3251">
        <v>0</v>
      </c>
      <c r="G23" s="3233"/>
    </row>
    <row r="24" spans="1:8">
      <c r="A24" s="3648"/>
      <c r="B24" s="3641" t="s">
        <v>3251</v>
      </c>
      <c r="C24" s="3641"/>
      <c r="D24" s="3210" t="s">
        <v>3345</v>
      </c>
      <c r="E24" s="3210"/>
      <c r="F24" s="3251">
        <v>0</v>
      </c>
      <c r="G24" s="3233"/>
    </row>
    <row r="25" spans="1:8">
      <c r="A25" s="3648"/>
      <c r="B25" s="3641" t="s">
        <v>3252</v>
      </c>
      <c r="C25" s="3641"/>
      <c r="D25" s="3210" t="s">
        <v>3345</v>
      </c>
      <c r="E25" s="3210"/>
      <c r="F25" s="3251">
        <f>[3]E2组团表4!G27+[3]E2组团表4!G29+[3]E2组团表4!G31+[3]E2组团表4!G33</f>
        <v>52000</v>
      </c>
      <c r="G25" s="3233"/>
    </row>
    <row r="26" spans="1:8">
      <c r="A26" s="3648"/>
      <c r="B26" s="3641" t="s">
        <v>3253</v>
      </c>
      <c r="C26" s="3641"/>
      <c r="D26" s="3210" t="s">
        <v>3228</v>
      </c>
      <c r="E26" s="3210"/>
      <c r="F26" s="3251">
        <f>[3]E2组团表4!G28+[3]E2组团表4!G30+[3]E2组团表4!G32+[3]E2组团表4!G34</f>
        <v>900</v>
      </c>
      <c r="G26" s="3233"/>
    </row>
    <row r="27" spans="1:8">
      <c r="A27" s="3648"/>
      <c r="B27" s="3641" t="s">
        <v>3254</v>
      </c>
      <c r="C27" s="3641"/>
      <c r="D27" s="3210" t="s">
        <v>3345</v>
      </c>
      <c r="E27" s="3210"/>
      <c r="F27" s="3251">
        <f>[3]E2组团表4!O11+[3]E2组团表4!O15</f>
        <v>610</v>
      </c>
      <c r="G27" s="3233" t="s">
        <v>3363</v>
      </c>
    </row>
    <row r="28" spans="1:8">
      <c r="A28" s="3649"/>
      <c r="B28" s="3641" t="s">
        <v>3364</v>
      </c>
      <c r="C28" s="3641"/>
      <c r="D28" s="3210" t="s">
        <v>3345</v>
      </c>
      <c r="E28" s="3210"/>
      <c r="F28" s="3210">
        <f>[3]E2组团表4!G25+[3]E2组团表4!G26</f>
        <v>20000</v>
      </c>
      <c r="G28" s="3206" t="s">
        <v>3365</v>
      </c>
      <c r="H28" s="3207"/>
    </row>
    <row r="29" spans="1:8">
      <c r="A29" s="3641" t="s">
        <v>3258</v>
      </c>
      <c r="B29" s="3641"/>
      <c r="C29" s="3641"/>
      <c r="D29" s="3210" t="s">
        <v>3345</v>
      </c>
      <c r="E29" s="3210"/>
      <c r="F29" s="3251">
        <f>F12+F13+F24</f>
        <v>70210</v>
      </c>
      <c r="G29" s="3233"/>
    </row>
    <row r="30" spans="1:8">
      <c r="A30" s="3641" t="s">
        <v>2029</v>
      </c>
      <c r="B30" s="3641"/>
      <c r="C30" s="3641"/>
      <c r="D30" s="3210"/>
      <c r="E30" s="3210"/>
      <c r="F30" s="3252">
        <f>F29/F4</f>
        <v>3.0742056587101914</v>
      </c>
      <c r="G30" s="3210"/>
    </row>
    <row r="31" spans="1:8">
      <c r="A31" s="3641" t="s">
        <v>3259</v>
      </c>
      <c r="B31" s="3641"/>
      <c r="C31" s="3641"/>
      <c r="D31" s="3215" t="s">
        <v>3260</v>
      </c>
      <c r="E31" s="3210"/>
      <c r="F31" s="3210" t="s">
        <v>3366</v>
      </c>
      <c r="G31" s="3210" t="s">
        <v>3367</v>
      </c>
    </row>
    <row r="32" spans="1:8">
      <c r="A32" s="3641" t="s">
        <v>3262</v>
      </c>
      <c r="B32" s="3641"/>
      <c r="C32" s="3641"/>
      <c r="D32" s="3215" t="s">
        <v>3260</v>
      </c>
      <c r="E32" s="3210"/>
      <c r="F32" s="3210" t="s">
        <v>3366</v>
      </c>
      <c r="G32" s="3210" t="s">
        <v>3367</v>
      </c>
    </row>
    <row r="33" spans="1:7">
      <c r="A33" s="3641" t="s">
        <v>3263</v>
      </c>
      <c r="B33" s="3641"/>
      <c r="C33" s="3641"/>
      <c r="D33" s="3215" t="s">
        <v>3264</v>
      </c>
      <c r="E33" s="3210"/>
      <c r="F33" s="3210">
        <f>F34+F35</f>
        <v>1580</v>
      </c>
      <c r="G33" s="3210"/>
    </row>
    <row r="34" spans="1:7">
      <c r="A34" s="3641" t="s">
        <v>3230</v>
      </c>
      <c r="B34" s="3641" t="s">
        <v>3368</v>
      </c>
      <c r="C34" s="3641"/>
      <c r="D34" s="3215" t="s">
        <v>3264</v>
      </c>
      <c r="E34" s="3210"/>
      <c r="F34" s="3210">
        <v>0</v>
      </c>
      <c r="G34" s="3210"/>
    </row>
    <row r="35" spans="1:7">
      <c r="A35" s="3641"/>
      <c r="B35" s="3641" t="s">
        <v>3266</v>
      </c>
      <c r="C35" s="3641"/>
      <c r="D35" s="3215" t="s">
        <v>3264</v>
      </c>
      <c r="E35" s="3210"/>
      <c r="F35" s="3210">
        <f>[3]E2组团表4!L36</f>
        <v>1580</v>
      </c>
      <c r="G35" s="3210"/>
    </row>
    <row r="36" spans="1:7">
      <c r="A36" s="3657" t="s">
        <v>3267</v>
      </c>
      <c r="B36" s="3657"/>
      <c r="C36" s="3657"/>
      <c r="D36" s="3223" t="s">
        <v>3369</v>
      </c>
      <c r="E36" s="3224"/>
      <c r="F36" s="3224" t="s">
        <v>3370</v>
      </c>
      <c r="G36" s="3224"/>
    </row>
    <row r="37" spans="1:7">
      <c r="A37" s="3658" t="s">
        <v>3371</v>
      </c>
      <c r="B37" s="3659"/>
      <c r="C37" s="3659"/>
      <c r="D37" s="3659"/>
      <c r="E37" s="3659"/>
      <c r="F37" s="3659"/>
      <c r="G37" s="3660"/>
    </row>
    <row r="38" spans="1:7">
      <c r="A38" s="3661" t="s">
        <v>3271</v>
      </c>
      <c r="B38" s="3662"/>
      <c r="C38" s="3662"/>
      <c r="D38" s="3662"/>
      <c r="E38" s="3662"/>
      <c r="F38" s="3662"/>
      <c r="G38" s="3663"/>
    </row>
    <row r="39" spans="1:7">
      <c r="A39" s="3661" t="s">
        <v>3272</v>
      </c>
      <c r="B39" s="3662"/>
      <c r="C39" s="3662"/>
      <c r="D39" s="3662"/>
      <c r="E39" s="3662"/>
      <c r="F39" s="3662"/>
      <c r="G39" s="3663"/>
    </row>
    <row r="40" spans="1:7">
      <c r="A40" s="3661" t="s">
        <v>3273</v>
      </c>
      <c r="B40" s="3662"/>
      <c r="C40" s="3662"/>
      <c r="D40" s="3662"/>
      <c r="E40" s="3662"/>
      <c r="F40" s="3662"/>
      <c r="G40" s="3663"/>
    </row>
    <row r="41" spans="1:7">
      <c r="A41" s="3661" t="s">
        <v>3274</v>
      </c>
      <c r="B41" s="3662"/>
      <c r="C41" s="3662"/>
      <c r="D41" s="3662"/>
      <c r="E41" s="3662"/>
      <c r="F41" s="3662"/>
      <c r="G41" s="3663"/>
    </row>
    <row r="42" spans="1:7">
      <c r="A42" s="3654" t="s">
        <v>3275</v>
      </c>
      <c r="B42" s="3655"/>
      <c r="C42" s="3655"/>
      <c r="D42" s="3655"/>
      <c r="E42" s="3655"/>
      <c r="F42" s="3655"/>
      <c r="G42" s="3656"/>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08" customWidth="1"/>
    <col min="2" max="2" width="5.125" style="3208" customWidth="1"/>
    <col min="3" max="3" width="22.75" style="3208" customWidth="1"/>
    <col min="4" max="4" width="11.125" style="3208" customWidth="1"/>
    <col min="5" max="5" width="11.25" style="3208" customWidth="1"/>
    <col min="6" max="6" width="17.25" style="3208" customWidth="1"/>
    <col min="7" max="7" width="36.25" style="3208" customWidth="1"/>
    <col min="8" max="8" width="10.5" style="3208" customWidth="1"/>
    <col min="9" max="9" width="9.75" style="3208" customWidth="1"/>
    <col min="10" max="10" width="12.75" style="3208" customWidth="1"/>
    <col min="11" max="12" width="9.375" style="3208" customWidth="1"/>
    <col min="13" max="13" width="9.625" style="3208" customWidth="1"/>
    <col min="14" max="14" width="9.875" style="3208" customWidth="1"/>
    <col min="15" max="16384" width="8.75" style="3208"/>
  </cols>
  <sheetData>
    <row r="1" spans="1:16" ht="42.75">
      <c r="A1" s="3205" t="s">
        <v>3376</v>
      </c>
      <c r="B1" s="3206"/>
      <c r="C1" s="3206"/>
      <c r="D1" s="3206"/>
      <c r="E1" s="3206"/>
      <c r="F1" s="3206"/>
      <c r="G1" s="3206"/>
      <c r="H1" s="3207"/>
    </row>
    <row r="2" spans="1:16" ht="25.5">
      <c r="A2" s="3642" t="s">
        <v>3377</v>
      </c>
      <c r="B2" s="3642"/>
      <c r="C2" s="3642"/>
      <c r="D2" s="3642"/>
      <c r="E2" s="3642"/>
      <c r="F2" s="3642"/>
      <c r="G2" s="3642"/>
      <c r="H2" s="3209"/>
    </row>
    <row r="3" spans="1:16">
      <c r="A3" s="3643" t="s">
        <v>3216</v>
      </c>
      <c r="B3" s="3643"/>
      <c r="C3" s="3643"/>
      <c r="D3" s="3210" t="s">
        <v>3378</v>
      </c>
      <c r="E3" s="3210" t="s">
        <v>3218</v>
      </c>
      <c r="F3" s="3210" t="s">
        <v>3219</v>
      </c>
      <c r="G3" s="3210" t="s">
        <v>3379</v>
      </c>
      <c r="H3" s="3209"/>
    </row>
    <row r="4" spans="1:16">
      <c r="A4" s="3641" t="s">
        <v>3221</v>
      </c>
      <c r="B4" s="3641"/>
      <c r="C4" s="3641"/>
      <c r="D4" s="3210" t="s">
        <v>3380</v>
      </c>
      <c r="E4" s="3231">
        <v>30322.45</v>
      </c>
      <c r="F4" s="3231">
        <v>30322.45</v>
      </c>
      <c r="G4" s="3231"/>
      <c r="H4" s="3212"/>
      <c r="J4" s="3231"/>
    </row>
    <row r="5" spans="1:16">
      <c r="A5" s="3641" t="s">
        <v>3223</v>
      </c>
      <c r="B5" s="3641"/>
      <c r="C5" s="3641"/>
      <c r="D5" s="3213" t="s">
        <v>3224</v>
      </c>
      <c r="E5" s="3210"/>
      <c r="F5" s="3254">
        <f>[3]B组团表4!K46</f>
        <v>1692</v>
      </c>
      <c r="G5" s="3206"/>
      <c r="H5" s="3207"/>
    </row>
    <row r="6" spans="1:16">
      <c r="A6" s="3641" t="s">
        <v>3225</v>
      </c>
      <c r="B6" s="3641"/>
      <c r="C6" s="3641"/>
      <c r="D6" s="3215" t="s">
        <v>3226</v>
      </c>
      <c r="E6" s="3210"/>
      <c r="F6" s="3255">
        <f>'[3]公共服务设施控制指标（㎡ 千人）'!F3</f>
        <v>5415</v>
      </c>
      <c r="G6" s="3206"/>
      <c r="H6" s="3207"/>
      <c r="I6" s="3217"/>
    </row>
    <row r="7" spans="1:16" ht="16.5">
      <c r="A7" s="3641" t="s">
        <v>3227</v>
      </c>
      <c r="B7" s="3641"/>
      <c r="C7" s="3641"/>
      <c r="D7" s="3215" t="s">
        <v>3228</v>
      </c>
      <c r="E7" s="3218"/>
      <c r="F7" s="3211">
        <f>F9+F10</f>
        <v>289250</v>
      </c>
      <c r="G7" s="3206"/>
      <c r="H7" s="3207"/>
    </row>
    <row r="8" spans="1:16" ht="16.5">
      <c r="A8" s="3644" t="s">
        <v>3381</v>
      </c>
      <c r="B8" s="3645"/>
      <c r="C8" s="3646"/>
      <c r="D8" s="3210"/>
      <c r="E8" s="3218"/>
      <c r="F8" s="3211"/>
      <c r="G8" s="3206"/>
      <c r="H8" s="3207"/>
    </row>
    <row r="9" spans="1:16" ht="16.5">
      <c r="A9" s="3641" t="s">
        <v>3230</v>
      </c>
      <c r="B9" s="3641" t="s">
        <v>3231</v>
      </c>
      <c r="C9" s="3641"/>
      <c r="D9" s="3210" t="s">
        <v>3382</v>
      </c>
      <c r="E9" s="3218"/>
      <c r="F9" s="3211">
        <f>F12+F13+F24+F27</f>
        <v>194300</v>
      </c>
      <c r="G9" s="3206"/>
      <c r="H9" s="3207"/>
    </row>
    <row r="10" spans="1:16" ht="16.5">
      <c r="A10" s="3641"/>
      <c r="B10" s="3641" t="s">
        <v>3233</v>
      </c>
      <c r="C10" s="3641"/>
      <c r="D10" s="3210" t="s">
        <v>3382</v>
      </c>
      <c r="E10" s="3218"/>
      <c r="F10" s="3211">
        <f>F25+F26+F28</f>
        <v>94950</v>
      </c>
      <c r="G10" s="3206"/>
      <c r="H10" s="3207"/>
    </row>
    <row r="11" spans="1:16" ht="16.5">
      <c r="A11" s="3644" t="s">
        <v>3383</v>
      </c>
      <c r="B11" s="3645"/>
      <c r="C11" s="3646"/>
      <c r="D11" s="3210"/>
      <c r="E11" s="3218"/>
      <c r="F11" s="3211"/>
      <c r="G11" s="3206"/>
      <c r="H11" s="3207"/>
    </row>
    <row r="12" spans="1:16">
      <c r="A12" s="3647"/>
      <c r="B12" s="3650" t="s">
        <v>3235</v>
      </c>
      <c r="C12" s="3650"/>
      <c r="D12" s="3210" t="s">
        <v>3382</v>
      </c>
      <c r="E12" s="3210"/>
      <c r="F12" s="3211">
        <f>[3]B组团表4!J4+[3]B组团表4!J5+[3]B组团表4!J6+[3]B组团表4!J8+[3]B组团表4!J9+[3]B组团表4!J10+[3]B组团表4!J12+[3]B组团表4!J13+[3]B组团表4!J14+[3]B组团表4!J16+[3]B组团表4!J19+[3]B组团表4!J20</f>
        <v>177110</v>
      </c>
      <c r="G12" s="3219"/>
      <c r="H12" s="3207"/>
    </row>
    <row r="13" spans="1:16">
      <c r="A13" s="3648"/>
      <c r="B13" s="3650" t="s">
        <v>3236</v>
      </c>
      <c r="C13" s="3650"/>
      <c r="D13" s="3210" t="s">
        <v>3382</v>
      </c>
      <c r="E13" s="3210"/>
      <c r="F13" s="3211">
        <f>SUM(F14:F23)</f>
        <v>875</v>
      </c>
      <c r="G13" s="3206"/>
      <c r="H13" s="3207"/>
      <c r="J13" s="3217"/>
      <c r="K13" s="3217"/>
      <c r="L13" s="3217"/>
      <c r="M13" s="3217"/>
      <c r="N13" s="3217"/>
      <c r="O13" s="3217"/>
      <c r="P13" s="3217"/>
    </row>
    <row r="14" spans="1:16">
      <c r="A14" s="3648"/>
      <c r="B14" s="3651" t="s">
        <v>3230</v>
      </c>
      <c r="C14" s="3220" t="s">
        <v>3237</v>
      </c>
      <c r="D14" s="3210" t="s">
        <v>3232</v>
      </c>
      <c r="E14" s="3210"/>
      <c r="F14" s="3211">
        <v>0</v>
      </c>
      <c r="G14" s="3206"/>
      <c r="H14" s="3207"/>
      <c r="J14" s="3217"/>
      <c r="K14" s="3217"/>
      <c r="L14" s="3217"/>
      <c r="M14" s="3217"/>
      <c r="N14" s="3217"/>
      <c r="O14" s="3217"/>
      <c r="P14" s="3217"/>
    </row>
    <row r="15" spans="1:16">
      <c r="A15" s="3648"/>
      <c r="B15" s="3652"/>
      <c r="C15" s="3220" t="s">
        <v>3384</v>
      </c>
      <c r="D15" s="3210" t="s">
        <v>3228</v>
      </c>
      <c r="E15" s="3210"/>
      <c r="F15" s="3211">
        <v>0</v>
      </c>
      <c r="G15" s="3206"/>
      <c r="H15" s="3207"/>
      <c r="J15" s="3217"/>
      <c r="K15" s="3217"/>
      <c r="L15" s="3217"/>
      <c r="M15" s="3217"/>
      <c r="N15" s="3217"/>
      <c r="O15" s="3217"/>
      <c r="P15" s="3217"/>
    </row>
    <row r="16" spans="1:16">
      <c r="A16" s="3648"/>
      <c r="B16" s="3652"/>
      <c r="C16" s="3220" t="s">
        <v>3385</v>
      </c>
      <c r="D16" s="3210" t="s">
        <v>3228</v>
      </c>
      <c r="E16" s="3210"/>
      <c r="F16" s="3211">
        <v>0</v>
      </c>
      <c r="G16" s="3206"/>
      <c r="H16" s="3207"/>
      <c r="J16" s="3217"/>
      <c r="K16" s="3217"/>
      <c r="L16" s="3217"/>
      <c r="M16" s="3217"/>
      <c r="N16" s="3217"/>
      <c r="O16" s="3217"/>
      <c r="P16" s="3217"/>
    </row>
    <row r="17" spans="1:16">
      <c r="A17" s="3648"/>
      <c r="B17" s="3652"/>
      <c r="C17" s="3220" t="s">
        <v>3386</v>
      </c>
      <c r="D17" s="3210" t="s">
        <v>3232</v>
      </c>
      <c r="E17" s="3210"/>
      <c r="F17" s="3211">
        <f>[3]B组团表4!J17</f>
        <v>770</v>
      </c>
      <c r="G17" s="3206" t="s">
        <v>3387</v>
      </c>
      <c r="H17" s="3222"/>
      <c r="J17" s="3217"/>
      <c r="K17" s="3217"/>
      <c r="L17" s="3217"/>
      <c r="M17" s="3217"/>
      <c r="N17" s="3217"/>
      <c r="O17" s="3217"/>
      <c r="P17" s="3217"/>
    </row>
    <row r="18" spans="1:16">
      <c r="A18" s="3648"/>
      <c r="B18" s="3652"/>
      <c r="C18" s="3220" t="s">
        <v>3388</v>
      </c>
      <c r="D18" s="3210" t="s">
        <v>3382</v>
      </c>
      <c r="E18" s="3210"/>
      <c r="F18" s="3211">
        <f>[3]B组团表4!J18+[3]B组团表4!J24+[3]B组团表4!J26+[3]B组团表4!J28</f>
        <v>105</v>
      </c>
      <c r="G18" s="3206" t="s">
        <v>3389</v>
      </c>
      <c r="H18" s="3207"/>
      <c r="J18" s="3217"/>
      <c r="K18" s="3217"/>
      <c r="L18" s="3217"/>
      <c r="M18" s="3217"/>
      <c r="N18" s="3217"/>
      <c r="O18" s="3217"/>
      <c r="P18" s="3217"/>
    </row>
    <row r="19" spans="1:16">
      <c r="A19" s="3648"/>
      <c r="B19" s="3652"/>
      <c r="C19" s="3220" t="s">
        <v>3390</v>
      </c>
      <c r="D19" s="3210" t="s">
        <v>3228</v>
      </c>
      <c r="E19" s="3210"/>
      <c r="F19" s="3211">
        <v>0</v>
      </c>
      <c r="G19" s="3206"/>
      <c r="H19" s="3207"/>
      <c r="J19" s="3217"/>
      <c r="K19" s="3217"/>
      <c r="L19" s="3217"/>
      <c r="M19" s="3217"/>
      <c r="N19" s="3217"/>
      <c r="O19" s="3217"/>
      <c r="P19" s="3217"/>
    </row>
    <row r="20" spans="1:16">
      <c r="A20" s="3648"/>
      <c r="B20" s="3652"/>
      <c r="C20" s="3220" t="s">
        <v>3391</v>
      </c>
      <c r="D20" s="3210" t="s">
        <v>3228</v>
      </c>
      <c r="E20" s="3210"/>
      <c r="F20" s="3211">
        <v>0</v>
      </c>
      <c r="G20" s="3206"/>
      <c r="H20" s="3207"/>
      <c r="J20" s="3217"/>
      <c r="K20" s="3217"/>
      <c r="L20" s="3217"/>
      <c r="M20" s="3217"/>
      <c r="N20" s="3217"/>
      <c r="O20" s="3217"/>
      <c r="P20" s="3217"/>
    </row>
    <row r="21" spans="1:16" ht="28.5">
      <c r="A21" s="3648"/>
      <c r="B21" s="3652"/>
      <c r="C21" s="3220" t="s">
        <v>3392</v>
      </c>
      <c r="D21" s="3210" t="s">
        <v>3228</v>
      </c>
      <c r="E21" s="3210"/>
      <c r="F21" s="3211">
        <v>0</v>
      </c>
      <c r="G21" s="3206"/>
      <c r="H21" s="3207"/>
      <c r="J21" s="3217"/>
      <c r="K21" s="3217"/>
      <c r="L21" s="3217"/>
      <c r="M21" s="3217"/>
      <c r="N21" s="3217"/>
      <c r="O21" s="3217"/>
      <c r="P21" s="3217"/>
    </row>
    <row r="22" spans="1:16">
      <c r="A22" s="3648"/>
      <c r="B22" s="3652"/>
      <c r="C22" s="3220" t="s">
        <v>3393</v>
      </c>
      <c r="D22" s="3210" t="s">
        <v>3228</v>
      </c>
      <c r="E22" s="3210"/>
      <c r="F22" s="3211">
        <v>0</v>
      </c>
      <c r="G22" s="3206"/>
      <c r="H22" s="3207"/>
      <c r="J22" s="3217"/>
      <c r="K22" s="3217"/>
      <c r="L22" s="3217"/>
      <c r="M22" s="3217"/>
      <c r="N22" s="3217"/>
      <c r="O22" s="3217"/>
      <c r="P22" s="3217"/>
    </row>
    <row r="23" spans="1:16">
      <c r="A23" s="3648"/>
      <c r="B23" s="3653"/>
      <c r="C23" s="3220" t="s">
        <v>3394</v>
      </c>
      <c r="D23" s="3210" t="s">
        <v>3228</v>
      </c>
      <c r="E23" s="3210"/>
      <c r="F23" s="3211">
        <v>0</v>
      </c>
      <c r="G23" s="3206"/>
      <c r="H23" s="3207"/>
      <c r="J23" s="3217"/>
      <c r="K23" s="3217"/>
      <c r="L23" s="3217"/>
      <c r="M23" s="3217"/>
      <c r="N23" s="3217"/>
      <c r="O23" s="3217"/>
      <c r="P23" s="3217"/>
    </row>
    <row r="24" spans="1:16">
      <c r="A24" s="3648"/>
      <c r="B24" s="3650" t="s">
        <v>3251</v>
      </c>
      <c r="C24" s="3650"/>
      <c r="D24" s="3210" t="s">
        <v>3382</v>
      </c>
      <c r="E24" s="3210"/>
      <c r="F24" s="3211">
        <f>[3]B组团表4!J22+[3]B组团表4!J23+[3]B组团表4!J25+[3]B组团表4!J27+[3]B组团表4!J29</f>
        <v>12665</v>
      </c>
      <c r="G24" s="3206"/>
      <c r="H24" s="3207"/>
      <c r="J24" s="3217"/>
      <c r="K24" s="3217"/>
      <c r="L24" s="3217"/>
      <c r="M24" s="3217"/>
      <c r="N24" s="3217"/>
      <c r="O24" s="3217"/>
      <c r="P24" s="3217"/>
    </row>
    <row r="25" spans="1:16">
      <c r="A25" s="3648"/>
      <c r="B25" s="3650" t="s">
        <v>3252</v>
      </c>
      <c r="C25" s="3650"/>
      <c r="D25" s="3210" t="s">
        <v>3382</v>
      </c>
      <c r="E25" s="3210"/>
      <c r="F25" s="3210">
        <f>[3]B组团表4!G31+[3]B组团表4!G33+[3]B组团表4!G37+[3]B组团表4!G39+[3]B组团表4!G41+[3]B组团表4!G35+[3]B组团表4!G43</f>
        <v>93700</v>
      </c>
      <c r="G25" s="3206"/>
      <c r="H25" s="3207"/>
    </row>
    <row r="26" spans="1:16">
      <c r="A26" s="3648"/>
      <c r="B26" s="3650" t="s">
        <v>3253</v>
      </c>
      <c r="C26" s="3650"/>
      <c r="D26" s="3210" t="s">
        <v>3228</v>
      </c>
      <c r="E26" s="3210"/>
      <c r="F26" s="3210">
        <f>[3]B组团表4!G32+[3]B组团表4!G34+[3]B组团表4!G38+[3]B组团表4!G40+[3]B组团表4!G42+[3]B组团表4!G44+[3]B组团表4!G36</f>
        <v>1250</v>
      </c>
      <c r="G26" s="3206"/>
      <c r="H26" s="3207"/>
    </row>
    <row r="27" spans="1:16" ht="28.5">
      <c r="A27" s="3648"/>
      <c r="B27" s="3650" t="s">
        <v>3254</v>
      </c>
      <c r="C27" s="3650"/>
      <c r="D27" s="3210" t="s">
        <v>3382</v>
      </c>
      <c r="E27" s="3210"/>
      <c r="F27" s="3210">
        <f>[3]B组团表4!P7+[3]B组团表4!P11+[3]B组团表4!P15+[3]B组团表4!P21</f>
        <v>3650</v>
      </c>
      <c r="G27" s="3210" t="s">
        <v>3395</v>
      </c>
      <c r="H27" s="3207"/>
    </row>
    <row r="28" spans="1:16">
      <c r="A28" s="3649"/>
      <c r="B28" s="3641" t="s">
        <v>3396</v>
      </c>
      <c r="C28" s="3641"/>
      <c r="D28" s="3210" t="s">
        <v>3382</v>
      </c>
      <c r="E28" s="3210"/>
      <c r="F28" s="3210">
        <v>0</v>
      </c>
      <c r="G28" s="3206"/>
      <c r="H28" s="3207"/>
    </row>
    <row r="29" spans="1:16">
      <c r="A29" s="3641" t="s">
        <v>3258</v>
      </c>
      <c r="B29" s="3641"/>
      <c r="C29" s="3641"/>
      <c r="D29" s="3210" t="s">
        <v>3382</v>
      </c>
      <c r="E29" s="3210"/>
      <c r="F29" s="3211">
        <f>F12+F13+F24</f>
        <v>190650</v>
      </c>
      <c r="G29" s="3206"/>
      <c r="H29" s="3207"/>
    </row>
    <row r="30" spans="1:16">
      <c r="A30" s="3641" t="s">
        <v>2029</v>
      </c>
      <c r="B30" s="3641"/>
      <c r="C30" s="3641"/>
      <c r="D30" s="3210"/>
      <c r="E30" s="3210"/>
      <c r="F30" s="3211">
        <f>F29/F4</f>
        <v>6.2874207064402778</v>
      </c>
      <c r="G30" s="3210"/>
      <c r="H30" s="3212"/>
    </row>
    <row r="31" spans="1:16">
      <c r="A31" s="3641" t="s">
        <v>3259</v>
      </c>
      <c r="B31" s="3641"/>
      <c r="C31" s="3641"/>
      <c r="D31" s="3215" t="s">
        <v>3260</v>
      </c>
      <c r="E31" s="3210"/>
      <c r="F31" s="3210" t="s">
        <v>3397</v>
      </c>
      <c r="G31" s="3210" t="s">
        <v>3398</v>
      </c>
      <c r="H31" s="3212"/>
    </row>
    <row r="32" spans="1:16">
      <c r="A32" s="3641" t="s">
        <v>3262</v>
      </c>
      <c r="B32" s="3641"/>
      <c r="C32" s="3641"/>
      <c r="D32" s="3215" t="s">
        <v>3260</v>
      </c>
      <c r="E32" s="3210"/>
      <c r="F32" s="3210" t="s">
        <v>3397</v>
      </c>
      <c r="G32" s="3210" t="s">
        <v>3398</v>
      </c>
      <c r="H32" s="3212"/>
    </row>
    <row r="33" spans="1:8">
      <c r="A33" s="3641" t="s">
        <v>3263</v>
      </c>
      <c r="B33" s="3641"/>
      <c r="C33" s="3641"/>
      <c r="D33" s="3215" t="s">
        <v>3264</v>
      </c>
      <c r="E33" s="3210"/>
      <c r="F33" s="3210">
        <f>F34+F35</f>
        <v>2283</v>
      </c>
      <c r="G33" s="3210"/>
      <c r="H33" s="3212"/>
    </row>
    <row r="34" spans="1:8">
      <c r="A34" s="3641" t="s">
        <v>3230</v>
      </c>
      <c r="B34" s="3641" t="s">
        <v>3399</v>
      </c>
      <c r="C34" s="3641"/>
      <c r="D34" s="3215" t="s">
        <v>3264</v>
      </c>
      <c r="E34" s="3210"/>
      <c r="F34" s="3210">
        <v>0</v>
      </c>
      <c r="G34" s="3210"/>
      <c r="H34" s="3212"/>
    </row>
    <row r="35" spans="1:8">
      <c r="A35" s="3641"/>
      <c r="B35" s="3641" t="s">
        <v>3266</v>
      </c>
      <c r="C35" s="3641"/>
      <c r="D35" s="3215" t="s">
        <v>3264</v>
      </c>
      <c r="E35" s="3210"/>
      <c r="F35" s="3210">
        <f>[3]B组团表4!L46</f>
        <v>2283</v>
      </c>
      <c r="G35" s="3206"/>
      <c r="H35" s="3207"/>
    </row>
    <row r="36" spans="1:8">
      <c r="A36" s="3657" t="s">
        <v>3267</v>
      </c>
      <c r="B36" s="3657"/>
      <c r="C36" s="3657"/>
      <c r="D36" s="3223" t="s">
        <v>3400</v>
      </c>
      <c r="E36" s="3224"/>
      <c r="F36" s="3256" t="s">
        <v>3401</v>
      </c>
      <c r="G36" s="3224"/>
      <c r="H36" s="3212"/>
    </row>
    <row r="37" spans="1:8">
      <c r="A37" s="3658" t="s">
        <v>3402</v>
      </c>
      <c r="B37" s="3659"/>
      <c r="C37" s="3659"/>
      <c r="D37" s="3659"/>
      <c r="E37" s="3659"/>
      <c r="F37" s="3659"/>
      <c r="G37" s="3660"/>
      <c r="H37" s="3225"/>
    </row>
    <row r="38" spans="1:8">
      <c r="A38" s="3661" t="s">
        <v>3271</v>
      </c>
      <c r="B38" s="3662"/>
      <c r="C38" s="3662"/>
      <c r="D38" s="3662"/>
      <c r="E38" s="3662"/>
      <c r="F38" s="3662"/>
      <c r="G38" s="3663"/>
      <c r="H38" s="3225"/>
    </row>
    <row r="39" spans="1:8">
      <c r="A39" s="3661" t="s">
        <v>3272</v>
      </c>
      <c r="B39" s="3662"/>
      <c r="C39" s="3662"/>
      <c r="D39" s="3662"/>
      <c r="E39" s="3662"/>
      <c r="F39" s="3662"/>
      <c r="G39" s="3663"/>
      <c r="H39" s="3225"/>
    </row>
    <row r="40" spans="1:8">
      <c r="A40" s="3661" t="s">
        <v>3273</v>
      </c>
      <c r="B40" s="3662"/>
      <c r="C40" s="3662"/>
      <c r="D40" s="3662"/>
      <c r="E40" s="3662"/>
      <c r="F40" s="3662"/>
      <c r="G40" s="3663"/>
      <c r="H40" s="3225"/>
    </row>
    <row r="41" spans="1:8">
      <c r="A41" s="3661" t="s">
        <v>3274</v>
      </c>
      <c r="B41" s="3662"/>
      <c r="C41" s="3662"/>
      <c r="D41" s="3662"/>
      <c r="E41" s="3662"/>
      <c r="F41" s="3662"/>
      <c r="G41" s="3663"/>
      <c r="H41" s="3225"/>
    </row>
    <row r="42" spans="1:8">
      <c r="A42" s="3654" t="s">
        <v>3275</v>
      </c>
      <c r="B42" s="3655"/>
      <c r="C42" s="3655"/>
      <c r="D42" s="3655"/>
      <c r="E42" s="3655"/>
      <c r="F42" s="3655"/>
      <c r="G42" s="3656"/>
      <c r="H42" s="322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4" workbookViewId="0">
      <selection activeCell="F27" sqref="F27"/>
    </sheetView>
  </sheetViews>
  <sheetFormatPr defaultColWidth="8.75" defaultRowHeight="14.25"/>
  <cols>
    <col min="1" max="1" width="5.875" style="3208" customWidth="1"/>
    <col min="2" max="2" width="5.125" style="3208" customWidth="1"/>
    <col min="3" max="3" width="21.75" style="3208" customWidth="1"/>
    <col min="4" max="4" width="14.625" style="3208" customWidth="1"/>
    <col min="5" max="5" width="15.25" style="3208" customWidth="1"/>
    <col min="6" max="6" width="17.875" style="3208" customWidth="1"/>
    <col min="7" max="7" width="36.5" style="3208" customWidth="1"/>
    <col min="8" max="9" width="8.75" style="3208"/>
    <col min="10" max="10" width="11.625" style="3208" customWidth="1"/>
    <col min="11" max="11" width="8.75" style="3208"/>
    <col min="12" max="12" width="20.75" style="3208" customWidth="1"/>
    <col min="13" max="13" width="19.5" style="3208" customWidth="1"/>
    <col min="14" max="14" width="13.75" style="3208" customWidth="1"/>
    <col min="15" max="15" width="10.375" style="3208" customWidth="1"/>
    <col min="16" max="16" width="11.125" style="3208" customWidth="1"/>
    <col min="17" max="16384" width="8.75" style="3208"/>
  </cols>
  <sheetData>
    <row r="1" spans="1:17" ht="57">
      <c r="A1" s="3229" t="s">
        <v>3301</v>
      </c>
      <c r="B1" s="3230"/>
      <c r="C1" s="3230"/>
      <c r="D1" s="3230"/>
      <c r="E1" s="3230"/>
      <c r="F1" s="3230"/>
      <c r="G1" s="3230"/>
    </row>
    <row r="2" spans="1:17" ht="25.5">
      <c r="A2" s="3642" t="s">
        <v>3403</v>
      </c>
      <c r="B2" s="3642"/>
      <c r="C2" s="3642"/>
      <c r="D2" s="3642"/>
      <c r="E2" s="3642"/>
      <c r="F2" s="3642"/>
      <c r="G2" s="3642"/>
    </row>
    <row r="3" spans="1:17">
      <c r="A3" s="3643" t="s">
        <v>3216</v>
      </c>
      <c r="B3" s="3643"/>
      <c r="C3" s="3643"/>
      <c r="D3" s="3210" t="s">
        <v>3303</v>
      </c>
      <c r="E3" s="3210" t="s">
        <v>3218</v>
      </c>
      <c r="F3" s="3210" t="s">
        <v>3219</v>
      </c>
      <c r="G3" s="3210" t="s">
        <v>3304</v>
      </c>
      <c r="I3" s="3207"/>
      <c r="J3" s="3207"/>
      <c r="K3" s="3207"/>
      <c r="L3" s="3207"/>
      <c r="M3" s="3207"/>
      <c r="N3" s="3207"/>
      <c r="O3" s="3207"/>
      <c r="P3" s="3207"/>
      <c r="Q3" s="3207"/>
    </row>
    <row r="4" spans="1:17" ht="18.75">
      <c r="A4" s="3641" t="s">
        <v>3221</v>
      </c>
      <c r="B4" s="3641"/>
      <c r="C4" s="3641"/>
      <c r="D4" s="3210" t="s">
        <v>3305</v>
      </c>
      <c r="E4" s="3235">
        <v>33664.449999999997</v>
      </c>
      <c r="F4" s="3231">
        <v>33664.449999999997</v>
      </c>
      <c r="G4" s="3210"/>
      <c r="I4" s="3207"/>
      <c r="J4" s="3232"/>
      <c r="K4" s="3207"/>
      <c r="L4" s="3257"/>
      <c r="M4" s="3207"/>
      <c r="N4" s="3207"/>
      <c r="O4" s="3207"/>
      <c r="P4" s="3207"/>
      <c r="Q4" s="3207"/>
    </row>
    <row r="5" spans="1:17" ht="18.75">
      <c r="A5" s="3641" t="s">
        <v>3223</v>
      </c>
      <c r="B5" s="3641"/>
      <c r="C5" s="3641"/>
      <c r="D5" s="3213" t="s">
        <v>3224</v>
      </c>
      <c r="E5" s="3210"/>
      <c r="F5" s="3258">
        <f>[3]G组团表4!K44</f>
        <v>168</v>
      </c>
      <c r="G5" s="3233"/>
      <c r="I5" s="3207"/>
      <c r="J5" s="3207"/>
      <c r="K5" s="3207"/>
      <c r="L5" s="3207"/>
      <c r="M5" s="3207"/>
      <c r="N5" s="3259"/>
      <c r="O5" s="3207"/>
      <c r="P5" s="3207"/>
      <c r="Q5" s="3207"/>
    </row>
    <row r="6" spans="1:17">
      <c r="A6" s="3641" t="s">
        <v>3225</v>
      </c>
      <c r="B6" s="3641"/>
      <c r="C6" s="3641"/>
      <c r="D6" s="3215" t="s">
        <v>3226</v>
      </c>
      <c r="E6" s="3210"/>
      <c r="F6" s="3260">
        <f>'[3]公共服务设施控制指标（㎡ 千人）'!F4</f>
        <v>538</v>
      </c>
      <c r="G6" s="3233"/>
      <c r="I6" s="3207"/>
      <c r="J6" s="3207"/>
      <c r="K6" s="3207"/>
      <c r="L6" s="3207"/>
      <c r="M6" s="3207"/>
      <c r="N6" s="3207"/>
      <c r="O6" s="3207"/>
      <c r="P6" s="3207"/>
      <c r="Q6" s="3207"/>
    </row>
    <row r="7" spans="1:17" ht="16.5">
      <c r="A7" s="3641" t="s">
        <v>3227</v>
      </c>
      <c r="B7" s="3641"/>
      <c r="C7" s="3641"/>
      <c r="D7" s="3215" t="s">
        <v>3228</v>
      </c>
      <c r="E7" s="3218"/>
      <c r="F7" s="3210">
        <f>F9+F10</f>
        <v>158537</v>
      </c>
      <c r="G7" s="3233"/>
      <c r="I7" s="3207"/>
      <c r="J7" s="3207"/>
      <c r="K7" s="3207"/>
      <c r="L7" s="3207"/>
      <c r="M7" s="3207"/>
      <c r="N7" s="3207"/>
      <c r="O7" s="3207"/>
      <c r="P7" s="3207"/>
      <c r="Q7" s="3207"/>
    </row>
    <row r="8" spans="1:17" ht="16.5">
      <c r="A8" s="3641" t="s">
        <v>3347</v>
      </c>
      <c r="B8" s="3641"/>
      <c r="C8" s="3641"/>
      <c r="D8" s="3210"/>
      <c r="E8" s="3218"/>
      <c r="F8" s="3210"/>
      <c r="G8" s="3233"/>
      <c r="I8" s="3207"/>
      <c r="J8" s="3207"/>
      <c r="K8" s="3207"/>
      <c r="L8" s="3207"/>
      <c r="M8" s="3207"/>
      <c r="N8" s="3207"/>
      <c r="O8" s="3207"/>
      <c r="P8" s="3207"/>
      <c r="Q8" s="3207"/>
    </row>
    <row r="9" spans="1:17" ht="18.75">
      <c r="A9" s="3641" t="s">
        <v>3230</v>
      </c>
      <c r="B9" s="3641" t="s">
        <v>3231</v>
      </c>
      <c r="C9" s="3641"/>
      <c r="D9" s="3210" t="s">
        <v>3348</v>
      </c>
      <c r="E9" s="3218"/>
      <c r="F9" s="3210">
        <f>F12+F13+F24+F27</f>
        <v>91337</v>
      </c>
      <c r="G9" s="3233"/>
      <c r="I9" s="3207"/>
      <c r="J9" s="3207"/>
      <c r="K9" s="3692"/>
      <c r="L9" s="3692"/>
      <c r="M9" s="3692"/>
      <c r="N9" s="3261"/>
      <c r="O9" s="3262"/>
      <c r="P9" s="3262"/>
      <c r="Q9" s="3207"/>
    </row>
    <row r="10" spans="1:17" ht="18.75">
      <c r="A10" s="3641"/>
      <c r="B10" s="3641" t="s">
        <v>3233</v>
      </c>
      <c r="C10" s="3641"/>
      <c r="D10" s="3210" t="s">
        <v>3348</v>
      </c>
      <c r="E10" s="3218"/>
      <c r="F10" s="3210">
        <f>F26+F25</f>
        <v>67200</v>
      </c>
      <c r="G10" s="3233"/>
      <c r="I10" s="3207"/>
      <c r="J10" s="3207"/>
      <c r="K10" s="3692"/>
      <c r="L10" s="3692"/>
      <c r="M10" s="3692"/>
      <c r="N10" s="3257"/>
      <c r="O10" s="3261"/>
      <c r="P10" s="3261"/>
      <c r="Q10" s="3207"/>
    </row>
    <row r="11" spans="1:17" ht="18.75">
      <c r="A11" s="3644" t="s">
        <v>3349</v>
      </c>
      <c r="B11" s="3645"/>
      <c r="C11" s="3646"/>
      <c r="D11" s="3210"/>
      <c r="E11" s="3218"/>
      <c r="F11" s="3211"/>
      <c r="G11" s="3233"/>
      <c r="I11" s="3207"/>
      <c r="J11" s="3207"/>
      <c r="K11" s="3693"/>
      <c r="L11" s="3693"/>
      <c r="M11" s="3263"/>
      <c r="N11" s="3257"/>
      <c r="O11" s="3257"/>
      <c r="P11" s="3257"/>
      <c r="Q11" s="3207"/>
    </row>
    <row r="12" spans="1:17" ht="18.75">
      <c r="A12" s="3647"/>
      <c r="B12" s="3641" t="s">
        <v>3235</v>
      </c>
      <c r="C12" s="3641"/>
      <c r="D12" s="3210" t="s">
        <v>3348</v>
      </c>
      <c r="E12" s="3210"/>
      <c r="F12" s="3231">
        <f>[3]G组团表4!J16+[3]G组团表4!J19+[3]G组团表4!J20</f>
        <v>26525</v>
      </c>
      <c r="G12" s="3233"/>
      <c r="I12" s="3207"/>
      <c r="J12" s="3207"/>
      <c r="K12" s="3694"/>
      <c r="L12" s="3693"/>
      <c r="M12" s="3257"/>
      <c r="N12" s="3257"/>
      <c r="O12" s="3257"/>
      <c r="P12" s="3257"/>
      <c r="Q12" s="3207"/>
    </row>
    <row r="13" spans="1:17" ht="18.75">
      <c r="A13" s="3648"/>
      <c r="B13" s="3641" t="s">
        <v>3236</v>
      </c>
      <c r="C13" s="3641"/>
      <c r="D13" s="3210" t="s">
        <v>3348</v>
      </c>
      <c r="E13" s="3210"/>
      <c r="F13" s="3210">
        <f>SUM(F14:F23)</f>
        <v>1685</v>
      </c>
      <c r="G13" s="3233"/>
      <c r="I13" s="3207"/>
      <c r="J13" s="3207"/>
      <c r="K13" s="3694"/>
      <c r="L13" s="3693"/>
      <c r="M13" s="3257"/>
      <c r="N13" s="3257"/>
      <c r="O13" s="3257"/>
      <c r="P13" s="3257"/>
      <c r="Q13" s="3207"/>
    </row>
    <row r="14" spans="1:17" ht="18.75">
      <c r="A14" s="3648"/>
      <c r="B14" s="3647" t="s">
        <v>3230</v>
      </c>
      <c r="C14" s="3220" t="s">
        <v>3237</v>
      </c>
      <c r="D14" s="3210" t="s">
        <v>3404</v>
      </c>
      <c r="E14" s="3210"/>
      <c r="F14" s="3210">
        <v>0</v>
      </c>
      <c r="G14" s="3233"/>
      <c r="I14" s="3207"/>
      <c r="J14" s="3207"/>
      <c r="K14" s="3694"/>
      <c r="L14" s="3693"/>
      <c r="M14" s="3257"/>
      <c r="N14" s="3257"/>
      <c r="O14" s="3257"/>
      <c r="P14" s="3257"/>
      <c r="Q14" s="3207"/>
    </row>
    <row r="15" spans="1:17" ht="18.75">
      <c r="A15" s="3648"/>
      <c r="B15" s="3648"/>
      <c r="C15" s="3220" t="s">
        <v>3405</v>
      </c>
      <c r="D15" s="3210" t="s">
        <v>3404</v>
      </c>
      <c r="E15" s="3210"/>
      <c r="F15" s="3210">
        <v>0</v>
      </c>
      <c r="G15" s="3233"/>
      <c r="I15" s="3207"/>
      <c r="J15" s="3207"/>
      <c r="K15" s="3694"/>
      <c r="L15" s="3693"/>
      <c r="M15" s="3257"/>
      <c r="N15" s="3257"/>
      <c r="O15" s="3257"/>
      <c r="P15" s="3257"/>
      <c r="Q15" s="3207"/>
    </row>
    <row r="16" spans="1:17" ht="18.75">
      <c r="A16" s="3648"/>
      <c r="B16" s="3648"/>
      <c r="C16" s="3220" t="s">
        <v>3406</v>
      </c>
      <c r="D16" s="3210" t="s">
        <v>3228</v>
      </c>
      <c r="E16" s="3210"/>
      <c r="F16" s="3210">
        <v>0</v>
      </c>
      <c r="G16" s="3233"/>
      <c r="I16" s="3207"/>
      <c r="J16" s="3207"/>
      <c r="K16" s="3694"/>
      <c r="L16" s="3257"/>
      <c r="M16" s="3257"/>
      <c r="N16" s="3257"/>
      <c r="O16" s="3257"/>
      <c r="P16" s="3257"/>
      <c r="Q16" s="3207"/>
    </row>
    <row r="17" spans="1:17" ht="18.75">
      <c r="A17" s="3648"/>
      <c r="B17" s="3648"/>
      <c r="C17" s="3220" t="s">
        <v>3407</v>
      </c>
      <c r="D17" s="3210" t="s">
        <v>3404</v>
      </c>
      <c r="E17" s="3210"/>
      <c r="F17" s="3210">
        <f>[3]G组团表4!J17</f>
        <v>465</v>
      </c>
      <c r="G17" s="3233" t="s">
        <v>3408</v>
      </c>
      <c r="I17" s="3207"/>
      <c r="J17" s="3207"/>
      <c r="K17" s="3694"/>
      <c r="L17" s="3257"/>
      <c r="M17" s="3207"/>
      <c r="N17" s="3257"/>
      <c r="O17" s="3261"/>
      <c r="P17" s="3261"/>
      <c r="Q17" s="3207"/>
    </row>
    <row r="18" spans="1:17" ht="18.75">
      <c r="A18" s="3648"/>
      <c r="B18" s="3648"/>
      <c r="C18" s="3220" t="s">
        <v>3356</v>
      </c>
      <c r="D18" s="3210" t="s">
        <v>3348</v>
      </c>
      <c r="E18" s="3210"/>
      <c r="F18" s="3210">
        <f>[3]G组团表4!J18+[3]G组团表4!J26+[3]G组团表4!J28</f>
        <v>60</v>
      </c>
      <c r="G18" s="3233" t="s">
        <v>3408</v>
      </c>
      <c r="I18" s="3207"/>
      <c r="J18" s="3207"/>
      <c r="K18" s="3694"/>
      <c r="L18" s="3257"/>
      <c r="M18" s="3257"/>
      <c r="N18" s="3257"/>
      <c r="O18" s="3257"/>
      <c r="P18" s="3257"/>
      <c r="Q18" s="3207"/>
    </row>
    <row r="19" spans="1:17" ht="18.75">
      <c r="A19" s="3648"/>
      <c r="B19" s="3648"/>
      <c r="C19" s="3220" t="s">
        <v>3409</v>
      </c>
      <c r="D19" s="3210" t="s">
        <v>3228</v>
      </c>
      <c r="E19" s="3210"/>
      <c r="F19" s="3210">
        <v>0</v>
      </c>
      <c r="G19" s="3233"/>
      <c r="I19" s="3207"/>
      <c r="J19" s="3207"/>
      <c r="K19" s="3694"/>
      <c r="L19" s="3257"/>
      <c r="M19" s="3257"/>
      <c r="N19" s="3257"/>
      <c r="O19" s="3257"/>
      <c r="P19" s="3257"/>
      <c r="Q19" s="3207"/>
    </row>
    <row r="20" spans="1:17" ht="18.75">
      <c r="A20" s="3648"/>
      <c r="B20" s="3648"/>
      <c r="C20" s="3220" t="s">
        <v>3410</v>
      </c>
      <c r="D20" s="3210" t="s">
        <v>3228</v>
      </c>
      <c r="E20" s="3210"/>
      <c r="F20" s="3210">
        <v>0</v>
      </c>
      <c r="G20" s="3233"/>
      <c r="I20" s="3207"/>
      <c r="J20" s="3207"/>
      <c r="K20" s="3694"/>
      <c r="L20" s="3257"/>
      <c r="M20" s="3257"/>
      <c r="N20" s="3257"/>
      <c r="O20" s="3257"/>
      <c r="P20" s="3257"/>
      <c r="Q20" s="3207"/>
    </row>
    <row r="21" spans="1:17" ht="28.5">
      <c r="A21" s="3648"/>
      <c r="B21" s="3648"/>
      <c r="C21" s="3220" t="s">
        <v>3411</v>
      </c>
      <c r="D21" s="3210" t="s">
        <v>3228</v>
      </c>
      <c r="E21" s="3210"/>
      <c r="F21" s="3210">
        <f>[3]G组团表4!J24</f>
        <v>100</v>
      </c>
      <c r="G21" s="3233"/>
      <c r="I21" s="3207"/>
      <c r="J21" s="3207"/>
      <c r="K21" s="3692"/>
      <c r="L21" s="3692"/>
      <c r="M21" s="3263"/>
      <c r="N21" s="3257"/>
      <c r="O21" s="3257"/>
      <c r="P21" s="3257"/>
      <c r="Q21" s="3207"/>
    </row>
    <row r="22" spans="1:17" ht="18.75">
      <c r="A22" s="3648"/>
      <c r="B22" s="3648"/>
      <c r="C22" s="3220" t="s">
        <v>3412</v>
      </c>
      <c r="D22" s="3210" t="s">
        <v>3348</v>
      </c>
      <c r="E22" s="3210"/>
      <c r="F22" s="3210">
        <f>[3]G组团表4!J23</f>
        <v>500</v>
      </c>
      <c r="G22" s="3233"/>
      <c r="I22" s="3207"/>
      <c r="J22" s="3207"/>
      <c r="K22" s="3693"/>
      <c r="L22" s="3693"/>
      <c r="M22" s="3257"/>
      <c r="N22" s="3257"/>
      <c r="O22" s="3257"/>
      <c r="P22" s="3261"/>
      <c r="Q22" s="3207"/>
    </row>
    <row r="23" spans="1:17">
      <c r="A23" s="3648"/>
      <c r="B23" s="3649"/>
      <c r="C23" s="3220" t="s">
        <v>3362</v>
      </c>
      <c r="D23" s="3210" t="s">
        <v>3345</v>
      </c>
      <c r="E23" s="3210"/>
      <c r="F23" s="3210">
        <f>[3]G组团表4!J30</f>
        <v>560</v>
      </c>
      <c r="G23" s="3233"/>
      <c r="I23" s="3207"/>
      <c r="J23" s="3207"/>
      <c r="K23" s="3207"/>
      <c r="L23" s="3207"/>
      <c r="M23" s="3207"/>
      <c r="N23" s="3207"/>
      <c r="O23" s="3207"/>
      <c r="P23" s="3207"/>
      <c r="Q23" s="3207"/>
    </row>
    <row r="24" spans="1:17">
      <c r="A24" s="3648"/>
      <c r="B24" s="3641" t="s">
        <v>3251</v>
      </c>
      <c r="C24" s="3641"/>
      <c r="D24" s="3210" t="s">
        <v>3345</v>
      </c>
      <c r="E24" s="3210"/>
      <c r="F24" s="3231">
        <f>[3]G组团表4!J4+[3]G组团表4!J5+[3]G组团表4!J6+[3]G组团表4!J7+[3]G组团表4!J8+[3]G组团表4!J10+[3]G组团表4!J11+[3]G组团表4!J12+[3]G组团表4!J13+[3]G组团表4!J15+[3]G组团表4!J22+[3]G组团表4!J25+[3]G组团表4!J27+[3]G组团表4!J29+[3]G组团表4!J31+[3]G组团表4!J32+[3]G组团表4!J33</f>
        <v>62147</v>
      </c>
      <c r="G24" s="3233"/>
      <c r="I24" s="3207"/>
      <c r="J24" s="3207"/>
      <c r="K24" s="3207"/>
      <c r="L24" s="3207"/>
      <c r="M24" s="3207"/>
      <c r="N24" s="3207"/>
      <c r="O24" s="3207"/>
      <c r="P24" s="3207"/>
      <c r="Q24" s="3207"/>
    </row>
    <row r="25" spans="1:17">
      <c r="A25" s="3648"/>
      <c r="B25" s="3641" t="s">
        <v>3252</v>
      </c>
      <c r="C25" s="3641"/>
      <c r="D25" s="3210" t="s">
        <v>3345</v>
      </c>
      <c r="E25" s="3210"/>
      <c r="F25" s="3231">
        <f>[3]G组团表4!G35+[3]G组团表4!G37+[3]G组团表4!G39+[3]G组团表4!G41</f>
        <v>66100</v>
      </c>
      <c r="G25" s="3233"/>
      <c r="I25" s="3207"/>
      <c r="J25" s="3207"/>
      <c r="K25" s="3207"/>
      <c r="L25" s="3207"/>
      <c r="M25" s="3207"/>
      <c r="N25" s="3207"/>
      <c r="O25" s="3207"/>
      <c r="P25" s="3207"/>
      <c r="Q25" s="3207"/>
    </row>
    <row r="26" spans="1:17">
      <c r="A26" s="3648"/>
      <c r="B26" s="3641" t="s">
        <v>3253</v>
      </c>
      <c r="C26" s="3641"/>
      <c r="D26" s="3210" t="s">
        <v>3228</v>
      </c>
      <c r="E26" s="3210"/>
      <c r="F26" s="3210">
        <f>[3]G组团表4!G36+[3]G组团表4!G38+[3]G组团表4!G40+[3]G组团表4!G42</f>
        <v>1100</v>
      </c>
      <c r="G26" s="3233"/>
      <c r="I26" s="3207"/>
      <c r="J26" s="3207"/>
      <c r="K26" s="3207"/>
      <c r="L26" s="3207"/>
      <c r="M26" s="3207"/>
      <c r="N26" s="3207"/>
      <c r="O26" s="3207"/>
      <c r="P26" s="3207"/>
      <c r="Q26" s="3207"/>
    </row>
    <row r="27" spans="1:17">
      <c r="A27" s="3648"/>
      <c r="B27" s="3641" t="s">
        <v>3254</v>
      </c>
      <c r="C27" s="3641"/>
      <c r="D27" s="3210" t="s">
        <v>3345</v>
      </c>
      <c r="E27" s="3210"/>
      <c r="F27" s="3210">
        <f>[3]G组团表4!O16</f>
        <v>980</v>
      </c>
      <c r="G27" s="3210" t="s">
        <v>3413</v>
      </c>
      <c r="I27" s="3207"/>
      <c r="J27" s="3207"/>
      <c r="K27" s="3207"/>
      <c r="L27" s="3207"/>
      <c r="M27" s="3207"/>
      <c r="N27" s="3207"/>
      <c r="O27" s="3207"/>
      <c r="P27" s="3207"/>
      <c r="Q27" s="3207"/>
    </row>
    <row r="28" spans="1:17">
      <c r="A28" s="3649"/>
      <c r="B28" s="3644" t="s">
        <v>3364</v>
      </c>
      <c r="C28" s="3646"/>
      <c r="D28" s="3210" t="s">
        <v>3345</v>
      </c>
      <c r="E28" s="3210"/>
      <c r="F28" s="3210">
        <v>0</v>
      </c>
      <c r="G28" s="3233"/>
      <c r="I28" s="3207"/>
      <c r="J28" s="3207"/>
      <c r="K28" s="3207"/>
      <c r="L28" s="3207"/>
      <c r="M28" s="3207"/>
      <c r="N28" s="3207"/>
      <c r="O28" s="3207"/>
      <c r="P28" s="3207"/>
      <c r="Q28" s="3207"/>
    </row>
    <row r="29" spans="1:17" ht="18.75">
      <c r="A29" s="3641" t="s">
        <v>3258</v>
      </c>
      <c r="B29" s="3641"/>
      <c r="C29" s="3641"/>
      <c r="D29" s="3210" t="s">
        <v>3345</v>
      </c>
      <c r="E29" s="3210"/>
      <c r="F29" s="3210">
        <f>F12+F13+F24</f>
        <v>90357</v>
      </c>
      <c r="G29" s="3233"/>
      <c r="I29" s="3207"/>
      <c r="J29" s="3207"/>
      <c r="K29" s="3207"/>
      <c r="L29" s="3257"/>
      <c r="M29" s="3257"/>
      <c r="N29" s="3262"/>
      <c r="O29" s="3262"/>
      <c r="P29" s="3207"/>
      <c r="Q29" s="3207"/>
    </row>
    <row r="30" spans="1:17">
      <c r="A30" s="3641" t="s">
        <v>2029</v>
      </c>
      <c r="B30" s="3641"/>
      <c r="C30" s="3641"/>
      <c r="D30" s="3210"/>
      <c r="E30" s="3210"/>
      <c r="F30" s="3211">
        <f>F29/F4</f>
        <v>2.6840480091015895</v>
      </c>
      <c r="G30" s="3210"/>
      <c r="I30" s="3207"/>
      <c r="J30" s="3207"/>
      <c r="K30" s="3207"/>
      <c r="L30" s="3207"/>
      <c r="M30" s="3207"/>
      <c r="N30" s="3207"/>
      <c r="O30" s="3207"/>
      <c r="P30" s="3207"/>
      <c r="Q30" s="3207"/>
    </row>
    <row r="31" spans="1:17">
      <c r="A31" s="3641" t="s">
        <v>3259</v>
      </c>
      <c r="B31" s="3641"/>
      <c r="C31" s="3641"/>
      <c r="D31" s="3215" t="s">
        <v>3260</v>
      </c>
      <c r="E31" s="3210"/>
      <c r="F31" s="3210" t="s">
        <v>3366</v>
      </c>
      <c r="G31" s="3210" t="s">
        <v>3367</v>
      </c>
      <c r="I31" s="3207"/>
      <c r="J31" s="3207"/>
      <c r="K31" s="3207"/>
      <c r="L31" s="3207"/>
      <c r="M31" s="3207"/>
      <c r="N31" s="3207"/>
      <c r="O31" s="3207"/>
      <c r="P31" s="3207"/>
      <c r="Q31" s="3207"/>
    </row>
    <row r="32" spans="1:17">
      <c r="A32" s="3641" t="s">
        <v>3262</v>
      </c>
      <c r="B32" s="3641"/>
      <c r="C32" s="3641"/>
      <c r="D32" s="3215" t="s">
        <v>3260</v>
      </c>
      <c r="E32" s="3210"/>
      <c r="F32" s="3210" t="s">
        <v>3366</v>
      </c>
      <c r="G32" s="3210" t="s">
        <v>3367</v>
      </c>
    </row>
    <row r="33" spans="1:7">
      <c r="A33" s="3641" t="s">
        <v>3263</v>
      </c>
      <c r="B33" s="3641"/>
      <c r="C33" s="3641"/>
      <c r="D33" s="3215" t="s">
        <v>3264</v>
      </c>
      <c r="E33" s="3210"/>
      <c r="F33" s="3210">
        <f>F34+F35</f>
        <v>1660</v>
      </c>
      <c r="G33" s="3210"/>
    </row>
    <row r="34" spans="1:7">
      <c r="A34" s="3641" t="s">
        <v>3230</v>
      </c>
      <c r="B34" s="3641" t="s">
        <v>3368</v>
      </c>
      <c r="C34" s="3641"/>
      <c r="D34" s="3215" t="s">
        <v>3264</v>
      </c>
      <c r="E34" s="3210"/>
      <c r="F34" s="3210">
        <v>0</v>
      </c>
      <c r="G34" s="3210"/>
    </row>
    <row r="35" spans="1:7">
      <c r="A35" s="3641"/>
      <c r="B35" s="3641" t="s">
        <v>3266</v>
      </c>
      <c r="C35" s="3641"/>
      <c r="D35" s="3215" t="s">
        <v>3264</v>
      </c>
      <c r="E35" s="3210"/>
      <c r="F35" s="3210">
        <f>[3]G组团表4!L44</f>
        <v>1660</v>
      </c>
      <c r="G35" s="3210"/>
    </row>
    <row r="36" spans="1:7">
      <c r="A36" s="3657" t="s">
        <v>3267</v>
      </c>
      <c r="B36" s="3657"/>
      <c r="C36" s="3657"/>
      <c r="D36" s="3223" t="s">
        <v>3369</v>
      </c>
      <c r="E36" s="3224"/>
      <c r="F36" s="3224" t="s">
        <v>3414</v>
      </c>
      <c r="G36" s="3224"/>
    </row>
    <row r="37" spans="1:7">
      <c r="A37" s="3658" t="s">
        <v>3371</v>
      </c>
      <c r="B37" s="3659"/>
      <c r="C37" s="3659"/>
      <c r="D37" s="3659"/>
      <c r="E37" s="3659"/>
      <c r="F37" s="3659"/>
      <c r="G37" s="3660"/>
    </row>
    <row r="38" spans="1:7">
      <c r="A38" s="3661" t="s">
        <v>3271</v>
      </c>
      <c r="B38" s="3662"/>
      <c r="C38" s="3662"/>
      <c r="D38" s="3662"/>
      <c r="E38" s="3662"/>
      <c r="F38" s="3662"/>
      <c r="G38" s="3663"/>
    </row>
    <row r="39" spans="1:7">
      <c r="A39" s="3661" t="s">
        <v>3272</v>
      </c>
      <c r="B39" s="3662"/>
      <c r="C39" s="3662"/>
      <c r="D39" s="3662"/>
      <c r="E39" s="3662"/>
      <c r="F39" s="3662"/>
      <c r="G39" s="3663"/>
    </row>
    <row r="40" spans="1:7">
      <c r="A40" s="3661" t="s">
        <v>3273</v>
      </c>
      <c r="B40" s="3662"/>
      <c r="C40" s="3662"/>
      <c r="D40" s="3662"/>
      <c r="E40" s="3662"/>
      <c r="F40" s="3662"/>
      <c r="G40" s="3663"/>
    </row>
    <row r="41" spans="1:7">
      <c r="A41" s="3661" t="s">
        <v>3274</v>
      </c>
      <c r="B41" s="3662"/>
      <c r="C41" s="3662"/>
      <c r="D41" s="3662"/>
      <c r="E41" s="3662"/>
      <c r="F41" s="3662"/>
      <c r="G41" s="3663"/>
    </row>
    <row r="42" spans="1:7">
      <c r="A42" s="3654" t="s">
        <v>3275</v>
      </c>
      <c r="B42" s="3655"/>
      <c r="C42" s="3655"/>
      <c r="D42" s="3655"/>
      <c r="E42" s="3655"/>
      <c r="F42" s="3655"/>
      <c r="G42" s="3656"/>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303" t="s">
        <v>2062</v>
      </c>
      <c r="B1" s="3303"/>
      <c r="C1" s="3303"/>
      <c r="D1" s="3303"/>
    </row>
    <row r="2" spans="1:4" ht="47.25" customHeight="1">
      <c r="A2" s="3307" t="str">
        <f>"1.权利限制："&amp;项目基本情况!L24&amp;"未设定租赁等其他他项权利。"</f>
        <v>1.权利限制：根据估价对象《不动产权证书》复印件、，截至估价期日，估价对象已设定抵押。未设定租赁等其他他项权利。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2063</v>
      </c>
      <c r="B5" s="3306"/>
      <c r="C5" s="3306"/>
      <c r="D5" s="3306"/>
    </row>
    <row r="6" spans="1:4">
      <c r="A6" s="3303" t="s">
        <v>2041</v>
      </c>
      <c r="B6" s="3303"/>
      <c r="C6" s="3303"/>
      <c r="D6" s="3303"/>
    </row>
    <row r="7" spans="1:4" ht="33" customHeight="1">
      <c r="A7" s="3303" t="s">
        <v>2572</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6" t="s">
        <v>2065</v>
      </c>
      <c r="B12" s="3306"/>
      <c r="C12" s="3306"/>
      <c r="D12" s="3306"/>
    </row>
    <row r="13" spans="1:4">
      <c r="A13" s="3304" t="s">
        <v>2742</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2698</v>
      </c>
      <c r="B17" s="3303"/>
      <c r="C17" s="3303"/>
      <c r="D17" s="3303"/>
    </row>
    <row r="18" spans="1:4">
      <c r="A18" s="3303" t="s">
        <v>2690</v>
      </c>
      <c r="B18" s="3303"/>
      <c r="C18" s="3303"/>
      <c r="D18" s="3303"/>
    </row>
    <row r="19" spans="1:4">
      <c r="A19" s="2818" t="s">
        <v>2691</v>
      </c>
      <c r="B19" s="2818" t="s">
        <v>2692</v>
      </c>
      <c r="C19" s="2818" t="s">
        <v>2693</v>
      </c>
      <c r="D19" s="2818" t="s">
        <v>2694</v>
      </c>
    </row>
    <row r="20" spans="1:4">
      <c r="A20" s="2818" t="str">
        <f>项目基本情况!B4</f>
        <v>王鹏</v>
      </c>
      <c r="B20" s="2818">
        <f ca="1">项目基本情况!C4</f>
        <v>2002110030</v>
      </c>
      <c r="C20" s="2820"/>
      <c r="D20" s="1782" t="s">
        <v>2699</v>
      </c>
    </row>
    <row r="21" spans="1:4">
      <c r="A21" s="2818" t="str">
        <f>项目基本情况!D4</f>
        <v>郑燚</v>
      </c>
      <c r="B21" s="2818">
        <f ca="1">项目基本情况!E4</f>
        <v>2014110011</v>
      </c>
      <c r="C21" s="2820"/>
      <c r="D21" s="1782" t="s">
        <v>2700</v>
      </c>
    </row>
    <row r="23" spans="1:4">
      <c r="A23" s="3303" t="s">
        <v>2695</v>
      </c>
      <c r="B23" s="3303"/>
      <c r="C23" s="3303"/>
      <c r="D23" s="3303"/>
    </row>
    <row r="24" spans="1:4">
      <c r="A24" s="2818" t="s">
        <v>2691</v>
      </c>
      <c r="B24" s="2818" t="s">
        <v>2696</v>
      </c>
      <c r="C24" s="2818" t="s">
        <v>2693</v>
      </c>
      <c r="D24" s="2818" t="s">
        <v>2694</v>
      </c>
    </row>
    <row r="25" spans="1:4">
      <c r="A25" s="2821" t="s">
        <v>2697</v>
      </c>
      <c r="B25" s="2818" t="s">
        <v>951</v>
      </c>
      <c r="C25" s="2820"/>
      <c r="D25" s="1782" t="s">
        <v>2700</v>
      </c>
    </row>
    <row r="29" spans="1:4">
      <c r="D29" s="2819" t="s">
        <v>2036</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15" t="s">
        <v>53</v>
      </c>
      <c r="B15" s="3316" t="s">
        <v>845</v>
      </c>
      <c r="C15" s="3312"/>
    </row>
    <row r="16" spans="1:7" ht="14.25">
      <c r="A16" s="3315"/>
      <c r="B16" s="3313" t="s">
        <v>54</v>
      </c>
      <c r="C16" s="1167" t="s">
        <v>53</v>
      </c>
    </row>
    <row r="17" spans="1:3" ht="14.25">
      <c r="A17" s="3315"/>
      <c r="B17" s="3313"/>
      <c r="C17" s="1167" t="s">
        <v>55</v>
      </c>
    </row>
    <row r="18" spans="1:3" ht="14.25">
      <c r="A18" s="3315"/>
      <c r="B18" s="3313"/>
      <c r="C18" s="1167" t="s">
        <v>56</v>
      </c>
    </row>
    <row r="19" spans="1:3" ht="14.25">
      <c r="A19" s="3315"/>
      <c r="B19" s="3311" t="s">
        <v>57</v>
      </c>
      <c r="C19" s="3312"/>
    </row>
    <row r="20" spans="1:3" ht="14.25">
      <c r="A20" s="1168" t="s">
        <v>58</v>
      </c>
      <c r="B20" s="1169"/>
      <c r="C20" s="1170"/>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71" t="s">
        <v>836</v>
      </c>
    </row>
    <row r="25" spans="1:3" ht="14.25">
      <c r="A25" s="3314"/>
      <c r="B25" s="3318"/>
      <c r="C25" s="1171" t="s">
        <v>837</v>
      </c>
    </row>
    <row r="26" spans="1:3" ht="14.25">
      <c r="A26" s="3314"/>
      <c r="B26" s="3318"/>
      <c r="C26" s="1171" t="s">
        <v>838</v>
      </c>
    </row>
    <row r="27" spans="1:3" ht="14.25">
      <c r="A27" s="3314"/>
      <c r="B27" s="3318"/>
      <c r="C27" s="1171" t="s">
        <v>839</v>
      </c>
    </row>
    <row r="28" spans="1:3" ht="14.25">
      <c r="A28" s="3314"/>
      <c r="B28" s="3318"/>
      <c r="C28" s="1171" t="s">
        <v>840</v>
      </c>
    </row>
    <row r="29" spans="1:3" ht="14.25">
      <c r="A29" s="3314"/>
      <c r="B29" s="3318"/>
      <c r="C29" s="1171" t="s">
        <v>841</v>
      </c>
    </row>
    <row r="30" spans="1:3" ht="14.25">
      <c r="A30" s="3314"/>
      <c r="B30" s="3318"/>
      <c r="C30" s="1171" t="s">
        <v>842</v>
      </c>
    </row>
    <row r="31" spans="1:3" ht="14.25">
      <c r="A31" s="3314"/>
      <c r="B31" s="3318"/>
      <c r="C31" s="1171" t="s">
        <v>843</v>
      </c>
    </row>
    <row r="32" spans="1:3" ht="14.25">
      <c r="A32" s="3314"/>
      <c r="B32" s="3318"/>
      <c r="C32" s="1171" t="s">
        <v>1645</v>
      </c>
    </row>
    <row r="33" spans="1:3" ht="14.25">
      <c r="A33" s="3314"/>
      <c r="B33" s="3308" t="s">
        <v>1651</v>
      </c>
      <c r="C33" s="1171" t="s">
        <v>1646</v>
      </c>
    </row>
    <row r="34" spans="1:3" ht="14.25">
      <c r="A34" s="3314"/>
      <c r="B34" s="3309"/>
      <c r="C34" s="1176" t="s">
        <v>1647</v>
      </c>
    </row>
    <row r="35" spans="1:3" ht="14.25">
      <c r="A35" s="3314"/>
      <c r="B35" s="3309"/>
      <c r="C35" s="1177" t="s">
        <v>1648</v>
      </c>
    </row>
    <row r="36" spans="1:3" ht="14.25">
      <c r="A36" s="3314"/>
      <c r="B36" s="3309"/>
      <c r="C36" s="1177" t="s">
        <v>1649</v>
      </c>
    </row>
    <row r="37" spans="1:3" ht="14.25">
      <c r="A37" s="3314"/>
      <c r="B37" s="331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1906</v>
      </c>
      <c r="B2" s="3119">
        <f ca="1">TODAY()</f>
        <v>43615</v>
      </c>
      <c r="C2" s="3120" t="s">
        <v>1907</v>
      </c>
      <c r="D2" s="3120"/>
    </row>
    <row r="3" spans="1:6" ht="20.25" customHeight="1">
      <c r="A3" s="3122" t="s">
        <v>1908</v>
      </c>
      <c r="B3" s="3123" t="s">
        <v>1909</v>
      </c>
      <c r="C3" s="3123" t="s">
        <v>1910</v>
      </c>
      <c r="D3" s="3124" t="s">
        <v>1911</v>
      </c>
      <c r="E3" s="3123" t="s">
        <v>1912</v>
      </c>
      <c r="F3" s="3123" t="s">
        <v>1910</v>
      </c>
    </row>
    <row r="4" spans="1:6" ht="20.25" customHeight="1">
      <c r="A4" s="3123" t="s">
        <v>1913</v>
      </c>
      <c r="B4" s="3123">
        <f ca="1">IF(C4&lt;B2,"已过期",1119970066)</f>
        <v>1119970066</v>
      </c>
      <c r="C4" s="3125">
        <v>43849</v>
      </c>
      <c r="D4" s="3123" t="s">
        <v>1913</v>
      </c>
      <c r="E4" s="3123">
        <f ca="1">IF(F4&lt;B2,"已过期",96010014)</f>
        <v>96010014</v>
      </c>
      <c r="F4" s="3126">
        <v>47118</v>
      </c>
    </row>
    <row r="5" spans="1:6" ht="20.25" customHeight="1">
      <c r="A5" s="3123" t="s">
        <v>1914</v>
      </c>
      <c r="B5" s="3123">
        <f ca="1">IF(C5&lt;B2,"已过期",1119970074)</f>
        <v>1119970074</v>
      </c>
      <c r="C5" s="3125">
        <v>43849</v>
      </c>
      <c r="D5" s="3123" t="s">
        <v>1914</v>
      </c>
      <c r="E5" s="3123">
        <f ca="1">IF(F5&lt;B2,"已过期",2002110027)</f>
        <v>2002110027</v>
      </c>
      <c r="F5" s="3126">
        <v>46752</v>
      </c>
    </row>
    <row r="6" spans="1:6" ht="20.25" customHeight="1">
      <c r="A6" s="3123" t="s">
        <v>1915</v>
      </c>
      <c r="B6" s="3123">
        <f ca="1">IF(C6&lt;B2,"已过期",1119970111)</f>
        <v>1119970111</v>
      </c>
      <c r="C6" s="3125">
        <v>43849</v>
      </c>
      <c r="D6" s="3123" t="s">
        <v>1915</v>
      </c>
      <c r="E6" s="3123">
        <f ca="1">IF(F6&lt;B2,"已过期",94010078)</f>
        <v>94010078</v>
      </c>
      <c r="F6" s="3126">
        <v>46387</v>
      </c>
    </row>
    <row r="7" spans="1:6" ht="20.25" customHeight="1">
      <c r="A7" s="3123" t="s">
        <v>1916</v>
      </c>
      <c r="B7" s="3123">
        <f ca="1">IF(C7&lt;B2,"已过期",1120050019)</f>
        <v>1120050019</v>
      </c>
      <c r="C7" s="3125">
        <v>44395</v>
      </c>
      <c r="D7" s="3123" t="s">
        <v>1916</v>
      </c>
      <c r="E7" s="3123">
        <f ca="1">IF(F7&lt;B2,"已过期",2002110030)</f>
        <v>2002110030</v>
      </c>
      <c r="F7" s="3126">
        <v>46387</v>
      </c>
    </row>
    <row r="8" spans="1:6" ht="20.25" customHeight="1">
      <c r="A8" s="3123" t="s">
        <v>1917</v>
      </c>
      <c r="B8" s="3123">
        <f ca="1">IF(C8&lt;B2,"已过期",1120000080)</f>
        <v>1120000080</v>
      </c>
      <c r="C8" s="3125">
        <v>43849</v>
      </c>
      <c r="D8" s="3123" t="s">
        <v>1917</v>
      </c>
      <c r="E8" s="3123">
        <f ca="1">IF(F8&lt;B2,"已过期",2000110082)</f>
        <v>2000110082</v>
      </c>
      <c r="F8" s="3126">
        <v>46387</v>
      </c>
    </row>
    <row r="9" spans="1:6" ht="20.25" customHeight="1">
      <c r="A9" s="3123" t="s">
        <v>1918</v>
      </c>
      <c r="B9" s="3123">
        <f ca="1">IF(C9&lt;B2,"已过期",1419970001)</f>
        <v>1419970001</v>
      </c>
      <c r="C9" s="3125">
        <v>43867</v>
      </c>
      <c r="D9" s="3123" t="s">
        <v>1918</v>
      </c>
      <c r="E9" s="3123">
        <f ca="1">IF(F9&lt;B2,"已过期",2002110125)</f>
        <v>2002110125</v>
      </c>
      <c r="F9" s="3126">
        <v>47118</v>
      </c>
    </row>
    <row r="10" spans="1:6" ht="20.25" customHeight="1">
      <c r="A10" s="3123" t="s">
        <v>1919</v>
      </c>
      <c r="B10" s="3123" t="str">
        <f ca="1">IF(C10&lt;B2,"已过期",1120060040)</f>
        <v>已过期</v>
      </c>
      <c r="C10" s="3125">
        <v>43483</v>
      </c>
      <c r="D10" s="3123" t="s">
        <v>1919</v>
      </c>
      <c r="E10" s="3123">
        <f ca="1">IF(F10&lt;B2,"已过期",2004110096)</f>
        <v>2004110096</v>
      </c>
      <c r="F10" s="3126">
        <v>47118</v>
      </c>
    </row>
    <row r="11" spans="1:6" ht="20.25" customHeight="1">
      <c r="A11" s="3123" t="s">
        <v>1920</v>
      </c>
      <c r="B11" s="3123">
        <f ca="1">IF(C11&lt;B2,"已过期",1120100036)</f>
        <v>1120100036</v>
      </c>
      <c r="C11" s="3125">
        <v>43622</v>
      </c>
      <c r="D11" s="3123" t="s">
        <v>1920</v>
      </c>
      <c r="E11" s="3123">
        <f ca="1">IF(F11&lt;B2,"已过期",2010110070)</f>
        <v>2010110070</v>
      </c>
      <c r="F11" s="3126">
        <v>47907</v>
      </c>
    </row>
    <row r="12" spans="1:6" ht="20.25" customHeight="1">
      <c r="A12" s="3123"/>
      <c r="B12" s="3123"/>
      <c r="C12" s="3125"/>
      <c r="D12" s="3123"/>
      <c r="E12" s="3123"/>
      <c r="F12" s="3126"/>
    </row>
    <row r="13" spans="1:6" ht="20.25" customHeight="1">
      <c r="A13" s="3123" t="s">
        <v>1921</v>
      </c>
      <c r="B13" s="3123">
        <f ca="1">IF(C13&lt;B2,"已过期",1120070131)</f>
        <v>1120070131</v>
      </c>
      <c r="C13" s="3125">
        <v>43814</v>
      </c>
      <c r="D13" s="3123" t="s">
        <v>1921</v>
      </c>
      <c r="E13" s="3123">
        <f ca="1">IF(F13&lt;B2,"已过期",2014110011)</f>
        <v>2014110011</v>
      </c>
      <c r="F13" s="3126">
        <v>49302</v>
      </c>
    </row>
    <row r="14" spans="1:6" ht="20.25" customHeight="1">
      <c r="A14" s="3123" t="s">
        <v>2972</v>
      </c>
      <c r="B14" s="3123">
        <f ca="1">IF(C14&lt;B2,"已过期",1120040230)</f>
        <v>1120040230</v>
      </c>
      <c r="C14" s="3127">
        <v>43835</v>
      </c>
      <c r="D14" s="3128" t="s">
        <v>2973</v>
      </c>
      <c r="E14" s="3123">
        <f ca="1">IF(F14&lt;B2,"已过期",98030020)</f>
        <v>98030020</v>
      </c>
      <c r="F14" s="3126">
        <v>47118</v>
      </c>
    </row>
    <row r="15" spans="1:6" ht="20.25" customHeight="1">
      <c r="A15" s="3123" t="s">
        <v>2571</v>
      </c>
      <c r="B15" s="3123">
        <f ca="1">IF(C15&lt;B2,"已过期",1120070085)</f>
        <v>1120070085</v>
      </c>
      <c r="C15" s="3127">
        <v>43814</v>
      </c>
      <c r="D15" s="3123" t="s">
        <v>2974</v>
      </c>
      <c r="E15" s="3123">
        <f ca="1">IF(F15&lt;B2,"已过期",2004110128)</f>
        <v>2004110128</v>
      </c>
      <c r="F15" s="3129">
        <v>47118</v>
      </c>
    </row>
    <row r="16" spans="1:6" ht="20.25" customHeight="1">
      <c r="A16" s="3123" t="s">
        <v>1922</v>
      </c>
      <c r="B16" s="3123">
        <f ca="1">IF(C16&lt;B2,"已过期",1120140022)</f>
        <v>1120140022</v>
      </c>
      <c r="C16" s="3125">
        <v>44029</v>
      </c>
      <c r="D16" s="3123" t="s">
        <v>2975</v>
      </c>
      <c r="E16" s="3123">
        <f ca="1">IF(F16&lt;B2,"已过期",2008110059)</f>
        <v>2008110059</v>
      </c>
      <c r="F16" s="3126">
        <v>47177</v>
      </c>
    </row>
    <row r="17" spans="1:7" ht="20.25" customHeight="1">
      <c r="A17" s="3123"/>
      <c r="B17" s="3123"/>
      <c r="C17" s="3125"/>
      <c r="D17" s="3128" t="s">
        <v>2976</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1923</v>
      </c>
      <c r="E21" s="3123">
        <f ca="1">IF(F21&lt;B2,"已过期",2011110090)</f>
        <v>2011110090</v>
      </c>
      <c r="F21" s="3126">
        <v>48302</v>
      </c>
    </row>
    <row r="22" spans="1:7" ht="20.25" customHeight="1">
      <c r="A22" s="3123" t="s">
        <v>1924</v>
      </c>
      <c r="B22" s="3123">
        <f ca="1">IF(C22&lt;B2,"已过期",1120020033)</f>
        <v>1120020033</v>
      </c>
      <c r="C22" s="3125">
        <v>44339</v>
      </c>
      <c r="D22" s="3123" t="s">
        <v>1924</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2050</v>
      </c>
      <c r="B24" s="3122" t="s">
        <v>2050</v>
      </c>
      <c r="C24" s="3125"/>
      <c r="D24" s="3130" t="s">
        <v>2050</v>
      </c>
      <c r="E24" s="3122" t="s">
        <v>2050</v>
      </c>
      <c r="F24" s="3129"/>
    </row>
    <row r="25" spans="1:7" ht="20.25" customHeight="1">
      <c r="A25" s="3319" t="s">
        <v>1925</v>
      </c>
      <c r="B25" s="3319"/>
      <c r="C25" s="3319"/>
      <c r="D25" s="3319"/>
      <c r="E25" s="3319"/>
      <c r="F25" s="3319"/>
      <c r="G25" s="3319"/>
    </row>
    <row r="26" spans="1:7" ht="20.25" customHeight="1">
      <c r="A26" s="3320" t="s">
        <v>1926</v>
      </c>
      <c r="B26" s="3320"/>
      <c r="C26" s="3320"/>
      <c r="D26" s="3320" t="s">
        <v>1927</v>
      </c>
      <c r="E26" s="3320"/>
      <c r="F26" s="3320"/>
    </row>
    <row r="27" spans="1:7" s="3118" customFormat="1" ht="20.25" customHeight="1">
      <c r="A27" s="3132" t="s">
        <v>1928</v>
      </c>
      <c r="B27" s="3133" t="s">
        <v>1929</v>
      </c>
      <c r="C27" s="3133" t="s">
        <v>1930</v>
      </c>
      <c r="D27" s="3123" t="s">
        <v>1928</v>
      </c>
      <c r="E27" s="3133" t="s">
        <v>1929</v>
      </c>
      <c r="F27" s="3133" t="s">
        <v>1930</v>
      </c>
    </row>
    <row r="28" spans="1:7" s="3118" customFormat="1" ht="20.25" customHeight="1">
      <c r="A28" s="3134" t="s">
        <v>1931</v>
      </c>
      <c r="B28" s="3134" t="s">
        <v>1932</v>
      </c>
      <c r="C28" s="3126">
        <v>43725</v>
      </c>
      <c r="D28" s="3134" t="s">
        <v>1933</v>
      </c>
      <c r="E28" s="3134" t="s">
        <v>1934</v>
      </c>
      <c r="F28" s="3135">
        <v>44377</v>
      </c>
    </row>
    <row r="29" spans="1:7" s="3118" customFormat="1" ht="20.25" customHeight="1">
      <c r="A29" s="3134"/>
      <c r="B29" s="3134"/>
      <c r="C29" s="3136"/>
      <c r="D29" s="3134" t="s">
        <v>1935</v>
      </c>
      <c r="E29" s="3137" t="s">
        <v>2934</v>
      </c>
      <c r="F29" s="3138">
        <v>43281</v>
      </c>
    </row>
    <row r="30" spans="1:7" ht="20.25" customHeight="1">
      <c r="C30" s="3139"/>
      <c r="D30" s="313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7" sqref="AB37"/>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3"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2537</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875</v>
      </c>
    </row>
    <row r="4" spans="1:23">
      <c r="A4" s="8" t="s">
        <v>87</v>
      </c>
      <c r="B4" s="8" t="s">
        <v>152</v>
      </c>
      <c r="C4" s="1536" t="s">
        <v>1710</v>
      </c>
      <c r="D4" s="9" t="s">
        <v>1991</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877</v>
      </c>
    </row>
    <row r="6" spans="1:23">
      <c r="A6" s="8" t="s">
        <v>99</v>
      </c>
      <c r="B6" s="1144" t="s">
        <v>1639</v>
      </c>
      <c r="C6" s="1538" t="s">
        <v>1712</v>
      </c>
      <c r="F6" s="9" t="s">
        <v>71</v>
      </c>
      <c r="H6" s="9" t="s">
        <v>72</v>
      </c>
      <c r="I6" s="9" t="s">
        <v>100</v>
      </c>
      <c r="K6" s="9" t="s">
        <v>101</v>
      </c>
      <c r="L6" s="9" t="s">
        <v>101</v>
      </c>
      <c r="M6" s="9" t="s">
        <v>101</v>
      </c>
      <c r="N6" s="9" t="s">
        <v>101</v>
      </c>
      <c r="O6" s="9" t="s">
        <v>101</v>
      </c>
      <c r="P6" s="1005" t="s">
        <v>880</v>
      </c>
      <c r="Q6" s="9" t="s">
        <v>101</v>
      </c>
      <c r="R6" s="1005" t="s">
        <v>2541</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55" t="s">
        <v>2946</v>
      </c>
      <c r="C18" s="1539"/>
    </row>
    <row r="19" spans="1:3">
      <c r="A19" s="8" t="s">
        <v>120</v>
      </c>
      <c r="B19" s="3055" t="s">
        <v>2954</v>
      </c>
      <c r="C19" s="1539"/>
    </row>
    <row r="20" spans="1:3">
      <c r="A20" s="8" t="s">
        <v>121</v>
      </c>
      <c r="B20" s="8" t="s">
        <v>3419</v>
      </c>
      <c r="C20" s="1539"/>
    </row>
    <row r="21" spans="1:3">
      <c r="A21" s="8" t="s">
        <v>122</v>
      </c>
      <c r="B21" s="8" t="s">
        <v>3426</v>
      </c>
      <c r="C21" s="1539"/>
    </row>
    <row r="22" spans="1:3">
      <c r="A22" s="8" t="s">
        <v>123</v>
      </c>
      <c r="B22" s="8" t="s">
        <v>3506</v>
      </c>
      <c r="C22" s="1539"/>
    </row>
    <row r="23" spans="1:3">
      <c r="A23" s="8" t="s">
        <v>124</v>
      </c>
      <c r="B23" s="8" t="s">
        <v>3507</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321"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c r="D53" s="1749"/>
      <c r="E53" s="1749"/>
    </row>
    <row r="54" spans="1:5">
      <c r="A54" s="3321"/>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21"/>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21"/>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21"/>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E2增容面积表</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不动产收益法-公寓</vt:lpstr>
      <vt:lpstr>典型户型修正</vt:lpstr>
      <vt:lpstr>不动产收益法-办公</vt:lpstr>
      <vt:lpstr>不动产收益法-车库</vt:lpstr>
      <vt:lpstr>酒店收入计算</vt:lpstr>
      <vt:lpstr>成本逼近法</vt:lpstr>
      <vt:lpstr>不动产比较法-办公</vt:lpstr>
      <vt:lpstr>不动产比较法-工业</vt:lpstr>
      <vt:lpstr>不动产比较法-车位</vt:lpstr>
      <vt:lpstr>不动产比较法-仓储</vt:lpstr>
      <vt:lpstr>存贷款利率</vt:lpstr>
      <vt:lpstr>地块分布情况</vt:lpstr>
      <vt:lpstr>A3总规划</vt:lpstr>
      <vt:lpstr>F总规划</vt:lpstr>
      <vt:lpstr>C总规划</vt:lpstr>
      <vt:lpstr>E2总规划</vt:lpstr>
      <vt:lpstr>B总规划</vt:lpstr>
      <vt:lpstr>G总规划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2019-05-30T03:03:59Z</dcterms:modified>
</cp:coreProperties>
</file>