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11625" yWindow="45" windowWidth="7575" windowHeight="9120" tabRatio="899" firstSheet="14" activeTab="2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6、7期规划" sheetId="77" r:id="rId14"/>
    <sheet name="6、7期工程进度" sheetId="79" r:id="rId15"/>
    <sheet name="5、8、9、10期规划" sheetId="85" r:id="rId16"/>
    <sheet name="项目土地面积" sheetId="80"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土地比较法-住宅、综合" sheetId="39" r:id="rId25"/>
    <sheet name="土地案例" sheetId="78" r:id="rId26"/>
    <sheet name="选取案例" sheetId="83" r:id="rId27"/>
    <sheet name="假设开发法" sheetId="12" r:id="rId28"/>
    <sheet name="比较法-住宅" sheetId="21" r:id="rId29"/>
    <sheet name="收益法（商业）" sheetId="15" r:id="rId30"/>
    <sheet name="收益法 (元)" sheetId="67" state="hidden" r:id="rId31"/>
    <sheet name="收益法（汇总）" sheetId="70" state="hidden" r:id="rId32"/>
    <sheet name="酒店收入计算" sheetId="66" state="hidden" r:id="rId33"/>
    <sheet name="收益法（地下车库）" sheetId="81"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工作表6" sheetId="82" r:id="rId52"/>
    <sheet name="Sheet1" sheetId="84" state="hidden" r:id="rId53"/>
  </sheets>
  <externalReferences>
    <externalReference r:id="rId54"/>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28"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33">'收益法（地下车库）'!$A$1:$AK$69</definedName>
    <definedName name="_xlnm.Print_Area" localSheetId="29">'收益法（商业）'!$A$1:$AK$69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Y23" i="1" l="1"/>
  <c r="Y26" i="1" s="1"/>
  <c r="Y25" i="1" l="1"/>
  <c r="K10" i="85" l="1"/>
  <c r="L10" i="85"/>
  <c r="M10" i="85"/>
  <c r="J10" i="85"/>
  <c r="W24" i="1" l="1"/>
  <c r="I13" i="39"/>
  <c r="G13" i="39"/>
  <c r="E13" i="39"/>
  <c r="C13" i="39"/>
  <c r="J16" i="85"/>
  <c r="J15" i="85"/>
  <c r="C13" i="80"/>
  <c r="C18" i="80"/>
  <c r="C17" i="80"/>
  <c r="C16" i="80"/>
  <c r="M5" i="85"/>
  <c r="M4" i="85"/>
  <c r="K12" i="85"/>
  <c r="K13" i="85" s="1"/>
  <c r="L12" i="85"/>
  <c r="L13" i="85" s="1"/>
  <c r="M12" i="85"/>
  <c r="J12" i="85"/>
  <c r="J13" i="85" s="1"/>
  <c r="J11" i="85"/>
  <c r="N10" i="85"/>
  <c r="M9" i="85"/>
  <c r="L9" i="85"/>
  <c r="K9" i="85"/>
  <c r="J9" i="85"/>
  <c r="J8" i="85"/>
  <c r="N8" i="85" s="1"/>
  <c r="M6" i="85"/>
  <c r="L6" i="85"/>
  <c r="K6" i="85"/>
  <c r="J5" i="85"/>
  <c r="K4" i="85"/>
  <c r="K7" i="85" s="1"/>
  <c r="J4" i="85"/>
  <c r="M3" i="85"/>
  <c r="L3" i="85"/>
  <c r="K3" i="85"/>
  <c r="J3" i="85"/>
  <c r="F3" i="85"/>
  <c r="X24" i="1" l="1"/>
  <c r="X27" i="1" s="1"/>
  <c r="Y24" i="1"/>
  <c r="Y27" i="1" s="1"/>
  <c r="N12" i="85"/>
  <c r="N5" i="85"/>
  <c r="N11" i="85"/>
  <c r="N9" i="85"/>
  <c r="N3" i="85"/>
  <c r="N4" i="85"/>
  <c r="M7" i="85"/>
  <c r="M13" i="85" s="1"/>
  <c r="N13" i="85" s="1"/>
  <c r="N6" i="85"/>
  <c r="J7" i="85"/>
  <c r="N7" i="85" s="1"/>
  <c r="L7" i="85"/>
  <c r="L14" i="1" l="1"/>
  <c r="G16" i="74"/>
  <c r="B16" i="74" l="1"/>
  <c r="C16" i="74" l="1"/>
  <c r="E47" i="21"/>
  <c r="E144" i="84"/>
  <c r="C144" i="84"/>
  <c r="D144" i="84"/>
  <c r="E143" i="84"/>
  <c r="E142" i="84"/>
  <c r="E141" i="84"/>
  <c r="E140" i="84"/>
  <c r="E139" i="84"/>
  <c r="E138" i="84"/>
  <c r="E137" i="84"/>
  <c r="E136" i="84"/>
  <c r="E135" i="84"/>
  <c r="E134" i="84"/>
  <c r="E133" i="84"/>
  <c r="E132" i="84"/>
  <c r="E131" i="84"/>
  <c r="E130" i="84"/>
  <c r="E129" i="84"/>
  <c r="E128" i="84"/>
  <c r="E127" i="84"/>
  <c r="E126" i="84"/>
  <c r="E125" i="84"/>
  <c r="E124" i="84"/>
  <c r="E123" i="84"/>
  <c r="E122" i="84"/>
  <c r="E121" i="84"/>
  <c r="E120" i="84"/>
  <c r="E119" i="84"/>
  <c r="E118" i="84"/>
  <c r="E117" i="84"/>
  <c r="E116" i="84"/>
  <c r="E115" i="84"/>
  <c r="E114" i="84"/>
  <c r="E113" i="84"/>
  <c r="E112" i="84"/>
  <c r="E111" i="84"/>
  <c r="E110" i="84"/>
  <c r="E109" i="84"/>
  <c r="E108" i="84"/>
  <c r="E107" i="84"/>
  <c r="E106" i="84"/>
  <c r="E105" i="84"/>
  <c r="E104" i="84"/>
  <c r="E103" i="84"/>
  <c r="E102" i="84"/>
  <c r="E101" i="84"/>
  <c r="E100" i="84"/>
  <c r="E99" i="84"/>
  <c r="E98" i="84"/>
  <c r="E97" i="84"/>
  <c r="E96" i="84"/>
  <c r="E95" i="84"/>
  <c r="E94" i="84"/>
  <c r="E93" i="84"/>
  <c r="E92" i="84"/>
  <c r="E91" i="84"/>
  <c r="E90" i="84"/>
  <c r="E89" i="84"/>
  <c r="E88" i="84"/>
  <c r="E87" i="84"/>
  <c r="E86" i="84"/>
  <c r="E85" i="84"/>
  <c r="E84" i="84"/>
  <c r="E83" i="84"/>
  <c r="E82" i="84"/>
  <c r="E81" i="84"/>
  <c r="E80" i="84"/>
  <c r="E79" i="84"/>
  <c r="E78" i="84"/>
  <c r="E77" i="84"/>
  <c r="E76" i="84"/>
  <c r="E75" i="84"/>
  <c r="E74" i="84"/>
  <c r="E73" i="84"/>
  <c r="E72" i="84"/>
  <c r="E71" i="84"/>
  <c r="E70" i="84"/>
  <c r="E69" i="84"/>
  <c r="E68" i="84"/>
  <c r="E67" i="84"/>
  <c r="E66" i="84"/>
  <c r="E65" i="84"/>
  <c r="E64" i="84"/>
  <c r="E63" i="84"/>
  <c r="E62" i="84"/>
  <c r="E61" i="84"/>
  <c r="E60" i="84"/>
  <c r="E59" i="84"/>
  <c r="E58" i="84"/>
  <c r="E57" i="84"/>
  <c r="E56" i="84"/>
  <c r="E55" i="84"/>
  <c r="E54" i="84"/>
  <c r="E53" i="84"/>
  <c r="E52" i="84"/>
  <c r="E51" i="84"/>
  <c r="E50" i="84"/>
  <c r="E49" i="84"/>
  <c r="E48" i="84"/>
  <c r="E47" i="84"/>
  <c r="E46" i="84"/>
  <c r="E45" i="84"/>
  <c r="E44" i="84"/>
  <c r="E43" i="84"/>
  <c r="E42" i="84"/>
  <c r="E41" i="84"/>
  <c r="E40" i="84"/>
  <c r="E39" i="84"/>
  <c r="E38" i="84"/>
  <c r="E37" i="84"/>
  <c r="E36" i="84"/>
  <c r="E35" i="84"/>
  <c r="E34" i="84"/>
  <c r="E33" i="84"/>
  <c r="E32" i="84"/>
  <c r="E31" i="84"/>
  <c r="E30" i="84"/>
  <c r="E29" i="84"/>
  <c r="E28" i="84"/>
  <c r="E27" i="84"/>
  <c r="E26" i="84"/>
  <c r="E25" i="84"/>
  <c r="E24" i="84"/>
  <c r="E23" i="84"/>
  <c r="E22" i="84"/>
  <c r="E21" i="84"/>
  <c r="E20" i="84"/>
  <c r="E19" i="84"/>
  <c r="E18" i="84"/>
  <c r="E17" i="84"/>
  <c r="E16" i="84"/>
  <c r="E15" i="84"/>
  <c r="E2" i="84"/>
  <c r="E3" i="84"/>
  <c r="E4" i="84"/>
  <c r="E5" i="84"/>
  <c r="E6" i="84"/>
  <c r="E7" i="84"/>
  <c r="E8" i="84"/>
  <c r="E9" i="84"/>
  <c r="E10" i="84"/>
  <c r="E11" i="84"/>
  <c r="E12" i="84"/>
  <c r="E13" i="84"/>
  <c r="E14" i="84"/>
  <c r="E1" i="84"/>
  <c r="E71" i="39"/>
  <c r="F71" i="39"/>
  <c r="G71" i="39"/>
  <c r="H71" i="39"/>
  <c r="I71" i="39"/>
  <c r="J71" i="39"/>
  <c r="K71" i="39"/>
  <c r="L71" i="39"/>
  <c r="M71" i="39"/>
  <c r="N71" i="39"/>
  <c r="O71" i="39"/>
  <c r="D71" i="39"/>
  <c r="I38" i="39"/>
  <c r="G38" i="39"/>
  <c r="E38" i="39"/>
  <c r="F75" i="39"/>
  <c r="E75" i="39"/>
  <c r="D75" i="39"/>
  <c r="C75" i="39"/>
  <c r="I7" i="39"/>
  <c r="G7" i="39"/>
  <c r="E7" i="39"/>
  <c r="I6" i="39"/>
  <c r="I5" i="39"/>
  <c r="G6" i="39"/>
  <c r="G5" i="39"/>
  <c r="E6" i="39"/>
  <c r="E5" i="39"/>
  <c r="D3" i="4"/>
  <c r="C1" i="73"/>
  <c r="J1" i="73"/>
  <c r="B22" i="1"/>
  <c r="E1" i="73" s="1"/>
  <c r="R46" i="39"/>
  <c r="B2" i="1"/>
  <c r="C7" i="39"/>
  <c r="C68" i="39" s="1"/>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P23" i="43"/>
  <c r="B71" i="39" s="1"/>
  <c r="D81" i="39"/>
  <c r="E81" i="39" s="1"/>
  <c r="F81" i="39" s="1"/>
  <c r="G81" i="39" s="1"/>
  <c r="H81" i="39" s="1"/>
  <c r="I81" i="39" s="1"/>
  <c r="J81" i="39" s="1"/>
  <c r="K81" i="39" s="1"/>
  <c r="L81" i="39" s="1"/>
  <c r="M81" i="39" s="1"/>
  <c r="D89" i="39"/>
  <c r="E89" i="39"/>
  <c r="F89" i="39"/>
  <c r="F15" i="39"/>
  <c r="AA15" i="39"/>
  <c r="D91" i="39"/>
  <c r="E91" i="39"/>
  <c r="F17" i="39"/>
  <c r="AA17" i="39"/>
  <c r="D95" i="39"/>
  <c r="E95" i="39"/>
  <c r="F21" i="39"/>
  <c r="AA21" i="39"/>
  <c r="D97" i="39"/>
  <c r="F23" i="39"/>
  <c r="AA23" i="39"/>
  <c r="D99" i="39"/>
  <c r="F25" i="39"/>
  <c r="AA25" i="39"/>
  <c r="D101" i="39"/>
  <c r="E101" i="39"/>
  <c r="F27" i="39"/>
  <c r="AA27" i="39"/>
  <c r="D103" i="39"/>
  <c r="F29" i="39"/>
  <c r="AA29" i="39"/>
  <c r="F32" i="39"/>
  <c r="AA32" i="39"/>
  <c r="B82" i="39"/>
  <c r="F12" i="39"/>
  <c r="AA12" i="39"/>
  <c r="F39" i="39"/>
  <c r="AA39" i="39"/>
  <c r="F40" i="39"/>
  <c r="AA40" i="39"/>
  <c r="F41" i="39"/>
  <c r="AA41" i="39"/>
  <c r="F42" i="39"/>
  <c r="AA42" i="39"/>
  <c r="H15" i="39"/>
  <c r="AB15" i="39" s="1"/>
  <c r="H17" i="39"/>
  <c r="AB17" i="39"/>
  <c r="H21" i="39"/>
  <c r="AB21" i="39"/>
  <c r="H23" i="39"/>
  <c r="AB23" i="39"/>
  <c r="H25" i="39"/>
  <c r="AB25" i="39"/>
  <c r="H27" i="39"/>
  <c r="AB27" i="39" s="1"/>
  <c r="H29" i="39"/>
  <c r="AB29" i="39"/>
  <c r="H32" i="39"/>
  <c r="AB32" i="39"/>
  <c r="H12" i="39"/>
  <c r="AB12" i="39"/>
  <c r="H39" i="39"/>
  <c r="AB39" i="39"/>
  <c r="H40" i="39"/>
  <c r="AB40" i="39"/>
  <c r="H41" i="39"/>
  <c r="AB41" i="39"/>
  <c r="H42" i="39"/>
  <c r="AB42" i="39"/>
  <c r="J15" i="39"/>
  <c r="AC15" i="39"/>
  <c r="J17" i="39"/>
  <c r="AC17" i="39"/>
  <c r="J21" i="39"/>
  <c r="AC21" i="39"/>
  <c r="J23" i="39"/>
  <c r="AC23" i="39"/>
  <c r="J25" i="39"/>
  <c r="AC25" i="39"/>
  <c r="J27" i="39"/>
  <c r="AC27" i="39"/>
  <c r="J29" i="39"/>
  <c r="AC29" i="39"/>
  <c r="J32" i="39"/>
  <c r="AC32" i="39"/>
  <c r="J12" i="39"/>
  <c r="AC12" i="39"/>
  <c r="J39" i="39"/>
  <c r="AC39" i="39"/>
  <c r="J40" i="39"/>
  <c r="AC40" i="39"/>
  <c r="J41" i="39"/>
  <c r="AC41" i="39"/>
  <c r="J42" i="39"/>
  <c r="AC42" i="39"/>
  <c r="BB10" i="3"/>
  <c r="F4" i="77"/>
  <c r="I13" i="3" s="1"/>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K13" i="3"/>
  <c r="BC13" i="3" s="1"/>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10" i="3"/>
  <c r="BE10" i="3"/>
  <c r="BF10" i="3"/>
  <c r="BG10" i="3"/>
  <c r="BH10" i="3"/>
  <c r="BI10" i="3"/>
  <c r="BJ10" i="3"/>
  <c r="BK10" i="3"/>
  <c r="M13" i="3"/>
  <c r="BD13" i="3" s="1"/>
  <c r="BD5" i="3" s="1"/>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F7" i="68"/>
  <c r="C8" i="68"/>
  <c r="B23" i="1"/>
  <c r="C19" i="68"/>
  <c r="F20" i="68"/>
  <c r="F21" i="68"/>
  <c r="C21" i="68" s="1"/>
  <c r="B24" i="1"/>
  <c r="BB11" i="3"/>
  <c r="BC11" i="3"/>
  <c r="BD11" i="3"/>
  <c r="BE11" i="3"/>
  <c r="BF11" i="3"/>
  <c r="BG11" i="3"/>
  <c r="BH11" i="3"/>
  <c r="BI11" i="3"/>
  <c r="BJ11" i="3"/>
  <c r="BK11" i="3"/>
  <c r="BM11" i="3"/>
  <c r="BN11" i="3"/>
  <c r="BO11" i="3"/>
  <c r="BP11" i="3"/>
  <c r="BQ11" i="3"/>
  <c r="BR11" i="3"/>
  <c r="BS11" i="3"/>
  <c r="BT11" i="3"/>
  <c r="F5" i="3"/>
  <c r="F8" i="77"/>
  <c r="AL13" i="3" s="1"/>
  <c r="F13" i="77"/>
  <c r="AN13" i="3" s="1"/>
  <c r="AN5" i="3" s="1"/>
  <c r="AR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J5" i="3"/>
  <c r="K5" i="3"/>
  <c r="L5" i="3"/>
  <c r="N5" i="3"/>
  <c r="O5" i="3"/>
  <c r="P5" i="3"/>
  <c r="Q5" i="3"/>
  <c r="R5" i="3"/>
  <c r="S5" i="3"/>
  <c r="T5" i="3"/>
  <c r="U5" i="3"/>
  <c r="V5" i="3"/>
  <c r="W5" i="3"/>
  <c r="X5" i="3"/>
  <c r="Y5" i="3"/>
  <c r="Z5" i="3"/>
  <c r="AA5" i="3"/>
  <c r="AB5" i="3"/>
  <c r="AD5" i="3"/>
  <c r="AE5" i="3"/>
  <c r="AF5" i="3"/>
  <c r="AG5" i="3"/>
  <c r="AH5" i="3"/>
  <c r="AI5" i="3"/>
  <c r="AJ5" i="3"/>
  <c r="AK5" i="3"/>
  <c r="AM5" i="3"/>
  <c r="AO5" i="3"/>
  <c r="AP5" i="3"/>
  <c r="AQ5" i="3"/>
  <c r="AR5" i="3"/>
  <c r="AS5" i="3"/>
  <c r="AT5" i="3"/>
  <c r="BM13" i="3"/>
  <c r="BN13" i="3"/>
  <c r="BO13" i="3"/>
  <c r="BP13" i="3"/>
  <c r="BS13" i="3"/>
  <c r="BA14" i="3"/>
  <c r="BM14" i="3"/>
  <c r="BN14" i="3"/>
  <c r="BO14" i="3"/>
  <c r="BP14" i="3"/>
  <c r="BQ14" i="3"/>
  <c r="BR14" i="3"/>
  <c r="BS14" i="3"/>
  <c r="BT14" i="3"/>
  <c r="BL14" i="3"/>
  <c r="AZ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A18" i="3"/>
  <c r="BM18" i="3"/>
  <c r="BN18" i="3"/>
  <c r="BO18" i="3"/>
  <c r="BP18" i="3"/>
  <c r="BQ18" i="3"/>
  <c r="BR18" i="3"/>
  <c r="BS18" i="3"/>
  <c r="BT18" i="3"/>
  <c r="BL18" i="3"/>
  <c r="AZ18" i="3"/>
  <c r="BA19" i="3"/>
  <c r="BM19" i="3"/>
  <c r="BN19" i="3"/>
  <c r="BO19" i="3"/>
  <c r="BP19" i="3"/>
  <c r="BQ19" i="3"/>
  <c r="BR19" i="3"/>
  <c r="BS19" i="3"/>
  <c r="BT19" i="3"/>
  <c r="BL19" i="3"/>
  <c r="AZ19" i="3"/>
  <c r="BA20" i="3"/>
  <c r="BM20" i="3"/>
  <c r="BN20" i="3"/>
  <c r="BO20" i="3"/>
  <c r="BP20" i="3"/>
  <c r="BQ20" i="3"/>
  <c r="BR20" i="3"/>
  <c r="BS20" i="3"/>
  <c r="BT20" i="3"/>
  <c r="BL20" i="3"/>
  <c r="AZ20" i="3"/>
  <c r="BA21" i="3"/>
  <c r="BM21" i="3"/>
  <c r="BN21" i="3"/>
  <c r="BO21" i="3"/>
  <c r="BP21" i="3"/>
  <c r="BQ21" i="3"/>
  <c r="BR21" i="3"/>
  <c r="BS21" i="3"/>
  <c r="BT21" i="3"/>
  <c r="BL21" i="3"/>
  <c r="AZ21" i="3"/>
  <c r="BA22" i="3"/>
  <c r="BM22" i="3"/>
  <c r="BN22" i="3"/>
  <c r="BO22" i="3"/>
  <c r="BP22" i="3"/>
  <c r="BQ22" i="3"/>
  <c r="BR22" i="3"/>
  <c r="BS22" i="3"/>
  <c r="BT22" i="3"/>
  <c r="BL22" i="3"/>
  <c r="AZ22" i="3"/>
  <c r="BA23" i="3"/>
  <c r="BM23" i="3"/>
  <c r="BN23" i="3"/>
  <c r="BO23" i="3"/>
  <c r="BP23" i="3"/>
  <c r="BQ23" i="3"/>
  <c r="BR23" i="3"/>
  <c r="BS23" i="3"/>
  <c r="BT23" i="3"/>
  <c r="BL23" i="3"/>
  <c r="AZ23" i="3"/>
  <c r="BA24" i="3"/>
  <c r="BM24" i="3"/>
  <c r="BN24" i="3"/>
  <c r="BO24" i="3"/>
  <c r="BP24" i="3"/>
  <c r="BQ24" i="3"/>
  <c r="BR24" i="3"/>
  <c r="BS24" i="3"/>
  <c r="BT24" i="3"/>
  <c r="BL24" i="3"/>
  <c r="AZ24" i="3"/>
  <c r="BA25" i="3"/>
  <c r="BM25" i="3"/>
  <c r="BN25" i="3"/>
  <c r="BO25" i="3"/>
  <c r="BP25" i="3"/>
  <c r="BQ25" i="3"/>
  <c r="BR25" i="3"/>
  <c r="BS25" i="3"/>
  <c r="BT25" i="3"/>
  <c r="BL25" i="3"/>
  <c r="AZ25" i="3"/>
  <c r="BA26" i="3"/>
  <c r="BM26" i="3"/>
  <c r="BN26" i="3"/>
  <c r="BO26" i="3"/>
  <c r="BP26" i="3"/>
  <c r="BQ26" i="3"/>
  <c r="BR26" i="3"/>
  <c r="BS26" i="3"/>
  <c r="BT26" i="3"/>
  <c r="BL26" i="3"/>
  <c r="AZ26" i="3"/>
  <c r="BA27" i="3"/>
  <c r="BM27" i="3"/>
  <c r="BN27" i="3"/>
  <c r="BO27" i="3"/>
  <c r="BP27" i="3"/>
  <c r="BQ27" i="3"/>
  <c r="BR27" i="3"/>
  <c r="BS27" i="3"/>
  <c r="BT27" i="3"/>
  <c r="BL27" i="3"/>
  <c r="AZ27" i="3"/>
  <c r="BA28" i="3"/>
  <c r="BM28" i="3"/>
  <c r="BN28" i="3"/>
  <c r="BO28" i="3"/>
  <c r="BP28" i="3"/>
  <c r="BQ28" i="3"/>
  <c r="BR28" i="3"/>
  <c r="BS28" i="3"/>
  <c r="BT28" i="3"/>
  <c r="BL28" i="3"/>
  <c r="AZ28" i="3"/>
  <c r="BA29" i="3"/>
  <c r="BM29" i="3"/>
  <c r="BN29" i="3"/>
  <c r="BO29" i="3"/>
  <c r="BP29" i="3"/>
  <c r="BQ29" i="3"/>
  <c r="BR29" i="3"/>
  <c r="BS29" i="3"/>
  <c r="BT29" i="3"/>
  <c r="BL29" i="3"/>
  <c r="AZ29" i="3"/>
  <c r="BA30" i="3"/>
  <c r="BM30" i="3"/>
  <c r="BN30" i="3"/>
  <c r="BO30" i="3"/>
  <c r="BP30" i="3"/>
  <c r="BQ30" i="3"/>
  <c r="BR30" i="3"/>
  <c r="BS30" i="3"/>
  <c r="BT30" i="3"/>
  <c r="BL30" i="3"/>
  <c r="AZ30" i="3"/>
  <c r="BA31" i="3"/>
  <c r="BM31" i="3"/>
  <c r="BN31" i="3"/>
  <c r="BO31" i="3"/>
  <c r="BP31" i="3"/>
  <c r="BQ31" i="3"/>
  <c r="BR31" i="3"/>
  <c r="BS31" i="3"/>
  <c r="BT31" i="3"/>
  <c r="BL31" i="3"/>
  <c r="AZ31" i="3"/>
  <c r="BA32" i="3"/>
  <c r="BM32" i="3"/>
  <c r="BN32" i="3"/>
  <c r="BO32" i="3"/>
  <c r="BP32" i="3"/>
  <c r="BQ32" i="3"/>
  <c r="BR32" i="3"/>
  <c r="BS32" i="3"/>
  <c r="BT32" i="3"/>
  <c r="BL32" i="3"/>
  <c r="AZ32" i="3"/>
  <c r="BA33" i="3"/>
  <c r="BM33" i="3"/>
  <c r="BN33" i="3"/>
  <c r="BO33" i="3"/>
  <c r="BP33" i="3"/>
  <c r="BQ33" i="3"/>
  <c r="BR33" i="3"/>
  <c r="BS33" i="3"/>
  <c r="BT33" i="3"/>
  <c r="BL33" i="3"/>
  <c r="AZ33" i="3"/>
  <c r="BA34" i="3"/>
  <c r="BM34" i="3"/>
  <c r="BN34" i="3"/>
  <c r="BO34" i="3"/>
  <c r="BP34" i="3"/>
  <c r="BQ34" i="3"/>
  <c r="BR34" i="3"/>
  <c r="BS34" i="3"/>
  <c r="BT34" i="3"/>
  <c r="BL34" i="3"/>
  <c r="AZ34" i="3"/>
  <c r="BA35" i="3"/>
  <c r="BM35" i="3"/>
  <c r="BN35" i="3"/>
  <c r="BO35" i="3"/>
  <c r="BP35" i="3"/>
  <c r="BQ35" i="3"/>
  <c r="BR35" i="3"/>
  <c r="BS35" i="3"/>
  <c r="BT35" i="3"/>
  <c r="BL35" i="3"/>
  <c r="AZ35" i="3"/>
  <c r="BA36" i="3"/>
  <c r="BM36" i="3"/>
  <c r="BN36" i="3"/>
  <c r="BO36" i="3"/>
  <c r="BP36" i="3"/>
  <c r="BQ36" i="3"/>
  <c r="BR36" i="3"/>
  <c r="BS36" i="3"/>
  <c r="BT36" i="3"/>
  <c r="BL36" i="3"/>
  <c r="AZ36" i="3"/>
  <c r="BA37" i="3"/>
  <c r="BM37" i="3"/>
  <c r="BN37" i="3"/>
  <c r="BO37" i="3"/>
  <c r="BP37" i="3"/>
  <c r="BQ37" i="3"/>
  <c r="BR37" i="3"/>
  <c r="BS37" i="3"/>
  <c r="BT37" i="3"/>
  <c r="BL37" i="3"/>
  <c r="AZ37" i="3"/>
  <c r="BA38" i="3"/>
  <c r="BM38" i="3"/>
  <c r="BN38" i="3"/>
  <c r="BO38" i="3"/>
  <c r="BP38" i="3"/>
  <c r="BQ38" i="3"/>
  <c r="BR38" i="3"/>
  <c r="BS38" i="3"/>
  <c r="BT38" i="3"/>
  <c r="BL38" i="3"/>
  <c r="AZ38" i="3"/>
  <c r="BA39" i="3"/>
  <c r="BM39" i="3"/>
  <c r="BN39" i="3"/>
  <c r="BO39" i="3"/>
  <c r="BP39" i="3"/>
  <c r="BQ39" i="3"/>
  <c r="BR39" i="3"/>
  <c r="BS39" i="3"/>
  <c r="BT39" i="3"/>
  <c r="BL39" i="3"/>
  <c r="AZ39" i="3"/>
  <c r="BA40" i="3"/>
  <c r="BM40" i="3"/>
  <c r="BN40" i="3"/>
  <c r="BO40" i="3"/>
  <c r="BP40" i="3"/>
  <c r="BQ40" i="3"/>
  <c r="BR40" i="3"/>
  <c r="BS40" i="3"/>
  <c r="BT40" i="3"/>
  <c r="BL40" i="3"/>
  <c r="AZ40" i="3"/>
  <c r="BA41" i="3"/>
  <c r="BM41" i="3"/>
  <c r="BN41" i="3"/>
  <c r="BO41" i="3"/>
  <c r="BP41" i="3"/>
  <c r="BQ41" i="3"/>
  <c r="BR41" i="3"/>
  <c r="BS41" i="3"/>
  <c r="BT41" i="3"/>
  <c r="BL41" i="3"/>
  <c r="AZ41" i="3"/>
  <c r="BA42" i="3"/>
  <c r="BM42" i="3"/>
  <c r="BN42" i="3"/>
  <c r="BO42" i="3"/>
  <c r="BP42" i="3"/>
  <c r="BQ42" i="3"/>
  <c r="BR42" i="3"/>
  <c r="BS42" i="3"/>
  <c r="BT42" i="3"/>
  <c r="BL42" i="3"/>
  <c r="AZ42" i="3"/>
  <c r="BA43" i="3"/>
  <c r="BM43" i="3"/>
  <c r="BN43" i="3"/>
  <c r="BO43" i="3"/>
  <c r="BP43" i="3"/>
  <c r="BQ43" i="3"/>
  <c r="BR43" i="3"/>
  <c r="BS43" i="3"/>
  <c r="BT43" i="3"/>
  <c r="BL43" i="3"/>
  <c r="AZ43" i="3"/>
  <c r="BA44" i="3"/>
  <c r="BM44" i="3"/>
  <c r="BN44" i="3"/>
  <c r="BO44" i="3"/>
  <c r="BP44" i="3"/>
  <c r="BQ44" i="3"/>
  <c r="BR44" i="3"/>
  <c r="BS44" i="3"/>
  <c r="BT44" i="3"/>
  <c r="BL44" i="3"/>
  <c r="AZ44" i="3"/>
  <c r="BA45" i="3"/>
  <c r="BM45" i="3"/>
  <c r="BN45" i="3"/>
  <c r="BO45" i="3"/>
  <c r="BP45" i="3"/>
  <c r="BQ45" i="3"/>
  <c r="BR45" i="3"/>
  <c r="BS45" i="3"/>
  <c r="BT45" i="3"/>
  <c r="BL45" i="3"/>
  <c r="AZ45" i="3"/>
  <c r="BA46" i="3"/>
  <c r="BM46" i="3"/>
  <c r="BN46" i="3"/>
  <c r="BO46" i="3"/>
  <c r="BP46" i="3"/>
  <c r="BQ46" i="3"/>
  <c r="BR46" i="3"/>
  <c r="BS46" i="3"/>
  <c r="BT46" i="3"/>
  <c r="BL46" i="3"/>
  <c r="AZ46" i="3"/>
  <c r="BA47" i="3"/>
  <c r="BM47" i="3"/>
  <c r="BN47" i="3"/>
  <c r="BO47" i="3"/>
  <c r="BP47" i="3"/>
  <c r="BQ47" i="3"/>
  <c r="BR47" i="3"/>
  <c r="BS47" i="3"/>
  <c r="BT47" i="3"/>
  <c r="BL47" i="3"/>
  <c r="AZ47" i="3"/>
  <c r="BA48" i="3"/>
  <c r="BM48" i="3"/>
  <c r="BN48" i="3"/>
  <c r="BO48" i="3"/>
  <c r="BP48" i="3"/>
  <c r="BQ48" i="3"/>
  <c r="BR48" i="3"/>
  <c r="BS48" i="3"/>
  <c r="BT48" i="3"/>
  <c r="BL48" i="3"/>
  <c r="AZ48" i="3"/>
  <c r="BA49" i="3"/>
  <c r="BM49" i="3"/>
  <c r="BN49" i="3"/>
  <c r="BO49" i="3"/>
  <c r="BP49" i="3"/>
  <c r="BQ49" i="3"/>
  <c r="BR49" i="3"/>
  <c r="BS49" i="3"/>
  <c r="BT49" i="3"/>
  <c r="BL49" i="3"/>
  <c r="AZ49" i="3"/>
  <c r="BA50" i="3"/>
  <c r="BM50" i="3"/>
  <c r="BN50" i="3"/>
  <c r="BO50" i="3"/>
  <c r="BP50" i="3"/>
  <c r="BQ50" i="3"/>
  <c r="BR50" i="3"/>
  <c r="BS50" i="3"/>
  <c r="BT50" i="3"/>
  <c r="BL50" i="3"/>
  <c r="AZ50" i="3"/>
  <c r="BA51" i="3"/>
  <c r="BM51" i="3"/>
  <c r="BN51" i="3"/>
  <c r="BO51" i="3"/>
  <c r="BP51" i="3"/>
  <c r="BQ51" i="3"/>
  <c r="BR51" i="3"/>
  <c r="BS51" i="3"/>
  <c r="BT51" i="3"/>
  <c r="BL51" i="3"/>
  <c r="AZ51" i="3"/>
  <c r="BA52" i="3"/>
  <c r="BM52" i="3"/>
  <c r="BN52" i="3"/>
  <c r="BO52" i="3"/>
  <c r="BP52" i="3"/>
  <c r="BQ52" i="3"/>
  <c r="BR52" i="3"/>
  <c r="BS52" i="3"/>
  <c r="BT52" i="3"/>
  <c r="BL52" i="3"/>
  <c r="AZ52" i="3"/>
  <c r="BA53" i="3"/>
  <c r="BM53" i="3"/>
  <c r="BN53" i="3"/>
  <c r="BO53" i="3"/>
  <c r="BP53" i="3"/>
  <c r="BQ53" i="3"/>
  <c r="BR53" i="3"/>
  <c r="BS53" i="3"/>
  <c r="BT53" i="3"/>
  <c r="BL53" i="3"/>
  <c r="AZ53" i="3"/>
  <c r="BA54" i="3"/>
  <c r="BM54" i="3"/>
  <c r="BN54" i="3"/>
  <c r="BO54" i="3"/>
  <c r="BP54" i="3"/>
  <c r="BQ54" i="3"/>
  <c r="BR54" i="3"/>
  <c r="BS54" i="3"/>
  <c r="BT54" i="3"/>
  <c r="BL54" i="3"/>
  <c r="AZ54" i="3"/>
  <c r="BA55" i="3"/>
  <c r="BM55" i="3"/>
  <c r="BN55" i="3"/>
  <c r="BO55" i="3"/>
  <c r="BP55" i="3"/>
  <c r="BQ55" i="3"/>
  <c r="BR55" i="3"/>
  <c r="BS55" i="3"/>
  <c r="BT55" i="3"/>
  <c r="BL55" i="3"/>
  <c r="AZ55" i="3"/>
  <c r="BA56" i="3"/>
  <c r="BM56" i="3"/>
  <c r="BN56" i="3"/>
  <c r="BO56" i="3"/>
  <c r="BP56" i="3"/>
  <c r="BQ56" i="3"/>
  <c r="BR56" i="3"/>
  <c r="BS56" i="3"/>
  <c r="BT56" i="3"/>
  <c r="BL56" i="3"/>
  <c r="AZ56" i="3"/>
  <c r="BA57" i="3"/>
  <c r="BM57" i="3"/>
  <c r="BN57" i="3"/>
  <c r="BO57" i="3"/>
  <c r="BP57" i="3"/>
  <c r="BQ57" i="3"/>
  <c r="BR57" i="3"/>
  <c r="BS57" i="3"/>
  <c r="BT57" i="3"/>
  <c r="BL57" i="3"/>
  <c r="AZ57" i="3"/>
  <c r="BA58" i="3"/>
  <c r="BM58" i="3"/>
  <c r="BN58" i="3"/>
  <c r="BO58" i="3"/>
  <c r="BP58" i="3"/>
  <c r="BQ58" i="3"/>
  <c r="BR58" i="3"/>
  <c r="BS58" i="3"/>
  <c r="BT58" i="3"/>
  <c r="BL58" i="3"/>
  <c r="AZ58" i="3"/>
  <c r="BA59" i="3"/>
  <c r="BM59" i="3"/>
  <c r="BN59" i="3"/>
  <c r="BO59" i="3"/>
  <c r="BP59" i="3"/>
  <c r="BQ59" i="3"/>
  <c r="BR59" i="3"/>
  <c r="BS59" i="3"/>
  <c r="BT59" i="3"/>
  <c r="BL59" i="3"/>
  <c r="AZ59" i="3"/>
  <c r="BA60" i="3"/>
  <c r="BM60" i="3"/>
  <c r="BN60" i="3"/>
  <c r="BO60" i="3"/>
  <c r="BP60" i="3"/>
  <c r="BQ60" i="3"/>
  <c r="BR60" i="3"/>
  <c r="BS60" i="3"/>
  <c r="BT60" i="3"/>
  <c r="BL60" i="3"/>
  <c r="AZ60" i="3"/>
  <c r="BA61" i="3"/>
  <c r="BM61" i="3"/>
  <c r="BN61" i="3"/>
  <c r="BO61" i="3"/>
  <c r="BP61" i="3"/>
  <c r="BQ61" i="3"/>
  <c r="BR61" i="3"/>
  <c r="BS61" i="3"/>
  <c r="BT61" i="3"/>
  <c r="BL61" i="3"/>
  <c r="AZ61" i="3"/>
  <c r="BA62" i="3"/>
  <c r="BM62" i="3"/>
  <c r="BN62" i="3"/>
  <c r="BO62" i="3"/>
  <c r="BP62" i="3"/>
  <c r="BQ62" i="3"/>
  <c r="BR62" i="3"/>
  <c r="BS62" i="3"/>
  <c r="BT62" i="3"/>
  <c r="BL62" i="3"/>
  <c r="AZ62" i="3"/>
  <c r="BA63" i="3"/>
  <c r="BM63" i="3"/>
  <c r="BN63" i="3"/>
  <c r="BO63" i="3"/>
  <c r="BP63" i="3"/>
  <c r="BQ63" i="3"/>
  <c r="BR63" i="3"/>
  <c r="BS63" i="3"/>
  <c r="BT63" i="3"/>
  <c r="BL63" i="3"/>
  <c r="AZ63" i="3"/>
  <c r="BA64" i="3"/>
  <c r="BM64" i="3"/>
  <c r="BN64" i="3"/>
  <c r="BO64" i="3"/>
  <c r="BP64" i="3"/>
  <c r="BQ64" i="3"/>
  <c r="BR64" i="3"/>
  <c r="BS64" i="3"/>
  <c r="BT64" i="3"/>
  <c r="BL64" i="3"/>
  <c r="AZ64" i="3"/>
  <c r="BA65" i="3"/>
  <c r="BM65" i="3"/>
  <c r="BN65" i="3"/>
  <c r="BO65" i="3"/>
  <c r="BP65" i="3"/>
  <c r="BQ65" i="3"/>
  <c r="BR65" i="3"/>
  <c r="BS65" i="3"/>
  <c r="BT65" i="3"/>
  <c r="BL65" i="3"/>
  <c r="AZ65" i="3"/>
  <c r="BA66" i="3"/>
  <c r="BM66" i="3"/>
  <c r="BN66" i="3"/>
  <c r="BO66" i="3"/>
  <c r="BP66" i="3"/>
  <c r="BQ66" i="3"/>
  <c r="BR66" i="3"/>
  <c r="BS66" i="3"/>
  <c r="BT66" i="3"/>
  <c r="BL66" i="3"/>
  <c r="AZ66" i="3"/>
  <c r="BA67" i="3"/>
  <c r="BM67" i="3"/>
  <c r="BN67" i="3"/>
  <c r="BO67" i="3"/>
  <c r="BP67" i="3"/>
  <c r="BQ67" i="3"/>
  <c r="BR67" i="3"/>
  <c r="BS67" i="3"/>
  <c r="BT67" i="3"/>
  <c r="BL67" i="3"/>
  <c r="AZ67" i="3"/>
  <c r="BA68" i="3"/>
  <c r="BM68" i="3"/>
  <c r="BN68" i="3"/>
  <c r="BO68" i="3"/>
  <c r="BP68" i="3"/>
  <c r="BQ68" i="3"/>
  <c r="BR68" i="3"/>
  <c r="BS68" i="3"/>
  <c r="BT68" i="3"/>
  <c r="BL68" i="3"/>
  <c r="AZ68" i="3"/>
  <c r="BA69" i="3"/>
  <c r="BM69" i="3"/>
  <c r="BN69" i="3"/>
  <c r="BO69" i="3"/>
  <c r="BP69" i="3"/>
  <c r="BQ69" i="3"/>
  <c r="BR69" i="3"/>
  <c r="BS69" i="3"/>
  <c r="BT69" i="3"/>
  <c r="BL69" i="3"/>
  <c r="AZ69" i="3"/>
  <c r="BA70" i="3"/>
  <c r="BM70" i="3"/>
  <c r="BN70" i="3"/>
  <c r="BO70" i="3"/>
  <c r="BP70" i="3"/>
  <c r="BQ70" i="3"/>
  <c r="BR70" i="3"/>
  <c r="BS70" i="3"/>
  <c r="BT70" i="3"/>
  <c r="BL70" i="3"/>
  <c r="AZ70" i="3"/>
  <c r="BA71" i="3"/>
  <c r="BM71" i="3"/>
  <c r="BN71" i="3"/>
  <c r="BO71" i="3"/>
  <c r="BP71" i="3"/>
  <c r="BQ71" i="3"/>
  <c r="BR71" i="3"/>
  <c r="BS71" i="3"/>
  <c r="BT71" i="3"/>
  <c r="BL71" i="3"/>
  <c r="AZ71" i="3"/>
  <c r="BA72" i="3"/>
  <c r="BM72" i="3"/>
  <c r="BN72" i="3"/>
  <c r="BO72" i="3"/>
  <c r="BP72" i="3"/>
  <c r="BQ72" i="3"/>
  <c r="BR72" i="3"/>
  <c r="BS72" i="3"/>
  <c r="BT72" i="3"/>
  <c r="BL72" i="3"/>
  <c r="AZ72" i="3"/>
  <c r="BA73" i="3"/>
  <c r="BM73" i="3"/>
  <c r="BN73" i="3"/>
  <c r="BO73" i="3"/>
  <c r="BP73" i="3"/>
  <c r="BQ73" i="3"/>
  <c r="BR73" i="3"/>
  <c r="BS73" i="3"/>
  <c r="BT73" i="3"/>
  <c r="BL73" i="3"/>
  <c r="AZ73" i="3"/>
  <c r="BA74" i="3"/>
  <c r="BM74" i="3"/>
  <c r="BN74" i="3"/>
  <c r="BO74" i="3"/>
  <c r="BP74" i="3"/>
  <c r="BQ74" i="3"/>
  <c r="BR74" i="3"/>
  <c r="BS74" i="3"/>
  <c r="BT74" i="3"/>
  <c r="BL74" i="3"/>
  <c r="AZ74" i="3"/>
  <c r="BA75" i="3"/>
  <c r="BM75" i="3"/>
  <c r="BN75" i="3"/>
  <c r="BO75" i="3"/>
  <c r="BP75" i="3"/>
  <c r="BQ75" i="3"/>
  <c r="BR75" i="3"/>
  <c r="BS75" i="3"/>
  <c r="BT75" i="3"/>
  <c r="BL75" i="3"/>
  <c r="AZ75" i="3"/>
  <c r="BA76" i="3"/>
  <c r="BM76" i="3"/>
  <c r="BN76" i="3"/>
  <c r="BO76" i="3"/>
  <c r="BP76" i="3"/>
  <c r="BQ76" i="3"/>
  <c r="BR76" i="3"/>
  <c r="BS76" i="3"/>
  <c r="BT76" i="3"/>
  <c r="BL76" i="3"/>
  <c r="AZ76" i="3"/>
  <c r="BA77" i="3"/>
  <c r="BM77" i="3"/>
  <c r="BN77" i="3"/>
  <c r="BO77" i="3"/>
  <c r="BP77" i="3"/>
  <c r="BQ77" i="3"/>
  <c r="BR77" i="3"/>
  <c r="BS77" i="3"/>
  <c r="BT77" i="3"/>
  <c r="BL77" i="3"/>
  <c r="AZ77" i="3"/>
  <c r="BA78" i="3"/>
  <c r="BM78" i="3"/>
  <c r="BN78" i="3"/>
  <c r="BO78" i="3"/>
  <c r="BP78" i="3"/>
  <c r="BQ78" i="3"/>
  <c r="BR78" i="3"/>
  <c r="BS78" i="3"/>
  <c r="BT78" i="3"/>
  <c r="BL78" i="3"/>
  <c r="AZ78" i="3"/>
  <c r="BA79" i="3"/>
  <c r="BM79" i="3"/>
  <c r="BN79" i="3"/>
  <c r="BO79" i="3"/>
  <c r="BP79" i="3"/>
  <c r="BQ79" i="3"/>
  <c r="BR79" i="3"/>
  <c r="BS79" i="3"/>
  <c r="BT79" i="3"/>
  <c r="BL79" i="3"/>
  <c r="AZ79" i="3"/>
  <c r="BA80" i="3"/>
  <c r="BM80" i="3"/>
  <c r="BN80" i="3"/>
  <c r="BO80" i="3"/>
  <c r="BP80" i="3"/>
  <c r="BQ80" i="3"/>
  <c r="BR80" i="3"/>
  <c r="BS80" i="3"/>
  <c r="BT80" i="3"/>
  <c r="BL80" i="3"/>
  <c r="AZ80" i="3"/>
  <c r="BA81" i="3"/>
  <c r="BM81" i="3"/>
  <c r="BN81" i="3"/>
  <c r="BO81" i="3"/>
  <c r="BP81" i="3"/>
  <c r="BQ81" i="3"/>
  <c r="BR81" i="3"/>
  <c r="BS81" i="3"/>
  <c r="BT81" i="3"/>
  <c r="BL81" i="3"/>
  <c r="AZ81" i="3"/>
  <c r="BA82" i="3"/>
  <c r="BM82" i="3"/>
  <c r="BN82" i="3"/>
  <c r="BO82" i="3"/>
  <c r="BP82" i="3"/>
  <c r="BQ82" i="3"/>
  <c r="BR82" i="3"/>
  <c r="BS82" i="3"/>
  <c r="BT82" i="3"/>
  <c r="BL82" i="3"/>
  <c r="AZ82" i="3"/>
  <c r="BA83" i="3"/>
  <c r="BM83" i="3"/>
  <c r="BN83" i="3"/>
  <c r="BO83" i="3"/>
  <c r="BP83" i="3"/>
  <c r="BQ83" i="3"/>
  <c r="BR83" i="3"/>
  <c r="BS83" i="3"/>
  <c r="BT83" i="3"/>
  <c r="BL83" i="3"/>
  <c r="AZ83" i="3"/>
  <c r="BA84" i="3"/>
  <c r="BM84" i="3"/>
  <c r="BN84" i="3"/>
  <c r="BO84" i="3"/>
  <c r="BP84" i="3"/>
  <c r="BQ84" i="3"/>
  <c r="BR84" i="3"/>
  <c r="BS84" i="3"/>
  <c r="BT84" i="3"/>
  <c r="BL84" i="3"/>
  <c r="AZ84" i="3"/>
  <c r="BA85" i="3"/>
  <c r="BM85" i="3"/>
  <c r="BN85" i="3"/>
  <c r="BO85" i="3"/>
  <c r="BP85" i="3"/>
  <c r="BQ85" i="3"/>
  <c r="BR85" i="3"/>
  <c r="BS85" i="3"/>
  <c r="BT85" i="3"/>
  <c r="BL85" i="3"/>
  <c r="AZ85" i="3"/>
  <c r="BA86" i="3"/>
  <c r="BM86" i="3"/>
  <c r="BN86" i="3"/>
  <c r="BO86" i="3"/>
  <c r="BP86" i="3"/>
  <c r="BQ86" i="3"/>
  <c r="BR86" i="3"/>
  <c r="BS86" i="3"/>
  <c r="BT86" i="3"/>
  <c r="BL86" i="3"/>
  <c r="AZ86" i="3"/>
  <c r="BA87" i="3"/>
  <c r="BM87" i="3"/>
  <c r="BN87" i="3"/>
  <c r="BO87" i="3"/>
  <c r="BP87" i="3"/>
  <c r="BQ87" i="3"/>
  <c r="BR87" i="3"/>
  <c r="BS87" i="3"/>
  <c r="BT87" i="3"/>
  <c r="BL87" i="3"/>
  <c r="AZ87" i="3"/>
  <c r="BA88" i="3"/>
  <c r="BM88" i="3"/>
  <c r="BN88" i="3"/>
  <c r="BO88" i="3"/>
  <c r="BP88" i="3"/>
  <c r="BQ88" i="3"/>
  <c r="BR88" i="3"/>
  <c r="BS88" i="3"/>
  <c r="BT88" i="3"/>
  <c r="BL88" i="3"/>
  <c r="AZ88" i="3"/>
  <c r="BA89" i="3"/>
  <c r="BM89" i="3"/>
  <c r="BN89" i="3"/>
  <c r="BO89" i="3"/>
  <c r="BP89" i="3"/>
  <c r="BQ89" i="3"/>
  <c r="BR89" i="3"/>
  <c r="BS89" i="3"/>
  <c r="BT89" i="3"/>
  <c r="BL89" i="3"/>
  <c r="AZ89" i="3"/>
  <c r="BA90" i="3"/>
  <c r="BM90" i="3"/>
  <c r="BN90" i="3"/>
  <c r="BO90" i="3"/>
  <c r="BP90" i="3"/>
  <c r="BQ90" i="3"/>
  <c r="BR90" i="3"/>
  <c r="BS90" i="3"/>
  <c r="BT90" i="3"/>
  <c r="BL90" i="3"/>
  <c r="AZ90" i="3"/>
  <c r="BA91" i="3"/>
  <c r="BM91" i="3"/>
  <c r="BN91" i="3"/>
  <c r="BO91" i="3"/>
  <c r="BP91" i="3"/>
  <c r="BQ91" i="3"/>
  <c r="BR91" i="3"/>
  <c r="BS91" i="3"/>
  <c r="BT91" i="3"/>
  <c r="BL91" i="3"/>
  <c r="AZ91" i="3"/>
  <c r="BA92" i="3"/>
  <c r="BM92" i="3"/>
  <c r="BN92" i="3"/>
  <c r="BO92" i="3"/>
  <c r="BP92" i="3"/>
  <c r="BQ92" i="3"/>
  <c r="BR92" i="3"/>
  <c r="BS92" i="3"/>
  <c r="BT92" i="3"/>
  <c r="BL92" i="3"/>
  <c r="AZ92" i="3"/>
  <c r="BA93" i="3"/>
  <c r="BM93" i="3"/>
  <c r="BN93" i="3"/>
  <c r="BO93" i="3"/>
  <c r="BP93" i="3"/>
  <c r="BQ93" i="3"/>
  <c r="BR93" i="3"/>
  <c r="BS93" i="3"/>
  <c r="BT93" i="3"/>
  <c r="BL93" i="3"/>
  <c r="AZ93" i="3"/>
  <c r="BA94" i="3"/>
  <c r="BM94" i="3"/>
  <c r="BN94" i="3"/>
  <c r="BO94" i="3"/>
  <c r="BP94" i="3"/>
  <c r="BQ94" i="3"/>
  <c r="BR94" i="3"/>
  <c r="BS94" i="3"/>
  <c r="BT94" i="3"/>
  <c r="BL94" i="3"/>
  <c r="AZ94" i="3"/>
  <c r="BA95" i="3"/>
  <c r="BM95" i="3"/>
  <c r="BN95" i="3"/>
  <c r="BO95" i="3"/>
  <c r="BP95" i="3"/>
  <c r="BQ95" i="3"/>
  <c r="BR95" i="3"/>
  <c r="BS95" i="3"/>
  <c r="BT95" i="3"/>
  <c r="BL95" i="3"/>
  <c r="AZ95" i="3"/>
  <c r="BA96" i="3"/>
  <c r="BM96" i="3"/>
  <c r="BN96" i="3"/>
  <c r="BO96" i="3"/>
  <c r="BP96" i="3"/>
  <c r="BQ96" i="3"/>
  <c r="BR96" i="3"/>
  <c r="BS96" i="3"/>
  <c r="BT96" i="3"/>
  <c r="BL96" i="3"/>
  <c r="AZ96" i="3"/>
  <c r="BA97" i="3"/>
  <c r="BM97" i="3"/>
  <c r="BN97" i="3"/>
  <c r="BO97" i="3"/>
  <c r="BP97" i="3"/>
  <c r="BQ97" i="3"/>
  <c r="BR97" i="3"/>
  <c r="BS97" i="3"/>
  <c r="BT97" i="3"/>
  <c r="BL97" i="3"/>
  <c r="AZ97" i="3"/>
  <c r="BA98" i="3"/>
  <c r="BM98" i="3"/>
  <c r="BN98" i="3"/>
  <c r="BO98" i="3"/>
  <c r="BP98" i="3"/>
  <c r="BQ98" i="3"/>
  <c r="BR98" i="3"/>
  <c r="BS98" i="3"/>
  <c r="BT98" i="3"/>
  <c r="BL98" i="3"/>
  <c r="AZ98" i="3"/>
  <c r="BA99" i="3"/>
  <c r="BM99" i="3"/>
  <c r="BN99" i="3"/>
  <c r="BO99" i="3"/>
  <c r="BP99" i="3"/>
  <c r="BQ99" i="3"/>
  <c r="BR99" i="3"/>
  <c r="BS99" i="3"/>
  <c r="BT99" i="3"/>
  <c r="BL99" i="3"/>
  <c r="AZ99" i="3"/>
  <c r="BA100" i="3"/>
  <c r="BM100" i="3"/>
  <c r="BN100" i="3"/>
  <c r="BO100" i="3"/>
  <c r="BP100" i="3"/>
  <c r="BQ100" i="3"/>
  <c r="BR100" i="3"/>
  <c r="BS100" i="3"/>
  <c r="BT100" i="3"/>
  <c r="BL100" i="3"/>
  <c r="AZ100" i="3"/>
  <c r="BA101" i="3"/>
  <c r="BM101" i="3"/>
  <c r="BN101" i="3"/>
  <c r="BO101" i="3"/>
  <c r="BP101" i="3"/>
  <c r="BQ101" i="3"/>
  <c r="BR101" i="3"/>
  <c r="BS101" i="3"/>
  <c r="BT101" i="3"/>
  <c r="BL101" i="3"/>
  <c r="AZ101" i="3"/>
  <c r="BA102" i="3"/>
  <c r="BM102" i="3"/>
  <c r="BN102" i="3"/>
  <c r="BO102" i="3"/>
  <c r="BP102" i="3"/>
  <c r="BQ102" i="3"/>
  <c r="BR102" i="3"/>
  <c r="BS102" i="3"/>
  <c r="BT102" i="3"/>
  <c r="BL102" i="3"/>
  <c r="AZ102" i="3"/>
  <c r="BA103" i="3"/>
  <c r="BM103" i="3"/>
  <c r="BN103" i="3"/>
  <c r="BO103" i="3"/>
  <c r="BP103" i="3"/>
  <c r="BQ103" i="3"/>
  <c r="BR103" i="3"/>
  <c r="BS103" i="3"/>
  <c r="BT103" i="3"/>
  <c r="BL103" i="3"/>
  <c r="AZ103" i="3"/>
  <c r="BA104" i="3"/>
  <c r="BM104" i="3"/>
  <c r="BN104" i="3"/>
  <c r="BO104" i="3"/>
  <c r="BP104" i="3"/>
  <c r="BQ104" i="3"/>
  <c r="BR104" i="3"/>
  <c r="BS104" i="3"/>
  <c r="BT104" i="3"/>
  <c r="BL104" i="3"/>
  <c r="AZ104" i="3"/>
  <c r="BA105" i="3"/>
  <c r="BM105" i="3"/>
  <c r="BN105" i="3"/>
  <c r="BO105" i="3"/>
  <c r="BP105" i="3"/>
  <c r="BQ105" i="3"/>
  <c r="BR105" i="3"/>
  <c r="BS105" i="3"/>
  <c r="BT105" i="3"/>
  <c r="BL105" i="3"/>
  <c r="AZ105" i="3"/>
  <c r="BA106" i="3"/>
  <c r="BM106" i="3"/>
  <c r="BN106" i="3"/>
  <c r="BO106" i="3"/>
  <c r="BP106" i="3"/>
  <c r="BQ106" i="3"/>
  <c r="BR106" i="3"/>
  <c r="BS106" i="3"/>
  <c r="BT106" i="3"/>
  <c r="BL106" i="3"/>
  <c r="AZ106" i="3"/>
  <c r="BA107" i="3"/>
  <c r="BM107" i="3"/>
  <c r="BN107" i="3"/>
  <c r="BO107" i="3"/>
  <c r="BP107" i="3"/>
  <c r="BQ107" i="3"/>
  <c r="BR107" i="3"/>
  <c r="BS107" i="3"/>
  <c r="BT107" i="3"/>
  <c r="BL107" i="3"/>
  <c r="AZ107" i="3"/>
  <c r="BA108" i="3"/>
  <c r="BM108" i="3"/>
  <c r="BN108" i="3"/>
  <c r="BO108" i="3"/>
  <c r="BP108" i="3"/>
  <c r="BQ108" i="3"/>
  <c r="BR108" i="3"/>
  <c r="BS108" i="3"/>
  <c r="BT108" i="3"/>
  <c r="BL108" i="3"/>
  <c r="AZ108" i="3"/>
  <c r="BA109" i="3"/>
  <c r="BM109" i="3"/>
  <c r="BN109" i="3"/>
  <c r="BO109" i="3"/>
  <c r="BP109" i="3"/>
  <c r="BQ109" i="3"/>
  <c r="BR109" i="3"/>
  <c r="BS109" i="3"/>
  <c r="BT109" i="3"/>
  <c r="BL109" i="3"/>
  <c r="AZ109" i="3"/>
  <c r="BA110" i="3"/>
  <c r="BM110" i="3"/>
  <c r="BN110" i="3"/>
  <c r="BO110" i="3"/>
  <c r="BP110" i="3"/>
  <c r="BQ110" i="3"/>
  <c r="BR110" i="3"/>
  <c r="BS110" i="3"/>
  <c r="BT110" i="3"/>
  <c r="BL110" i="3"/>
  <c r="AZ110" i="3"/>
  <c r="BA111" i="3"/>
  <c r="BM111" i="3"/>
  <c r="BN111" i="3"/>
  <c r="BO111" i="3"/>
  <c r="BP111" i="3"/>
  <c r="BQ111" i="3"/>
  <c r="BR111" i="3"/>
  <c r="BS111" i="3"/>
  <c r="BT111" i="3"/>
  <c r="BL111" i="3"/>
  <c r="AZ111" i="3"/>
  <c r="BA112" i="3"/>
  <c r="BM112" i="3"/>
  <c r="BN112" i="3"/>
  <c r="BO112" i="3"/>
  <c r="BP112" i="3"/>
  <c r="BQ112" i="3"/>
  <c r="BR112" i="3"/>
  <c r="BS112" i="3"/>
  <c r="BT112" i="3"/>
  <c r="BL112" i="3"/>
  <c r="AZ112" i="3"/>
  <c r="BA113" i="3"/>
  <c r="BM113" i="3"/>
  <c r="BN113" i="3"/>
  <c r="BO113" i="3"/>
  <c r="BP113" i="3"/>
  <c r="BQ113" i="3"/>
  <c r="BR113" i="3"/>
  <c r="BS113" i="3"/>
  <c r="BT113" i="3"/>
  <c r="BL113" i="3"/>
  <c r="AZ113" i="3"/>
  <c r="BA114" i="3"/>
  <c r="BM114" i="3"/>
  <c r="BN114" i="3"/>
  <c r="BO114" i="3"/>
  <c r="BP114" i="3"/>
  <c r="BQ114" i="3"/>
  <c r="BR114" i="3"/>
  <c r="BS114" i="3"/>
  <c r="BT114" i="3"/>
  <c r="BL114" i="3"/>
  <c r="AZ114" i="3"/>
  <c r="BA115" i="3"/>
  <c r="BM115" i="3"/>
  <c r="BN115" i="3"/>
  <c r="BO115" i="3"/>
  <c r="BP115" i="3"/>
  <c r="BQ115" i="3"/>
  <c r="BR115" i="3"/>
  <c r="BS115" i="3"/>
  <c r="BT115" i="3"/>
  <c r="BL115" i="3"/>
  <c r="AZ115" i="3"/>
  <c r="BA116" i="3"/>
  <c r="BM116" i="3"/>
  <c r="BN116" i="3"/>
  <c r="BO116" i="3"/>
  <c r="BP116" i="3"/>
  <c r="BQ116" i="3"/>
  <c r="BR116" i="3"/>
  <c r="BS116" i="3"/>
  <c r="BT116" i="3"/>
  <c r="BL116" i="3"/>
  <c r="AZ116" i="3"/>
  <c r="BA117" i="3"/>
  <c r="BM117" i="3"/>
  <c r="BN117" i="3"/>
  <c r="BO117" i="3"/>
  <c r="BP117" i="3"/>
  <c r="BQ117" i="3"/>
  <c r="BR117" i="3"/>
  <c r="BS117" i="3"/>
  <c r="BT117" i="3"/>
  <c r="BL117" i="3"/>
  <c r="AZ117" i="3"/>
  <c r="BA118" i="3"/>
  <c r="BM118" i="3"/>
  <c r="BN118" i="3"/>
  <c r="BO118" i="3"/>
  <c r="BP118" i="3"/>
  <c r="BQ118" i="3"/>
  <c r="BR118" i="3"/>
  <c r="BS118" i="3"/>
  <c r="BT118" i="3"/>
  <c r="BL118" i="3"/>
  <c r="AZ118" i="3"/>
  <c r="BA119" i="3"/>
  <c r="BM119" i="3"/>
  <c r="BN119" i="3"/>
  <c r="BO119" i="3"/>
  <c r="BP119" i="3"/>
  <c r="BQ119" i="3"/>
  <c r="BR119" i="3"/>
  <c r="BS119" i="3"/>
  <c r="BT119" i="3"/>
  <c r="BL119" i="3"/>
  <c r="AZ119" i="3"/>
  <c r="BA120" i="3"/>
  <c r="BM120" i="3"/>
  <c r="BN120" i="3"/>
  <c r="BO120" i="3"/>
  <c r="BP120" i="3"/>
  <c r="BQ120" i="3"/>
  <c r="BR120" i="3"/>
  <c r="BS120" i="3"/>
  <c r="BT120" i="3"/>
  <c r="BL120" i="3"/>
  <c r="AZ120" i="3"/>
  <c r="BA121" i="3"/>
  <c r="BM121" i="3"/>
  <c r="BN121" i="3"/>
  <c r="BO121" i="3"/>
  <c r="BP121" i="3"/>
  <c r="BQ121" i="3"/>
  <c r="BR121" i="3"/>
  <c r="BS121" i="3"/>
  <c r="BT121" i="3"/>
  <c r="BL121" i="3"/>
  <c r="AZ121" i="3"/>
  <c r="BA122" i="3"/>
  <c r="BM122" i="3"/>
  <c r="BN122" i="3"/>
  <c r="BO122" i="3"/>
  <c r="BP122" i="3"/>
  <c r="BQ122" i="3"/>
  <c r="BR122" i="3"/>
  <c r="BS122" i="3"/>
  <c r="BT122" i="3"/>
  <c r="BL122" i="3"/>
  <c r="AZ122" i="3"/>
  <c r="BA123" i="3"/>
  <c r="BM123" i="3"/>
  <c r="BN123" i="3"/>
  <c r="BO123" i="3"/>
  <c r="BP123" i="3"/>
  <c r="BQ123" i="3"/>
  <c r="BR123" i="3"/>
  <c r="BS123" i="3"/>
  <c r="BT123" i="3"/>
  <c r="BL123" i="3"/>
  <c r="AZ123" i="3"/>
  <c r="BA124" i="3"/>
  <c r="BM124" i="3"/>
  <c r="BN124" i="3"/>
  <c r="BO124" i="3"/>
  <c r="BP124" i="3"/>
  <c r="BQ124" i="3"/>
  <c r="BR124" i="3"/>
  <c r="BS124" i="3"/>
  <c r="BT124" i="3"/>
  <c r="BL124" i="3"/>
  <c r="AZ124" i="3"/>
  <c r="BA125" i="3"/>
  <c r="BM125" i="3"/>
  <c r="BN125" i="3"/>
  <c r="BO125" i="3"/>
  <c r="BP125" i="3"/>
  <c r="BQ125" i="3"/>
  <c r="BR125" i="3"/>
  <c r="BS125" i="3"/>
  <c r="BT125" i="3"/>
  <c r="BL125" i="3"/>
  <c r="AZ125" i="3"/>
  <c r="BA126" i="3"/>
  <c r="BM126" i="3"/>
  <c r="BN126" i="3"/>
  <c r="BO126" i="3"/>
  <c r="BP126" i="3"/>
  <c r="BQ126" i="3"/>
  <c r="BR126" i="3"/>
  <c r="BS126" i="3"/>
  <c r="BT126" i="3"/>
  <c r="BL126" i="3"/>
  <c r="AZ126" i="3"/>
  <c r="BA127" i="3"/>
  <c r="BM127" i="3"/>
  <c r="BN127" i="3"/>
  <c r="BO127" i="3"/>
  <c r="BP127" i="3"/>
  <c r="BQ127" i="3"/>
  <c r="BR127" i="3"/>
  <c r="BS127" i="3"/>
  <c r="BT127" i="3"/>
  <c r="BL127" i="3"/>
  <c r="AZ127" i="3"/>
  <c r="BA128" i="3"/>
  <c r="BM128" i="3"/>
  <c r="BN128" i="3"/>
  <c r="BO128" i="3"/>
  <c r="BP128" i="3"/>
  <c r="BQ128" i="3"/>
  <c r="BR128" i="3"/>
  <c r="BS128" i="3"/>
  <c r="BT128" i="3"/>
  <c r="BL128" i="3"/>
  <c r="AZ128" i="3"/>
  <c r="BA129" i="3"/>
  <c r="BM129" i="3"/>
  <c r="BN129" i="3"/>
  <c r="BO129" i="3"/>
  <c r="BP129" i="3"/>
  <c r="BQ129" i="3"/>
  <c r="BR129" i="3"/>
  <c r="BS129" i="3"/>
  <c r="BT129" i="3"/>
  <c r="BL129" i="3"/>
  <c r="AZ129" i="3"/>
  <c r="BA130" i="3"/>
  <c r="BM130" i="3"/>
  <c r="BN130" i="3"/>
  <c r="BO130" i="3"/>
  <c r="BP130" i="3"/>
  <c r="BQ130" i="3"/>
  <c r="BR130" i="3"/>
  <c r="BS130" i="3"/>
  <c r="BT130" i="3"/>
  <c r="BL130" i="3"/>
  <c r="AZ130" i="3"/>
  <c r="BA131" i="3"/>
  <c r="BM131" i="3"/>
  <c r="BN131" i="3"/>
  <c r="BO131" i="3"/>
  <c r="BP131" i="3"/>
  <c r="BQ131" i="3"/>
  <c r="BR131" i="3"/>
  <c r="BS131" i="3"/>
  <c r="BT131" i="3"/>
  <c r="BL131" i="3"/>
  <c r="AZ131" i="3"/>
  <c r="BA132" i="3"/>
  <c r="BM132" i="3"/>
  <c r="BN132" i="3"/>
  <c r="BO132" i="3"/>
  <c r="BP132" i="3"/>
  <c r="BQ132" i="3"/>
  <c r="BR132" i="3"/>
  <c r="BS132" i="3"/>
  <c r="BT132" i="3"/>
  <c r="BL132" i="3"/>
  <c r="AZ132" i="3"/>
  <c r="BA133" i="3"/>
  <c r="BM133" i="3"/>
  <c r="BN133" i="3"/>
  <c r="BO133" i="3"/>
  <c r="BP133" i="3"/>
  <c r="BQ133" i="3"/>
  <c r="BR133" i="3"/>
  <c r="BS133" i="3"/>
  <c r="BT133" i="3"/>
  <c r="BL133" i="3"/>
  <c r="AZ133" i="3"/>
  <c r="BA134" i="3"/>
  <c r="BM134" i="3"/>
  <c r="BN134" i="3"/>
  <c r="BO134" i="3"/>
  <c r="BP134" i="3"/>
  <c r="BQ134" i="3"/>
  <c r="BR134" i="3"/>
  <c r="BS134" i="3"/>
  <c r="BT134" i="3"/>
  <c r="BL134" i="3"/>
  <c r="AZ134" i="3"/>
  <c r="BA135" i="3"/>
  <c r="BM135" i="3"/>
  <c r="BN135" i="3"/>
  <c r="BO135" i="3"/>
  <c r="BP135" i="3"/>
  <c r="BQ135" i="3"/>
  <c r="BR135" i="3"/>
  <c r="BS135" i="3"/>
  <c r="BT135" i="3"/>
  <c r="BL135" i="3"/>
  <c r="AZ135" i="3"/>
  <c r="BA136" i="3"/>
  <c r="BM136" i="3"/>
  <c r="BN136" i="3"/>
  <c r="BO136" i="3"/>
  <c r="BP136" i="3"/>
  <c r="BQ136" i="3"/>
  <c r="BR136" i="3"/>
  <c r="BS136" i="3"/>
  <c r="BT136" i="3"/>
  <c r="BL136" i="3"/>
  <c r="AZ136" i="3"/>
  <c r="BA137" i="3"/>
  <c r="BM137" i="3"/>
  <c r="BN137" i="3"/>
  <c r="BO137" i="3"/>
  <c r="BP137" i="3"/>
  <c r="BQ137" i="3"/>
  <c r="BR137" i="3"/>
  <c r="BS137" i="3"/>
  <c r="BT137" i="3"/>
  <c r="BL137" i="3"/>
  <c r="AZ137" i="3"/>
  <c r="BA138" i="3"/>
  <c r="BM138" i="3"/>
  <c r="BN138" i="3"/>
  <c r="BO138" i="3"/>
  <c r="BP138" i="3"/>
  <c r="BQ138" i="3"/>
  <c r="BR138" i="3"/>
  <c r="BS138" i="3"/>
  <c r="BT138" i="3"/>
  <c r="BL138" i="3"/>
  <c r="AZ138" i="3"/>
  <c r="BA139" i="3"/>
  <c r="BM139" i="3"/>
  <c r="BN139" i="3"/>
  <c r="BO139" i="3"/>
  <c r="BP139" i="3"/>
  <c r="BQ139" i="3"/>
  <c r="BR139" i="3"/>
  <c r="BS139" i="3"/>
  <c r="BT139" i="3"/>
  <c r="BL139" i="3"/>
  <c r="AZ139" i="3"/>
  <c r="BA140" i="3"/>
  <c r="BM140" i="3"/>
  <c r="BN140" i="3"/>
  <c r="BO140" i="3"/>
  <c r="BP140" i="3"/>
  <c r="BQ140" i="3"/>
  <c r="BR140" i="3"/>
  <c r="BS140" i="3"/>
  <c r="BT140" i="3"/>
  <c r="BL140" i="3"/>
  <c r="AZ140" i="3"/>
  <c r="BA141" i="3"/>
  <c r="BM141" i="3"/>
  <c r="BN141" i="3"/>
  <c r="BO141" i="3"/>
  <c r="BP141" i="3"/>
  <c r="BQ141" i="3"/>
  <c r="BR141" i="3"/>
  <c r="BS141" i="3"/>
  <c r="BT141" i="3"/>
  <c r="BL141" i="3"/>
  <c r="AZ141" i="3"/>
  <c r="BA142" i="3"/>
  <c r="BM142" i="3"/>
  <c r="BN142" i="3"/>
  <c r="BO142" i="3"/>
  <c r="BP142" i="3"/>
  <c r="BQ142" i="3"/>
  <c r="BR142" i="3"/>
  <c r="BS142" i="3"/>
  <c r="BT142" i="3"/>
  <c r="BL142" i="3"/>
  <c r="AZ142" i="3"/>
  <c r="BA143" i="3"/>
  <c r="BM143" i="3"/>
  <c r="BN143" i="3"/>
  <c r="BO143" i="3"/>
  <c r="BP143" i="3"/>
  <c r="BQ143" i="3"/>
  <c r="BR143" i="3"/>
  <c r="BS143" i="3"/>
  <c r="BT143" i="3"/>
  <c r="BL143" i="3"/>
  <c r="AZ143" i="3"/>
  <c r="BA144" i="3"/>
  <c r="BM144" i="3"/>
  <c r="BN144" i="3"/>
  <c r="BO144" i="3"/>
  <c r="BP144" i="3"/>
  <c r="BQ144" i="3"/>
  <c r="BR144" i="3"/>
  <c r="BS144" i="3"/>
  <c r="BT144" i="3"/>
  <c r="BL144" i="3"/>
  <c r="AZ144" i="3"/>
  <c r="BA145" i="3"/>
  <c r="BM145" i="3"/>
  <c r="BN145" i="3"/>
  <c r="BO145" i="3"/>
  <c r="BP145" i="3"/>
  <c r="BQ145" i="3"/>
  <c r="BR145" i="3"/>
  <c r="BS145" i="3"/>
  <c r="BT145" i="3"/>
  <c r="BL145" i="3"/>
  <c r="AZ145" i="3"/>
  <c r="BA146" i="3"/>
  <c r="BM146" i="3"/>
  <c r="BN146" i="3"/>
  <c r="BO146" i="3"/>
  <c r="BP146" i="3"/>
  <c r="BQ146" i="3"/>
  <c r="BR146" i="3"/>
  <c r="BS146" i="3"/>
  <c r="BT146" i="3"/>
  <c r="BL146" i="3"/>
  <c r="AZ146" i="3"/>
  <c r="BA147" i="3"/>
  <c r="BM147" i="3"/>
  <c r="BN147" i="3"/>
  <c r="BO147" i="3"/>
  <c r="BP147" i="3"/>
  <c r="BQ147" i="3"/>
  <c r="BR147" i="3"/>
  <c r="BS147" i="3"/>
  <c r="BT147" i="3"/>
  <c r="BL147" i="3"/>
  <c r="AZ147" i="3"/>
  <c r="BA148" i="3"/>
  <c r="BM148" i="3"/>
  <c r="BN148" i="3"/>
  <c r="BO148" i="3"/>
  <c r="BP148" i="3"/>
  <c r="BQ148" i="3"/>
  <c r="BR148" i="3"/>
  <c r="BS148" i="3"/>
  <c r="BT148" i="3"/>
  <c r="BL148" i="3"/>
  <c r="AZ148" i="3"/>
  <c r="BA149" i="3"/>
  <c r="BM149" i="3"/>
  <c r="BN149" i="3"/>
  <c r="BO149" i="3"/>
  <c r="BP149" i="3"/>
  <c r="BQ149" i="3"/>
  <c r="BR149" i="3"/>
  <c r="BS149" i="3"/>
  <c r="BT149" i="3"/>
  <c r="BL149" i="3"/>
  <c r="AZ149" i="3"/>
  <c r="BA150" i="3"/>
  <c r="BM150" i="3"/>
  <c r="BN150" i="3"/>
  <c r="BO150" i="3"/>
  <c r="BP150" i="3"/>
  <c r="BQ150" i="3"/>
  <c r="BR150" i="3"/>
  <c r="BS150" i="3"/>
  <c r="BT150" i="3"/>
  <c r="BL150" i="3"/>
  <c r="AZ150" i="3"/>
  <c r="BA151" i="3"/>
  <c r="BM151" i="3"/>
  <c r="BN151" i="3"/>
  <c r="BO151" i="3"/>
  <c r="BP151" i="3"/>
  <c r="BQ151" i="3"/>
  <c r="BR151" i="3"/>
  <c r="BS151" i="3"/>
  <c r="BT151" i="3"/>
  <c r="BL151" i="3"/>
  <c r="AZ151" i="3"/>
  <c r="BA152" i="3"/>
  <c r="BM152" i="3"/>
  <c r="BN152" i="3"/>
  <c r="BO152" i="3"/>
  <c r="BP152" i="3"/>
  <c r="BQ152" i="3"/>
  <c r="BR152" i="3"/>
  <c r="BS152" i="3"/>
  <c r="BT152" i="3"/>
  <c r="BL152" i="3"/>
  <c r="AZ152" i="3"/>
  <c r="BA153" i="3"/>
  <c r="BM153" i="3"/>
  <c r="BN153" i="3"/>
  <c r="BO153" i="3"/>
  <c r="BP153" i="3"/>
  <c r="BQ153" i="3"/>
  <c r="BR153" i="3"/>
  <c r="BS153" i="3"/>
  <c r="BT153" i="3"/>
  <c r="BL153" i="3"/>
  <c r="AZ153" i="3"/>
  <c r="BA154" i="3"/>
  <c r="BM154" i="3"/>
  <c r="BN154" i="3"/>
  <c r="BO154" i="3"/>
  <c r="BP154" i="3"/>
  <c r="BQ154" i="3"/>
  <c r="BR154" i="3"/>
  <c r="BS154" i="3"/>
  <c r="BT154" i="3"/>
  <c r="BL154" i="3"/>
  <c r="AZ154" i="3"/>
  <c r="BA155" i="3"/>
  <c r="BM155" i="3"/>
  <c r="BN155" i="3"/>
  <c r="BO155" i="3"/>
  <c r="BP155" i="3"/>
  <c r="BQ155" i="3"/>
  <c r="BR155" i="3"/>
  <c r="BS155" i="3"/>
  <c r="BT155" i="3"/>
  <c r="BL155" i="3"/>
  <c r="AZ155" i="3"/>
  <c r="BA156" i="3"/>
  <c r="BM156" i="3"/>
  <c r="BN156" i="3"/>
  <c r="BO156" i="3"/>
  <c r="BP156" i="3"/>
  <c r="BQ156" i="3"/>
  <c r="BR156" i="3"/>
  <c r="BS156" i="3"/>
  <c r="BT156" i="3"/>
  <c r="BL156" i="3"/>
  <c r="AZ156" i="3"/>
  <c r="BA157" i="3"/>
  <c r="BM157" i="3"/>
  <c r="BN157" i="3"/>
  <c r="BO157" i="3"/>
  <c r="BP157" i="3"/>
  <c r="BQ157" i="3"/>
  <c r="BR157" i="3"/>
  <c r="BS157" i="3"/>
  <c r="BT157" i="3"/>
  <c r="BL157" i="3"/>
  <c r="AZ157" i="3"/>
  <c r="BA158" i="3"/>
  <c r="BM158" i="3"/>
  <c r="BN158" i="3"/>
  <c r="BO158" i="3"/>
  <c r="BP158" i="3"/>
  <c r="BQ158" i="3"/>
  <c r="BR158" i="3"/>
  <c r="BS158" i="3"/>
  <c r="BT158" i="3"/>
  <c r="BL158" i="3"/>
  <c r="AZ158" i="3"/>
  <c r="BA159" i="3"/>
  <c r="BM159" i="3"/>
  <c r="BN159" i="3"/>
  <c r="BO159" i="3"/>
  <c r="BP159" i="3"/>
  <c r="BQ159" i="3"/>
  <c r="BR159" i="3"/>
  <c r="BS159" i="3"/>
  <c r="BT159" i="3"/>
  <c r="BL159" i="3"/>
  <c r="AZ159" i="3"/>
  <c r="BA160" i="3"/>
  <c r="BM160" i="3"/>
  <c r="BN160" i="3"/>
  <c r="BO160" i="3"/>
  <c r="BP160" i="3"/>
  <c r="BQ160" i="3"/>
  <c r="BR160" i="3"/>
  <c r="BS160" i="3"/>
  <c r="BT160" i="3"/>
  <c r="BL160" i="3"/>
  <c r="AZ160" i="3"/>
  <c r="BA161" i="3"/>
  <c r="BM161" i="3"/>
  <c r="BN161" i="3"/>
  <c r="BO161" i="3"/>
  <c r="BP161" i="3"/>
  <c r="BQ161" i="3"/>
  <c r="BR161" i="3"/>
  <c r="BS161" i="3"/>
  <c r="BT161" i="3"/>
  <c r="BL161" i="3"/>
  <c r="AZ161" i="3"/>
  <c r="BA162" i="3"/>
  <c r="BM162" i="3"/>
  <c r="BN162" i="3"/>
  <c r="BO162" i="3"/>
  <c r="BP162" i="3"/>
  <c r="BQ162" i="3"/>
  <c r="BR162" i="3"/>
  <c r="BS162" i="3"/>
  <c r="BT162" i="3"/>
  <c r="BL162" i="3"/>
  <c r="AZ162" i="3"/>
  <c r="BA163" i="3"/>
  <c r="BM163" i="3"/>
  <c r="BN163" i="3"/>
  <c r="BO163" i="3"/>
  <c r="BP163" i="3"/>
  <c r="BQ163" i="3"/>
  <c r="BR163" i="3"/>
  <c r="BS163" i="3"/>
  <c r="BT163" i="3"/>
  <c r="BL163" i="3"/>
  <c r="AZ163" i="3"/>
  <c r="BA164" i="3"/>
  <c r="BM164" i="3"/>
  <c r="BN164" i="3"/>
  <c r="BO164" i="3"/>
  <c r="BP164" i="3"/>
  <c r="BQ164" i="3"/>
  <c r="BR164" i="3"/>
  <c r="BS164" i="3"/>
  <c r="BT164" i="3"/>
  <c r="BL164" i="3"/>
  <c r="AZ164" i="3"/>
  <c r="BA165" i="3"/>
  <c r="BM165" i="3"/>
  <c r="BN165" i="3"/>
  <c r="BO165" i="3"/>
  <c r="BP165" i="3"/>
  <c r="BQ165" i="3"/>
  <c r="BR165" i="3"/>
  <c r="BS165" i="3"/>
  <c r="BT165" i="3"/>
  <c r="BL165" i="3"/>
  <c r="AZ165" i="3"/>
  <c r="BA166" i="3"/>
  <c r="BM166" i="3"/>
  <c r="BN166" i="3"/>
  <c r="BO166" i="3"/>
  <c r="BP166" i="3"/>
  <c r="BQ166" i="3"/>
  <c r="BR166" i="3"/>
  <c r="BS166" i="3"/>
  <c r="BT166" i="3"/>
  <c r="BL166" i="3"/>
  <c r="AZ166" i="3"/>
  <c r="BA167" i="3"/>
  <c r="BM167" i="3"/>
  <c r="BN167" i="3"/>
  <c r="BO167" i="3"/>
  <c r="BP167" i="3"/>
  <c r="BQ167" i="3"/>
  <c r="BR167" i="3"/>
  <c r="BS167" i="3"/>
  <c r="BT167" i="3"/>
  <c r="BL167" i="3"/>
  <c r="AZ167" i="3"/>
  <c r="BA168" i="3"/>
  <c r="BM168" i="3"/>
  <c r="BN168" i="3"/>
  <c r="BO168" i="3"/>
  <c r="BP168" i="3"/>
  <c r="BQ168" i="3"/>
  <c r="BR168" i="3"/>
  <c r="BS168" i="3"/>
  <c r="BT168" i="3"/>
  <c r="BL168" i="3"/>
  <c r="AZ168" i="3"/>
  <c r="BA169" i="3"/>
  <c r="BM169" i="3"/>
  <c r="BN169" i="3"/>
  <c r="BO169" i="3"/>
  <c r="BP169" i="3"/>
  <c r="BQ169" i="3"/>
  <c r="BR169" i="3"/>
  <c r="BS169" i="3"/>
  <c r="BT169" i="3"/>
  <c r="BL169" i="3"/>
  <c r="AZ169" i="3"/>
  <c r="BA170" i="3"/>
  <c r="BM170" i="3"/>
  <c r="BN170" i="3"/>
  <c r="BO170" i="3"/>
  <c r="BP170" i="3"/>
  <c r="BQ170" i="3"/>
  <c r="BR170" i="3"/>
  <c r="BS170" i="3"/>
  <c r="BT170" i="3"/>
  <c r="BL170" i="3"/>
  <c r="AZ170" i="3"/>
  <c r="BA171" i="3"/>
  <c r="BM171" i="3"/>
  <c r="BN171" i="3"/>
  <c r="BO171" i="3"/>
  <c r="BP171" i="3"/>
  <c r="BQ171" i="3"/>
  <c r="BR171" i="3"/>
  <c r="BS171" i="3"/>
  <c r="BT171" i="3"/>
  <c r="BL171" i="3"/>
  <c r="AZ171" i="3"/>
  <c r="BA172" i="3"/>
  <c r="BM172" i="3"/>
  <c r="BN172" i="3"/>
  <c r="BO172" i="3"/>
  <c r="BP172" i="3"/>
  <c r="BQ172" i="3"/>
  <c r="BR172" i="3"/>
  <c r="BS172" i="3"/>
  <c r="BT172" i="3"/>
  <c r="BL172" i="3"/>
  <c r="AZ172" i="3"/>
  <c r="BA173" i="3"/>
  <c r="BM173" i="3"/>
  <c r="BN173" i="3"/>
  <c r="BO173" i="3"/>
  <c r="BP173" i="3"/>
  <c r="BQ173" i="3"/>
  <c r="BR173" i="3"/>
  <c r="BS173" i="3"/>
  <c r="BT173" i="3"/>
  <c r="BL173" i="3"/>
  <c r="AZ173" i="3"/>
  <c r="BA174" i="3"/>
  <c r="BM174" i="3"/>
  <c r="BN174" i="3"/>
  <c r="BO174" i="3"/>
  <c r="BP174" i="3"/>
  <c r="BQ174" i="3"/>
  <c r="BR174" i="3"/>
  <c r="BS174" i="3"/>
  <c r="BT174" i="3"/>
  <c r="BL174" i="3"/>
  <c r="AZ174" i="3"/>
  <c r="BA175" i="3"/>
  <c r="BM175" i="3"/>
  <c r="BN175" i="3"/>
  <c r="BO175" i="3"/>
  <c r="BP175" i="3"/>
  <c r="BQ175" i="3"/>
  <c r="BR175" i="3"/>
  <c r="BS175" i="3"/>
  <c r="BT175" i="3"/>
  <c r="BL175" i="3"/>
  <c r="AZ175" i="3"/>
  <c r="BA176" i="3"/>
  <c r="BM176" i="3"/>
  <c r="BN176" i="3"/>
  <c r="BO176" i="3"/>
  <c r="BP176" i="3"/>
  <c r="BQ176" i="3"/>
  <c r="BR176" i="3"/>
  <c r="BS176" i="3"/>
  <c r="BT176" i="3"/>
  <c r="BL176" i="3"/>
  <c r="AZ176" i="3"/>
  <c r="BA177" i="3"/>
  <c r="BM177" i="3"/>
  <c r="BN177" i="3"/>
  <c r="BO177" i="3"/>
  <c r="BP177" i="3"/>
  <c r="BQ177" i="3"/>
  <c r="BR177" i="3"/>
  <c r="BS177" i="3"/>
  <c r="BT177" i="3"/>
  <c r="BL177" i="3"/>
  <c r="AZ177" i="3"/>
  <c r="BA178" i="3"/>
  <c r="BM178" i="3"/>
  <c r="BN178" i="3"/>
  <c r="BO178" i="3"/>
  <c r="BP178" i="3"/>
  <c r="BQ178" i="3"/>
  <c r="BR178" i="3"/>
  <c r="BS178" i="3"/>
  <c r="BT178" i="3"/>
  <c r="BL178" i="3"/>
  <c r="AZ178" i="3"/>
  <c r="BA179" i="3"/>
  <c r="BM179" i="3"/>
  <c r="BN179" i="3"/>
  <c r="BO179" i="3"/>
  <c r="BP179" i="3"/>
  <c r="BQ179" i="3"/>
  <c r="BR179" i="3"/>
  <c r="BS179" i="3"/>
  <c r="BT179" i="3"/>
  <c r="BL179" i="3"/>
  <c r="AZ179" i="3"/>
  <c r="BA180" i="3"/>
  <c r="BM180" i="3"/>
  <c r="BN180" i="3"/>
  <c r="BO180" i="3"/>
  <c r="BP180" i="3"/>
  <c r="BQ180" i="3"/>
  <c r="BR180" i="3"/>
  <c r="BS180" i="3"/>
  <c r="BT180" i="3"/>
  <c r="BL180" i="3"/>
  <c r="AZ180" i="3"/>
  <c r="BA181" i="3"/>
  <c r="BM181" i="3"/>
  <c r="BN181" i="3"/>
  <c r="BO181" i="3"/>
  <c r="BP181" i="3"/>
  <c r="BQ181" i="3"/>
  <c r="BR181" i="3"/>
  <c r="BS181" i="3"/>
  <c r="BT181" i="3"/>
  <c r="BL181" i="3"/>
  <c r="AZ181" i="3"/>
  <c r="BA182" i="3"/>
  <c r="BM182" i="3"/>
  <c r="BN182" i="3"/>
  <c r="BO182" i="3"/>
  <c r="BP182" i="3"/>
  <c r="BQ182" i="3"/>
  <c r="BR182" i="3"/>
  <c r="BS182" i="3"/>
  <c r="BT182" i="3"/>
  <c r="BL182" i="3"/>
  <c r="AZ182" i="3"/>
  <c r="BA183" i="3"/>
  <c r="BM183" i="3"/>
  <c r="BN183" i="3"/>
  <c r="BO183" i="3"/>
  <c r="BP183" i="3"/>
  <c r="BQ183" i="3"/>
  <c r="BR183" i="3"/>
  <c r="BS183" i="3"/>
  <c r="BT183" i="3"/>
  <c r="BL183" i="3"/>
  <c r="AZ183" i="3"/>
  <c r="BA184" i="3"/>
  <c r="BM184" i="3"/>
  <c r="BN184" i="3"/>
  <c r="BO184" i="3"/>
  <c r="BP184" i="3"/>
  <c r="BQ184" i="3"/>
  <c r="BR184" i="3"/>
  <c r="BS184" i="3"/>
  <c r="BT184" i="3"/>
  <c r="BL184" i="3"/>
  <c r="AZ184" i="3"/>
  <c r="BA185" i="3"/>
  <c r="BM185" i="3"/>
  <c r="BN185" i="3"/>
  <c r="BO185" i="3"/>
  <c r="BP185" i="3"/>
  <c r="BQ185" i="3"/>
  <c r="BR185" i="3"/>
  <c r="BS185" i="3"/>
  <c r="BT185" i="3"/>
  <c r="BL185" i="3"/>
  <c r="AZ185" i="3"/>
  <c r="BA186" i="3"/>
  <c r="BM186" i="3"/>
  <c r="BN186" i="3"/>
  <c r="BO186" i="3"/>
  <c r="BP186" i="3"/>
  <c r="BQ186" i="3"/>
  <c r="BR186" i="3"/>
  <c r="BS186" i="3"/>
  <c r="BT186" i="3"/>
  <c r="BL186" i="3"/>
  <c r="AZ186" i="3"/>
  <c r="BA187" i="3"/>
  <c r="BM187" i="3"/>
  <c r="BN187" i="3"/>
  <c r="BO187" i="3"/>
  <c r="BP187" i="3"/>
  <c r="BQ187" i="3"/>
  <c r="BR187" i="3"/>
  <c r="BS187" i="3"/>
  <c r="BT187" i="3"/>
  <c r="BL187" i="3"/>
  <c r="AZ187" i="3"/>
  <c r="BA188" i="3"/>
  <c r="BM188" i="3"/>
  <c r="BN188" i="3"/>
  <c r="BO188" i="3"/>
  <c r="BP188" i="3"/>
  <c r="BQ188" i="3"/>
  <c r="BR188" i="3"/>
  <c r="BS188" i="3"/>
  <c r="BT188" i="3"/>
  <c r="BL188" i="3"/>
  <c r="AZ188" i="3"/>
  <c r="BA189" i="3"/>
  <c r="BM189" i="3"/>
  <c r="BN189" i="3"/>
  <c r="BO189" i="3"/>
  <c r="BP189" i="3"/>
  <c r="BQ189" i="3"/>
  <c r="BR189" i="3"/>
  <c r="BS189" i="3"/>
  <c r="BT189" i="3"/>
  <c r="BL189" i="3"/>
  <c r="AZ189" i="3"/>
  <c r="BA190" i="3"/>
  <c r="BM190" i="3"/>
  <c r="BN190" i="3"/>
  <c r="BO190" i="3"/>
  <c r="BP190" i="3"/>
  <c r="BQ190" i="3"/>
  <c r="BR190" i="3"/>
  <c r="BS190" i="3"/>
  <c r="BT190" i="3"/>
  <c r="BL190" i="3"/>
  <c r="AZ190" i="3"/>
  <c r="BA191" i="3"/>
  <c r="BM191" i="3"/>
  <c r="BN191" i="3"/>
  <c r="BO191" i="3"/>
  <c r="BP191" i="3"/>
  <c r="BQ191" i="3"/>
  <c r="BR191" i="3"/>
  <c r="BS191" i="3"/>
  <c r="BT191" i="3"/>
  <c r="BL191" i="3"/>
  <c r="AZ191" i="3"/>
  <c r="BA192" i="3"/>
  <c r="BM192" i="3"/>
  <c r="BN192" i="3"/>
  <c r="BO192" i="3"/>
  <c r="BP192" i="3"/>
  <c r="BQ192" i="3"/>
  <c r="BR192" i="3"/>
  <c r="BS192" i="3"/>
  <c r="BT192" i="3"/>
  <c r="BL192" i="3"/>
  <c r="AZ192" i="3"/>
  <c r="BA193" i="3"/>
  <c r="BM193" i="3"/>
  <c r="BN193" i="3"/>
  <c r="BO193" i="3"/>
  <c r="BP193" i="3"/>
  <c r="BQ193" i="3"/>
  <c r="BR193" i="3"/>
  <c r="BS193" i="3"/>
  <c r="BT193" i="3"/>
  <c r="BL193" i="3"/>
  <c r="AZ193" i="3"/>
  <c r="BA194" i="3"/>
  <c r="BM194" i="3"/>
  <c r="BN194" i="3"/>
  <c r="BO194" i="3"/>
  <c r="BP194" i="3"/>
  <c r="BQ194" i="3"/>
  <c r="BR194" i="3"/>
  <c r="BS194" i="3"/>
  <c r="BT194" i="3"/>
  <c r="BL194" i="3"/>
  <c r="AZ194" i="3"/>
  <c r="BA195" i="3"/>
  <c r="BM195" i="3"/>
  <c r="BN195" i="3"/>
  <c r="BO195" i="3"/>
  <c r="BP195" i="3"/>
  <c r="BQ195" i="3"/>
  <c r="BR195" i="3"/>
  <c r="BS195" i="3"/>
  <c r="BT195" i="3"/>
  <c r="BL195" i="3"/>
  <c r="AZ195" i="3"/>
  <c r="BA196" i="3"/>
  <c r="BM196" i="3"/>
  <c r="BN196" i="3"/>
  <c r="BO196" i="3"/>
  <c r="BP196" i="3"/>
  <c r="BQ196" i="3"/>
  <c r="BR196" i="3"/>
  <c r="BS196" i="3"/>
  <c r="BT196" i="3"/>
  <c r="BL196" i="3"/>
  <c r="AZ196" i="3"/>
  <c r="BA197" i="3"/>
  <c r="BM197" i="3"/>
  <c r="BN197" i="3"/>
  <c r="BO197" i="3"/>
  <c r="BP197" i="3"/>
  <c r="BQ197" i="3"/>
  <c r="BR197" i="3"/>
  <c r="BS197" i="3"/>
  <c r="BT197" i="3"/>
  <c r="BL197" i="3"/>
  <c r="AZ197" i="3"/>
  <c r="BA198" i="3"/>
  <c r="BM198" i="3"/>
  <c r="BN198" i="3"/>
  <c r="BO198" i="3"/>
  <c r="BP198" i="3"/>
  <c r="BQ198" i="3"/>
  <c r="BR198" i="3"/>
  <c r="BS198" i="3"/>
  <c r="BT198" i="3"/>
  <c r="BL198" i="3"/>
  <c r="AZ198" i="3"/>
  <c r="BA199" i="3"/>
  <c r="BM199" i="3"/>
  <c r="BN199" i="3"/>
  <c r="BO199" i="3"/>
  <c r="BP199" i="3"/>
  <c r="BQ199" i="3"/>
  <c r="BR199" i="3"/>
  <c r="BS199" i="3"/>
  <c r="BT199" i="3"/>
  <c r="BL199" i="3"/>
  <c r="AZ199" i="3"/>
  <c r="BA200" i="3"/>
  <c r="BM200" i="3"/>
  <c r="BN200" i="3"/>
  <c r="BO200" i="3"/>
  <c r="BP200" i="3"/>
  <c r="BQ200" i="3"/>
  <c r="BR200" i="3"/>
  <c r="BS200" i="3"/>
  <c r="BT200" i="3"/>
  <c r="BL200" i="3"/>
  <c r="AZ200" i="3"/>
  <c r="BA201" i="3"/>
  <c r="BM201" i="3"/>
  <c r="BN201" i="3"/>
  <c r="BO201" i="3"/>
  <c r="BP201" i="3"/>
  <c r="BQ201" i="3"/>
  <c r="BR201" i="3"/>
  <c r="BS201" i="3"/>
  <c r="BT201" i="3"/>
  <c r="BL201" i="3"/>
  <c r="AZ201" i="3"/>
  <c r="BA202" i="3"/>
  <c r="BM202" i="3"/>
  <c r="BN202" i="3"/>
  <c r="BO202" i="3"/>
  <c r="BP202" i="3"/>
  <c r="BQ202" i="3"/>
  <c r="BR202" i="3"/>
  <c r="BS202" i="3"/>
  <c r="BT202" i="3"/>
  <c r="BL202" i="3"/>
  <c r="AZ202" i="3"/>
  <c r="BA203" i="3"/>
  <c r="BM203" i="3"/>
  <c r="BN203" i="3"/>
  <c r="BO203" i="3"/>
  <c r="BP203" i="3"/>
  <c r="BQ203" i="3"/>
  <c r="BR203" i="3"/>
  <c r="BS203" i="3"/>
  <c r="BT203" i="3"/>
  <c r="BL203" i="3"/>
  <c r="AZ203" i="3"/>
  <c r="BA204" i="3"/>
  <c r="BM204" i="3"/>
  <c r="BN204" i="3"/>
  <c r="BO204" i="3"/>
  <c r="BP204" i="3"/>
  <c r="BQ204" i="3"/>
  <c r="BR204" i="3"/>
  <c r="BS204" i="3"/>
  <c r="BT204" i="3"/>
  <c r="BL204" i="3"/>
  <c r="AZ204" i="3"/>
  <c r="BA205" i="3"/>
  <c r="BM205" i="3"/>
  <c r="BN205" i="3"/>
  <c r="BO205" i="3"/>
  <c r="BP205" i="3"/>
  <c r="BQ205" i="3"/>
  <c r="BR205" i="3"/>
  <c r="BS205" i="3"/>
  <c r="BT205" i="3"/>
  <c r="BL205" i="3"/>
  <c r="AZ205" i="3"/>
  <c r="BA206" i="3"/>
  <c r="BM206" i="3"/>
  <c r="BN206" i="3"/>
  <c r="BO206" i="3"/>
  <c r="BP206" i="3"/>
  <c r="BQ206" i="3"/>
  <c r="BR206" i="3"/>
  <c r="BS206" i="3"/>
  <c r="BT206" i="3"/>
  <c r="BL206" i="3"/>
  <c r="AZ206" i="3"/>
  <c r="BA207" i="3"/>
  <c r="BM207" i="3"/>
  <c r="BN207" i="3"/>
  <c r="BO207" i="3"/>
  <c r="BP207" i="3"/>
  <c r="BQ207" i="3"/>
  <c r="BR207" i="3"/>
  <c r="BS207" i="3"/>
  <c r="BT207" i="3"/>
  <c r="BL207" i="3"/>
  <c r="AZ207" i="3"/>
  <c r="BA208" i="3"/>
  <c r="BM208" i="3"/>
  <c r="BN208" i="3"/>
  <c r="BO208" i="3"/>
  <c r="BP208" i="3"/>
  <c r="BQ208" i="3"/>
  <c r="BR208" i="3"/>
  <c r="BS208" i="3"/>
  <c r="BT208" i="3"/>
  <c r="BL208" i="3"/>
  <c r="AZ208" i="3"/>
  <c r="BA209" i="3"/>
  <c r="BM209" i="3"/>
  <c r="BN209" i="3"/>
  <c r="BO209" i="3"/>
  <c r="BP209" i="3"/>
  <c r="BQ209" i="3"/>
  <c r="BR209" i="3"/>
  <c r="BS209" i="3"/>
  <c r="BT209" i="3"/>
  <c r="BL209" i="3"/>
  <c r="AZ209" i="3"/>
  <c r="BA210" i="3"/>
  <c r="BM210" i="3"/>
  <c r="BN210" i="3"/>
  <c r="BO210" i="3"/>
  <c r="BP210" i="3"/>
  <c r="BQ210" i="3"/>
  <c r="BR210" i="3"/>
  <c r="BS210" i="3"/>
  <c r="BT210" i="3"/>
  <c r="BL210" i="3"/>
  <c r="AZ210" i="3"/>
  <c r="BA211" i="3"/>
  <c r="BM211" i="3"/>
  <c r="BN211" i="3"/>
  <c r="BO211" i="3"/>
  <c r="BP211" i="3"/>
  <c r="BQ211" i="3"/>
  <c r="BR211" i="3"/>
  <c r="BS211" i="3"/>
  <c r="BT211" i="3"/>
  <c r="BL211" i="3"/>
  <c r="AZ211" i="3"/>
  <c r="BA212" i="3"/>
  <c r="BM212" i="3"/>
  <c r="BN212" i="3"/>
  <c r="BO212" i="3"/>
  <c r="BP212" i="3"/>
  <c r="BQ212" i="3"/>
  <c r="BR212" i="3"/>
  <c r="BS212" i="3"/>
  <c r="BT212" i="3"/>
  <c r="BL212" i="3"/>
  <c r="AZ212" i="3"/>
  <c r="BA213" i="3"/>
  <c r="BM213" i="3"/>
  <c r="BN213" i="3"/>
  <c r="BO213" i="3"/>
  <c r="BP213" i="3"/>
  <c r="BQ213" i="3"/>
  <c r="BR213" i="3"/>
  <c r="BS213" i="3"/>
  <c r="BT213" i="3"/>
  <c r="BL213" i="3"/>
  <c r="AZ213" i="3"/>
  <c r="BA214" i="3"/>
  <c r="BM214" i="3"/>
  <c r="BN214" i="3"/>
  <c r="BO214" i="3"/>
  <c r="BP214" i="3"/>
  <c r="BQ214" i="3"/>
  <c r="BR214" i="3"/>
  <c r="BS214" i="3"/>
  <c r="BT214" i="3"/>
  <c r="BL214" i="3"/>
  <c r="AZ214" i="3"/>
  <c r="BA215" i="3"/>
  <c r="BM215" i="3"/>
  <c r="BN215" i="3"/>
  <c r="BO215" i="3"/>
  <c r="BP215" i="3"/>
  <c r="BQ215" i="3"/>
  <c r="BR215" i="3"/>
  <c r="BS215" i="3"/>
  <c r="BT215" i="3"/>
  <c r="BL215" i="3"/>
  <c r="AZ215" i="3"/>
  <c r="BA216" i="3"/>
  <c r="BM216" i="3"/>
  <c r="BN216" i="3"/>
  <c r="BO216" i="3"/>
  <c r="BP216" i="3"/>
  <c r="BQ216" i="3"/>
  <c r="BR216" i="3"/>
  <c r="BS216" i="3"/>
  <c r="BT216" i="3"/>
  <c r="BL216" i="3"/>
  <c r="AZ216" i="3"/>
  <c r="BA217" i="3"/>
  <c r="BM217" i="3"/>
  <c r="BN217" i="3"/>
  <c r="BO217" i="3"/>
  <c r="BP217" i="3"/>
  <c r="BQ217" i="3"/>
  <c r="BR217" i="3"/>
  <c r="BS217" i="3"/>
  <c r="BT217" i="3"/>
  <c r="BL217" i="3"/>
  <c r="AZ217" i="3"/>
  <c r="BA218" i="3"/>
  <c r="BM218" i="3"/>
  <c r="BN218" i="3"/>
  <c r="BO218" i="3"/>
  <c r="BP218" i="3"/>
  <c r="BQ218" i="3"/>
  <c r="BR218" i="3"/>
  <c r="BS218" i="3"/>
  <c r="BT218" i="3"/>
  <c r="BL218" i="3"/>
  <c r="AZ218" i="3"/>
  <c r="BA219" i="3"/>
  <c r="BM219" i="3"/>
  <c r="BN219" i="3"/>
  <c r="BO219" i="3"/>
  <c r="BP219" i="3"/>
  <c r="BQ219" i="3"/>
  <c r="BR219" i="3"/>
  <c r="BS219" i="3"/>
  <c r="BT219" i="3"/>
  <c r="BL219" i="3"/>
  <c r="AZ219" i="3"/>
  <c r="BA220" i="3"/>
  <c r="BM220" i="3"/>
  <c r="BN220" i="3"/>
  <c r="BO220" i="3"/>
  <c r="BP220" i="3"/>
  <c r="BQ220" i="3"/>
  <c r="BR220" i="3"/>
  <c r="BS220" i="3"/>
  <c r="BT220" i="3"/>
  <c r="BL220" i="3"/>
  <c r="AZ220" i="3"/>
  <c r="BA221" i="3"/>
  <c r="BM221" i="3"/>
  <c r="BN221" i="3"/>
  <c r="BO221" i="3"/>
  <c r="BP221" i="3"/>
  <c r="BQ221" i="3"/>
  <c r="BR221" i="3"/>
  <c r="BS221" i="3"/>
  <c r="BT221" i="3"/>
  <c r="BL221" i="3"/>
  <c r="AZ221" i="3"/>
  <c r="BA222" i="3"/>
  <c r="BM222" i="3"/>
  <c r="BN222" i="3"/>
  <c r="BO222" i="3"/>
  <c r="BP222" i="3"/>
  <c r="BQ222" i="3"/>
  <c r="BR222" i="3"/>
  <c r="BS222" i="3"/>
  <c r="BT222" i="3"/>
  <c r="BL222" i="3"/>
  <c r="AZ222" i="3"/>
  <c r="BA223" i="3"/>
  <c r="BM223" i="3"/>
  <c r="BN223" i="3"/>
  <c r="BO223" i="3"/>
  <c r="BP223" i="3"/>
  <c r="BQ223" i="3"/>
  <c r="BR223" i="3"/>
  <c r="BS223" i="3"/>
  <c r="BT223" i="3"/>
  <c r="BL223" i="3"/>
  <c r="AZ223" i="3"/>
  <c r="BA224" i="3"/>
  <c r="BM224" i="3"/>
  <c r="BN224" i="3"/>
  <c r="BO224" i="3"/>
  <c r="BP224" i="3"/>
  <c r="BQ224" i="3"/>
  <c r="BR224" i="3"/>
  <c r="BS224" i="3"/>
  <c r="BT224" i="3"/>
  <c r="BL224" i="3"/>
  <c r="AZ224" i="3"/>
  <c r="BA225" i="3"/>
  <c r="BM225" i="3"/>
  <c r="BN225" i="3"/>
  <c r="BO225" i="3"/>
  <c r="BP225" i="3"/>
  <c r="BQ225" i="3"/>
  <c r="BR225" i="3"/>
  <c r="BS225" i="3"/>
  <c r="BT225" i="3"/>
  <c r="BL225" i="3"/>
  <c r="AZ225" i="3"/>
  <c r="BA226" i="3"/>
  <c r="BM226" i="3"/>
  <c r="BN226" i="3"/>
  <c r="BO226" i="3"/>
  <c r="BP226" i="3"/>
  <c r="BQ226" i="3"/>
  <c r="BR226" i="3"/>
  <c r="BS226" i="3"/>
  <c r="BT226" i="3"/>
  <c r="BL226" i="3"/>
  <c r="AZ226" i="3"/>
  <c r="BA227" i="3"/>
  <c r="BM227" i="3"/>
  <c r="BN227" i="3"/>
  <c r="BO227" i="3"/>
  <c r="BP227" i="3"/>
  <c r="BQ227" i="3"/>
  <c r="BR227" i="3"/>
  <c r="BS227" i="3"/>
  <c r="BT227" i="3"/>
  <c r="BL227" i="3"/>
  <c r="AZ227" i="3"/>
  <c r="BA228" i="3"/>
  <c r="BM228" i="3"/>
  <c r="BN228" i="3"/>
  <c r="BO228" i="3"/>
  <c r="BP228" i="3"/>
  <c r="BQ228" i="3"/>
  <c r="BR228" i="3"/>
  <c r="BS228" i="3"/>
  <c r="BT228" i="3"/>
  <c r="BL228" i="3"/>
  <c r="AZ228" i="3"/>
  <c r="BA229" i="3"/>
  <c r="BM229" i="3"/>
  <c r="BN229" i="3"/>
  <c r="BO229" i="3"/>
  <c r="BP229" i="3"/>
  <c r="BQ229" i="3"/>
  <c r="BR229" i="3"/>
  <c r="BS229" i="3"/>
  <c r="BT229" i="3"/>
  <c r="BL229" i="3"/>
  <c r="AZ229" i="3"/>
  <c r="BA230" i="3"/>
  <c r="BM230" i="3"/>
  <c r="BN230" i="3"/>
  <c r="BO230" i="3"/>
  <c r="BP230" i="3"/>
  <c r="BQ230" i="3"/>
  <c r="BR230" i="3"/>
  <c r="BS230" i="3"/>
  <c r="BT230" i="3"/>
  <c r="BL230" i="3"/>
  <c r="AZ230" i="3"/>
  <c r="BA231" i="3"/>
  <c r="BM231" i="3"/>
  <c r="BN231" i="3"/>
  <c r="BO231" i="3"/>
  <c r="BP231" i="3"/>
  <c r="BQ231" i="3"/>
  <c r="BR231" i="3"/>
  <c r="BS231" i="3"/>
  <c r="BT231" i="3"/>
  <c r="BL231" i="3"/>
  <c r="AZ231" i="3"/>
  <c r="BA232" i="3"/>
  <c r="BM232" i="3"/>
  <c r="BN232" i="3"/>
  <c r="BO232" i="3"/>
  <c r="BP232" i="3"/>
  <c r="BQ232" i="3"/>
  <c r="BR232" i="3"/>
  <c r="BS232" i="3"/>
  <c r="BT232" i="3"/>
  <c r="BL232" i="3"/>
  <c r="AZ232" i="3"/>
  <c r="BA233" i="3"/>
  <c r="BM233" i="3"/>
  <c r="BN233" i="3"/>
  <c r="BO233" i="3"/>
  <c r="BP233" i="3"/>
  <c r="BQ233" i="3"/>
  <c r="BR233" i="3"/>
  <c r="BS233" i="3"/>
  <c r="BT233" i="3"/>
  <c r="BL233" i="3"/>
  <c r="AZ233" i="3"/>
  <c r="BA234" i="3"/>
  <c r="BM234" i="3"/>
  <c r="BN234" i="3"/>
  <c r="BO234" i="3"/>
  <c r="BP234" i="3"/>
  <c r="BQ234" i="3"/>
  <c r="BR234" i="3"/>
  <c r="BS234" i="3"/>
  <c r="BT234" i="3"/>
  <c r="BL234" i="3"/>
  <c r="AZ234" i="3"/>
  <c r="BA235" i="3"/>
  <c r="BM235" i="3"/>
  <c r="BN235" i="3"/>
  <c r="BO235" i="3"/>
  <c r="BP235" i="3"/>
  <c r="BQ235" i="3"/>
  <c r="BR235" i="3"/>
  <c r="BS235" i="3"/>
  <c r="BT235" i="3"/>
  <c r="BL235" i="3"/>
  <c r="AZ235" i="3"/>
  <c r="BA236" i="3"/>
  <c r="BM236" i="3"/>
  <c r="BN236" i="3"/>
  <c r="BO236" i="3"/>
  <c r="BP236" i="3"/>
  <c r="BQ236" i="3"/>
  <c r="BR236" i="3"/>
  <c r="BS236" i="3"/>
  <c r="BT236" i="3"/>
  <c r="BL236" i="3"/>
  <c r="AZ236" i="3"/>
  <c r="BA237" i="3"/>
  <c r="BM237" i="3"/>
  <c r="BN237" i="3"/>
  <c r="BO237" i="3"/>
  <c r="BP237" i="3"/>
  <c r="BQ237" i="3"/>
  <c r="BR237" i="3"/>
  <c r="BS237" i="3"/>
  <c r="BT237" i="3"/>
  <c r="BL237" i="3"/>
  <c r="AZ237" i="3"/>
  <c r="BA238" i="3"/>
  <c r="BM238" i="3"/>
  <c r="BN238" i="3"/>
  <c r="BO238" i="3"/>
  <c r="BP238" i="3"/>
  <c r="BQ238" i="3"/>
  <c r="BR238" i="3"/>
  <c r="BS238" i="3"/>
  <c r="BT238" i="3"/>
  <c r="BL238" i="3"/>
  <c r="AZ238" i="3"/>
  <c r="BA239" i="3"/>
  <c r="BM239" i="3"/>
  <c r="BN239" i="3"/>
  <c r="BO239" i="3"/>
  <c r="BP239" i="3"/>
  <c r="BQ239" i="3"/>
  <c r="BR239" i="3"/>
  <c r="BS239" i="3"/>
  <c r="BT239" i="3"/>
  <c r="BL239" i="3"/>
  <c r="AZ239" i="3"/>
  <c r="BA240" i="3"/>
  <c r="BM240" i="3"/>
  <c r="BN240" i="3"/>
  <c r="BO240" i="3"/>
  <c r="BP240" i="3"/>
  <c r="BQ240" i="3"/>
  <c r="BR240" i="3"/>
  <c r="BS240" i="3"/>
  <c r="BT240" i="3"/>
  <c r="BL240" i="3"/>
  <c r="AZ240" i="3"/>
  <c r="BA241" i="3"/>
  <c r="BM241" i="3"/>
  <c r="BN241" i="3"/>
  <c r="BO241" i="3"/>
  <c r="BP241" i="3"/>
  <c r="BQ241" i="3"/>
  <c r="BR241" i="3"/>
  <c r="BS241" i="3"/>
  <c r="BT241" i="3"/>
  <c r="BL241" i="3"/>
  <c r="AZ241" i="3"/>
  <c r="BA242" i="3"/>
  <c r="BM242" i="3"/>
  <c r="BN242" i="3"/>
  <c r="BO242" i="3"/>
  <c r="BP242" i="3"/>
  <c r="BQ242" i="3"/>
  <c r="BR242" i="3"/>
  <c r="BS242" i="3"/>
  <c r="BT242" i="3"/>
  <c r="BL242" i="3"/>
  <c r="AZ242" i="3"/>
  <c r="BA243" i="3"/>
  <c r="BM243" i="3"/>
  <c r="BN243" i="3"/>
  <c r="BO243" i="3"/>
  <c r="BP243" i="3"/>
  <c r="BQ243" i="3"/>
  <c r="BR243" i="3"/>
  <c r="BS243" i="3"/>
  <c r="BT243" i="3"/>
  <c r="BL243" i="3"/>
  <c r="AZ243" i="3"/>
  <c r="BA244" i="3"/>
  <c r="BM244" i="3"/>
  <c r="BN244" i="3"/>
  <c r="BO244" i="3"/>
  <c r="BP244" i="3"/>
  <c r="BQ244" i="3"/>
  <c r="BR244" i="3"/>
  <c r="BS244" i="3"/>
  <c r="BT244" i="3"/>
  <c r="BL244" i="3"/>
  <c r="AZ244" i="3"/>
  <c r="BA245" i="3"/>
  <c r="BM245" i="3"/>
  <c r="BN245" i="3"/>
  <c r="BO245" i="3"/>
  <c r="BP245" i="3"/>
  <c r="BQ245" i="3"/>
  <c r="BR245" i="3"/>
  <c r="BS245" i="3"/>
  <c r="BT245" i="3"/>
  <c r="BL245" i="3"/>
  <c r="AZ245" i="3"/>
  <c r="BA246" i="3"/>
  <c r="BM246" i="3"/>
  <c r="BN246" i="3"/>
  <c r="BO246" i="3"/>
  <c r="BP246" i="3"/>
  <c r="BQ246" i="3"/>
  <c r="BR246" i="3"/>
  <c r="BS246" i="3"/>
  <c r="BT246" i="3"/>
  <c r="BL246" i="3"/>
  <c r="AZ246" i="3"/>
  <c r="BA247" i="3"/>
  <c r="BM247" i="3"/>
  <c r="BN247" i="3"/>
  <c r="BO247" i="3"/>
  <c r="BP247" i="3"/>
  <c r="BQ247" i="3"/>
  <c r="BR247" i="3"/>
  <c r="BS247" i="3"/>
  <c r="BT247" i="3"/>
  <c r="BL247" i="3"/>
  <c r="AZ247" i="3"/>
  <c r="BA248" i="3"/>
  <c r="BM248" i="3"/>
  <c r="BN248" i="3"/>
  <c r="BO248" i="3"/>
  <c r="BP248" i="3"/>
  <c r="BQ248" i="3"/>
  <c r="BR248" i="3"/>
  <c r="BS248" i="3"/>
  <c r="BT248" i="3"/>
  <c r="BL248" i="3"/>
  <c r="AZ248" i="3"/>
  <c r="BA249" i="3"/>
  <c r="BM249" i="3"/>
  <c r="BN249" i="3"/>
  <c r="BO249" i="3"/>
  <c r="BP249" i="3"/>
  <c r="BQ249" i="3"/>
  <c r="BR249" i="3"/>
  <c r="BS249" i="3"/>
  <c r="BT249" i="3"/>
  <c r="BL249" i="3"/>
  <c r="AZ249" i="3"/>
  <c r="BA250" i="3"/>
  <c r="BM250" i="3"/>
  <c r="BN250" i="3"/>
  <c r="BO250" i="3"/>
  <c r="BP250" i="3"/>
  <c r="BQ250" i="3"/>
  <c r="BR250" i="3"/>
  <c r="BS250" i="3"/>
  <c r="BT250" i="3"/>
  <c r="BL250" i="3"/>
  <c r="AZ250" i="3"/>
  <c r="BA251" i="3"/>
  <c r="BM251" i="3"/>
  <c r="BN251" i="3"/>
  <c r="BO251" i="3"/>
  <c r="BP251" i="3"/>
  <c r="BQ251" i="3"/>
  <c r="BR251" i="3"/>
  <c r="BS251" i="3"/>
  <c r="BT251" i="3"/>
  <c r="BL251" i="3"/>
  <c r="AZ251" i="3"/>
  <c r="BA252" i="3"/>
  <c r="BM252" i="3"/>
  <c r="BN252" i="3"/>
  <c r="BO252" i="3"/>
  <c r="BP252" i="3"/>
  <c r="BQ252" i="3"/>
  <c r="BR252" i="3"/>
  <c r="BS252" i="3"/>
  <c r="BT252" i="3"/>
  <c r="BL252" i="3"/>
  <c r="AZ252" i="3"/>
  <c r="BA253" i="3"/>
  <c r="BM253" i="3"/>
  <c r="BN253" i="3"/>
  <c r="BO253" i="3"/>
  <c r="BP253" i="3"/>
  <c r="BQ253" i="3"/>
  <c r="BR253" i="3"/>
  <c r="BS253" i="3"/>
  <c r="BT253" i="3"/>
  <c r="BL253" i="3"/>
  <c r="AZ253" i="3"/>
  <c r="BA254" i="3"/>
  <c r="BM254" i="3"/>
  <c r="BN254" i="3"/>
  <c r="BO254" i="3"/>
  <c r="BP254" i="3"/>
  <c r="BQ254" i="3"/>
  <c r="BR254" i="3"/>
  <c r="BS254" i="3"/>
  <c r="BT254" i="3"/>
  <c r="BL254" i="3"/>
  <c r="AZ254" i="3"/>
  <c r="BA255" i="3"/>
  <c r="BM255" i="3"/>
  <c r="BN255" i="3"/>
  <c r="BO255" i="3"/>
  <c r="BP255" i="3"/>
  <c r="BQ255" i="3"/>
  <c r="BR255" i="3"/>
  <c r="BS255" i="3"/>
  <c r="BT255" i="3"/>
  <c r="BL255" i="3"/>
  <c r="AZ255" i="3"/>
  <c r="BA256" i="3"/>
  <c r="BM256" i="3"/>
  <c r="BN256" i="3"/>
  <c r="BO256" i="3"/>
  <c r="BP256" i="3"/>
  <c r="BQ256" i="3"/>
  <c r="BR256" i="3"/>
  <c r="BS256" i="3"/>
  <c r="BT256" i="3"/>
  <c r="BL256" i="3"/>
  <c r="AZ256" i="3"/>
  <c r="BA257" i="3"/>
  <c r="BM257" i="3"/>
  <c r="BN257" i="3"/>
  <c r="BO257" i="3"/>
  <c r="BP257" i="3"/>
  <c r="BQ257" i="3"/>
  <c r="BR257" i="3"/>
  <c r="BS257" i="3"/>
  <c r="BT257" i="3"/>
  <c r="BL257" i="3"/>
  <c r="AZ257" i="3"/>
  <c r="BA258" i="3"/>
  <c r="BM258" i="3"/>
  <c r="BN258" i="3"/>
  <c r="BO258" i="3"/>
  <c r="BP258" i="3"/>
  <c r="BQ258" i="3"/>
  <c r="BR258" i="3"/>
  <c r="BS258" i="3"/>
  <c r="BT258" i="3"/>
  <c r="BL258" i="3"/>
  <c r="AZ258" i="3"/>
  <c r="BA259" i="3"/>
  <c r="BM259" i="3"/>
  <c r="BN259" i="3"/>
  <c r="BO259" i="3"/>
  <c r="BP259" i="3"/>
  <c r="BQ259" i="3"/>
  <c r="BR259" i="3"/>
  <c r="BS259" i="3"/>
  <c r="BT259" i="3"/>
  <c r="BL259" i="3"/>
  <c r="AZ259" i="3"/>
  <c r="BA260" i="3"/>
  <c r="BM260" i="3"/>
  <c r="BN260" i="3"/>
  <c r="BO260" i="3"/>
  <c r="BP260" i="3"/>
  <c r="BQ260" i="3"/>
  <c r="BR260" i="3"/>
  <c r="BS260" i="3"/>
  <c r="BT260" i="3"/>
  <c r="BL260" i="3"/>
  <c r="AZ260" i="3"/>
  <c r="BA261" i="3"/>
  <c r="BM261" i="3"/>
  <c r="BN261" i="3"/>
  <c r="BO261" i="3"/>
  <c r="BP261" i="3"/>
  <c r="BQ261" i="3"/>
  <c r="BR261" i="3"/>
  <c r="BS261" i="3"/>
  <c r="BT261" i="3"/>
  <c r="BL261" i="3"/>
  <c r="AZ261" i="3"/>
  <c r="BA262" i="3"/>
  <c r="BM262" i="3"/>
  <c r="BN262" i="3"/>
  <c r="BO262" i="3"/>
  <c r="BP262" i="3"/>
  <c r="BQ262" i="3"/>
  <c r="BR262" i="3"/>
  <c r="BS262" i="3"/>
  <c r="BT262" i="3"/>
  <c r="BL262" i="3"/>
  <c r="AZ262" i="3"/>
  <c r="BA263" i="3"/>
  <c r="BM263" i="3"/>
  <c r="BN263" i="3"/>
  <c r="BO263" i="3"/>
  <c r="BP263" i="3"/>
  <c r="BQ263" i="3"/>
  <c r="BR263" i="3"/>
  <c r="BS263" i="3"/>
  <c r="BT263" i="3"/>
  <c r="BL263" i="3"/>
  <c r="AZ263" i="3"/>
  <c r="BA264" i="3"/>
  <c r="BM264" i="3"/>
  <c r="BN264" i="3"/>
  <c r="BO264" i="3"/>
  <c r="BP264" i="3"/>
  <c r="BQ264" i="3"/>
  <c r="BR264" i="3"/>
  <c r="BS264" i="3"/>
  <c r="BT264" i="3"/>
  <c r="BL264" i="3"/>
  <c r="AZ264" i="3"/>
  <c r="BA265" i="3"/>
  <c r="BM265" i="3"/>
  <c r="BN265" i="3"/>
  <c r="BO265" i="3"/>
  <c r="BP265" i="3"/>
  <c r="BQ265" i="3"/>
  <c r="BR265" i="3"/>
  <c r="BS265" i="3"/>
  <c r="BT265" i="3"/>
  <c r="BL265" i="3"/>
  <c r="AZ265" i="3"/>
  <c r="BA266" i="3"/>
  <c r="BM266" i="3"/>
  <c r="BN266" i="3"/>
  <c r="BO266" i="3"/>
  <c r="BP266" i="3"/>
  <c r="BQ266" i="3"/>
  <c r="BR266" i="3"/>
  <c r="BS266" i="3"/>
  <c r="BT266" i="3"/>
  <c r="BL266" i="3"/>
  <c r="AZ266" i="3"/>
  <c r="BA267" i="3"/>
  <c r="BM267" i="3"/>
  <c r="BN267" i="3"/>
  <c r="BO267" i="3"/>
  <c r="BP267" i="3"/>
  <c r="BQ267" i="3"/>
  <c r="BR267" i="3"/>
  <c r="BS267" i="3"/>
  <c r="BT267" i="3"/>
  <c r="BL267" i="3"/>
  <c r="AZ267" i="3"/>
  <c r="BA268" i="3"/>
  <c r="BM268" i="3"/>
  <c r="BN268" i="3"/>
  <c r="BO268" i="3"/>
  <c r="BP268" i="3"/>
  <c r="BQ268" i="3"/>
  <c r="BR268" i="3"/>
  <c r="BS268" i="3"/>
  <c r="BT268" i="3"/>
  <c r="BL268" i="3"/>
  <c r="AZ268" i="3"/>
  <c r="BA269" i="3"/>
  <c r="BM269" i="3"/>
  <c r="BN269" i="3"/>
  <c r="BO269" i="3"/>
  <c r="BP269" i="3"/>
  <c r="BQ269" i="3"/>
  <c r="BR269" i="3"/>
  <c r="BS269" i="3"/>
  <c r="BT269" i="3"/>
  <c r="BL269" i="3"/>
  <c r="AZ269" i="3"/>
  <c r="BA270" i="3"/>
  <c r="BM270" i="3"/>
  <c r="BN270" i="3"/>
  <c r="BO270" i="3"/>
  <c r="BP270" i="3"/>
  <c r="BQ270" i="3"/>
  <c r="BR270" i="3"/>
  <c r="BS270" i="3"/>
  <c r="BT270" i="3"/>
  <c r="BL270" i="3"/>
  <c r="AZ270" i="3"/>
  <c r="BA271" i="3"/>
  <c r="BM271" i="3"/>
  <c r="BN271" i="3"/>
  <c r="BO271" i="3"/>
  <c r="BP271" i="3"/>
  <c r="BQ271" i="3"/>
  <c r="BR271" i="3"/>
  <c r="BS271" i="3"/>
  <c r="BT271" i="3"/>
  <c r="BL271" i="3"/>
  <c r="AZ271" i="3"/>
  <c r="BA272" i="3"/>
  <c r="BM272" i="3"/>
  <c r="BN272" i="3"/>
  <c r="BO272" i="3"/>
  <c r="BP272" i="3"/>
  <c r="BQ272" i="3"/>
  <c r="BR272" i="3"/>
  <c r="BS272" i="3"/>
  <c r="BT272" i="3"/>
  <c r="BL272" i="3"/>
  <c r="AZ272" i="3"/>
  <c r="BA273" i="3"/>
  <c r="BM273" i="3"/>
  <c r="BN273" i="3"/>
  <c r="BO273" i="3"/>
  <c r="BP273" i="3"/>
  <c r="BQ273" i="3"/>
  <c r="BR273" i="3"/>
  <c r="BS273" i="3"/>
  <c r="BT273" i="3"/>
  <c r="BL273" i="3"/>
  <c r="AZ273" i="3"/>
  <c r="BA274" i="3"/>
  <c r="BM274" i="3"/>
  <c r="BN274" i="3"/>
  <c r="BO274" i="3"/>
  <c r="BP274" i="3"/>
  <c r="BQ274" i="3"/>
  <c r="BR274" i="3"/>
  <c r="BS274" i="3"/>
  <c r="BT274" i="3"/>
  <c r="BL274" i="3"/>
  <c r="AZ274" i="3"/>
  <c r="BA275" i="3"/>
  <c r="BM275" i="3"/>
  <c r="BN275" i="3"/>
  <c r="BO275" i="3"/>
  <c r="BP275" i="3"/>
  <c r="BQ275" i="3"/>
  <c r="BR275" i="3"/>
  <c r="BS275" i="3"/>
  <c r="BT275" i="3"/>
  <c r="BL275" i="3"/>
  <c r="AZ275" i="3"/>
  <c r="BA276" i="3"/>
  <c r="BM276" i="3"/>
  <c r="BN276" i="3"/>
  <c r="BO276" i="3"/>
  <c r="BP276" i="3"/>
  <c r="BQ276" i="3"/>
  <c r="BR276" i="3"/>
  <c r="BS276" i="3"/>
  <c r="BT276" i="3"/>
  <c r="BL276" i="3"/>
  <c r="AZ276" i="3"/>
  <c r="BA277" i="3"/>
  <c r="BM277" i="3"/>
  <c r="BN277" i="3"/>
  <c r="BO277" i="3"/>
  <c r="BP277" i="3"/>
  <c r="BQ277" i="3"/>
  <c r="BR277" i="3"/>
  <c r="BS277" i="3"/>
  <c r="BT277" i="3"/>
  <c r="BL277" i="3"/>
  <c r="AZ277" i="3"/>
  <c r="BA278" i="3"/>
  <c r="BM278" i="3"/>
  <c r="BN278" i="3"/>
  <c r="BO278" i="3"/>
  <c r="BP278" i="3"/>
  <c r="BQ278" i="3"/>
  <c r="BR278" i="3"/>
  <c r="BS278" i="3"/>
  <c r="BT278" i="3"/>
  <c r="BL278" i="3"/>
  <c r="AZ278" i="3"/>
  <c r="BA279" i="3"/>
  <c r="BM279" i="3"/>
  <c r="BN279" i="3"/>
  <c r="BO279" i="3"/>
  <c r="BP279" i="3"/>
  <c r="BQ279" i="3"/>
  <c r="BR279" i="3"/>
  <c r="BS279" i="3"/>
  <c r="BT279" i="3"/>
  <c r="BL279" i="3"/>
  <c r="AZ279" i="3"/>
  <c r="BA280" i="3"/>
  <c r="BM280" i="3"/>
  <c r="BN280" i="3"/>
  <c r="BO280" i="3"/>
  <c r="BP280" i="3"/>
  <c r="BQ280" i="3"/>
  <c r="BR280" i="3"/>
  <c r="BS280" i="3"/>
  <c r="BT280" i="3"/>
  <c r="BL280" i="3"/>
  <c r="AZ280" i="3"/>
  <c r="BA281" i="3"/>
  <c r="BM281" i="3"/>
  <c r="BN281" i="3"/>
  <c r="BO281" i="3"/>
  <c r="BP281" i="3"/>
  <c r="BQ281" i="3"/>
  <c r="BR281" i="3"/>
  <c r="BS281" i="3"/>
  <c r="BT281" i="3"/>
  <c r="BL281" i="3"/>
  <c r="AZ281" i="3"/>
  <c r="BA282" i="3"/>
  <c r="BM282" i="3"/>
  <c r="BN282" i="3"/>
  <c r="BO282" i="3"/>
  <c r="BP282" i="3"/>
  <c r="BQ282" i="3"/>
  <c r="BR282" i="3"/>
  <c r="BS282" i="3"/>
  <c r="BT282" i="3"/>
  <c r="BL282" i="3"/>
  <c r="AZ282" i="3"/>
  <c r="BA283" i="3"/>
  <c r="BM283" i="3"/>
  <c r="BN283" i="3"/>
  <c r="BO283" i="3"/>
  <c r="BP283" i="3"/>
  <c r="BQ283" i="3"/>
  <c r="BR283" i="3"/>
  <c r="BS283" i="3"/>
  <c r="BT283" i="3"/>
  <c r="BL283" i="3"/>
  <c r="AZ283" i="3"/>
  <c r="BA284" i="3"/>
  <c r="BM284" i="3"/>
  <c r="BN284" i="3"/>
  <c r="BO284" i="3"/>
  <c r="BP284" i="3"/>
  <c r="BQ284" i="3"/>
  <c r="BR284" i="3"/>
  <c r="BS284" i="3"/>
  <c r="BT284" i="3"/>
  <c r="BL284" i="3"/>
  <c r="AZ284" i="3"/>
  <c r="BA285" i="3"/>
  <c r="BM285" i="3"/>
  <c r="BN285" i="3"/>
  <c r="BO285" i="3"/>
  <c r="BP285" i="3"/>
  <c r="BQ285" i="3"/>
  <c r="BR285" i="3"/>
  <c r="BS285" i="3"/>
  <c r="BT285" i="3"/>
  <c r="BL285" i="3"/>
  <c r="AZ285" i="3"/>
  <c r="BA286" i="3"/>
  <c r="BM286" i="3"/>
  <c r="BN286" i="3"/>
  <c r="BO286" i="3"/>
  <c r="BP286" i="3"/>
  <c r="BQ286" i="3"/>
  <c r="BR286" i="3"/>
  <c r="BS286" i="3"/>
  <c r="BT286" i="3"/>
  <c r="BL286" i="3"/>
  <c r="AZ286" i="3"/>
  <c r="BA287" i="3"/>
  <c r="BM287" i="3"/>
  <c r="BN287" i="3"/>
  <c r="BO287" i="3"/>
  <c r="BP287" i="3"/>
  <c r="BQ287" i="3"/>
  <c r="BR287" i="3"/>
  <c r="BS287" i="3"/>
  <c r="BT287" i="3"/>
  <c r="BL287" i="3"/>
  <c r="AZ287" i="3"/>
  <c r="BA288" i="3"/>
  <c r="BM288" i="3"/>
  <c r="BN288" i="3"/>
  <c r="BO288" i="3"/>
  <c r="BP288" i="3"/>
  <c r="BQ288" i="3"/>
  <c r="BR288" i="3"/>
  <c r="BS288" i="3"/>
  <c r="BT288" i="3"/>
  <c r="BL288" i="3"/>
  <c r="AZ288" i="3"/>
  <c r="BA289" i="3"/>
  <c r="BM289" i="3"/>
  <c r="BN289" i="3"/>
  <c r="BO289" i="3"/>
  <c r="BP289" i="3"/>
  <c r="BQ289" i="3"/>
  <c r="BR289" i="3"/>
  <c r="BS289" i="3"/>
  <c r="BT289" i="3"/>
  <c r="BL289" i="3"/>
  <c r="AZ289" i="3"/>
  <c r="BA290" i="3"/>
  <c r="BM290" i="3"/>
  <c r="BN290" i="3"/>
  <c r="BO290" i="3"/>
  <c r="BP290" i="3"/>
  <c r="BQ290" i="3"/>
  <c r="BR290" i="3"/>
  <c r="BS290" i="3"/>
  <c r="BT290" i="3"/>
  <c r="BL290" i="3"/>
  <c r="AZ290" i="3"/>
  <c r="BA291" i="3"/>
  <c r="BM291" i="3"/>
  <c r="BN291" i="3"/>
  <c r="BO291" i="3"/>
  <c r="BP291" i="3"/>
  <c r="BQ291" i="3"/>
  <c r="BR291" i="3"/>
  <c r="BS291" i="3"/>
  <c r="BT291" i="3"/>
  <c r="BL291" i="3"/>
  <c r="AZ291" i="3"/>
  <c r="BA292" i="3"/>
  <c r="BM292" i="3"/>
  <c r="BN292" i="3"/>
  <c r="BO292" i="3"/>
  <c r="BP292" i="3"/>
  <c r="BQ292" i="3"/>
  <c r="BR292" i="3"/>
  <c r="BS292" i="3"/>
  <c r="BT292" i="3"/>
  <c r="BL292" i="3"/>
  <c r="AZ292" i="3"/>
  <c r="BA293" i="3"/>
  <c r="BM293" i="3"/>
  <c r="BN293" i="3"/>
  <c r="BO293" i="3"/>
  <c r="BP293" i="3"/>
  <c r="BQ293" i="3"/>
  <c r="BR293" i="3"/>
  <c r="BS293" i="3"/>
  <c r="BT293" i="3"/>
  <c r="BL293" i="3"/>
  <c r="AZ293" i="3"/>
  <c r="BA294" i="3"/>
  <c r="BM294" i="3"/>
  <c r="BN294" i="3"/>
  <c r="BO294" i="3"/>
  <c r="BP294" i="3"/>
  <c r="BQ294" i="3"/>
  <c r="BR294" i="3"/>
  <c r="BS294" i="3"/>
  <c r="BT294" i="3"/>
  <c r="BL294" i="3"/>
  <c r="AZ294" i="3"/>
  <c r="BA295" i="3"/>
  <c r="BM295" i="3"/>
  <c r="BN295" i="3"/>
  <c r="BO295" i="3"/>
  <c r="BP295" i="3"/>
  <c r="BQ295" i="3"/>
  <c r="BR295" i="3"/>
  <c r="BS295" i="3"/>
  <c r="BT295" i="3"/>
  <c r="BL295" i="3"/>
  <c r="AZ295" i="3"/>
  <c r="BA296" i="3"/>
  <c r="BM296" i="3"/>
  <c r="BN296" i="3"/>
  <c r="BO296" i="3"/>
  <c r="BP296" i="3"/>
  <c r="BQ296" i="3"/>
  <c r="BR296" i="3"/>
  <c r="BS296" i="3"/>
  <c r="BT296" i="3"/>
  <c r="BL296" i="3"/>
  <c r="AZ296" i="3"/>
  <c r="BA297" i="3"/>
  <c r="BM297" i="3"/>
  <c r="BN297" i="3"/>
  <c r="BO297" i="3"/>
  <c r="BP297" i="3"/>
  <c r="BQ297" i="3"/>
  <c r="BR297" i="3"/>
  <c r="BS297" i="3"/>
  <c r="BT297" i="3"/>
  <c r="BL297" i="3"/>
  <c r="AZ297" i="3"/>
  <c r="BA298" i="3"/>
  <c r="BM298" i="3"/>
  <c r="BN298" i="3"/>
  <c r="BO298" i="3"/>
  <c r="BP298" i="3"/>
  <c r="BQ298" i="3"/>
  <c r="BR298" i="3"/>
  <c r="BS298" i="3"/>
  <c r="BT298" i="3"/>
  <c r="BL298" i="3"/>
  <c r="AZ298" i="3"/>
  <c r="BA299" i="3"/>
  <c r="BM299" i="3"/>
  <c r="BN299" i="3"/>
  <c r="BO299" i="3"/>
  <c r="BP299" i="3"/>
  <c r="BQ299" i="3"/>
  <c r="BR299" i="3"/>
  <c r="BS299" i="3"/>
  <c r="BT299" i="3"/>
  <c r="BL299" i="3"/>
  <c r="AZ299" i="3"/>
  <c r="BA300" i="3"/>
  <c r="BM300" i="3"/>
  <c r="BN300" i="3"/>
  <c r="BO300" i="3"/>
  <c r="BP300" i="3"/>
  <c r="BQ300" i="3"/>
  <c r="BR300" i="3"/>
  <c r="BS300" i="3"/>
  <c r="BT300" i="3"/>
  <c r="BL300" i="3"/>
  <c r="AZ300" i="3"/>
  <c r="BA301" i="3"/>
  <c r="BM301" i="3"/>
  <c r="BN301" i="3"/>
  <c r="BO301" i="3"/>
  <c r="BP301" i="3"/>
  <c r="BQ301" i="3"/>
  <c r="BR301" i="3"/>
  <c r="BS301" i="3"/>
  <c r="BT301" i="3"/>
  <c r="BL301" i="3"/>
  <c r="AZ301" i="3"/>
  <c r="BA302" i="3"/>
  <c r="BM302" i="3"/>
  <c r="BN302" i="3"/>
  <c r="BO302" i="3"/>
  <c r="BP302" i="3"/>
  <c r="BQ302" i="3"/>
  <c r="BR302" i="3"/>
  <c r="BS302" i="3"/>
  <c r="BT302" i="3"/>
  <c r="BL302" i="3"/>
  <c r="AZ302" i="3"/>
  <c r="BA303" i="3"/>
  <c r="BM303" i="3"/>
  <c r="BN303" i="3"/>
  <c r="BO303" i="3"/>
  <c r="BP303" i="3"/>
  <c r="BQ303" i="3"/>
  <c r="BR303" i="3"/>
  <c r="BS303" i="3"/>
  <c r="BT303" i="3"/>
  <c r="BL303" i="3"/>
  <c r="AZ303" i="3"/>
  <c r="BA304" i="3"/>
  <c r="BM304" i="3"/>
  <c r="BN304" i="3"/>
  <c r="BO304" i="3"/>
  <c r="BP304" i="3"/>
  <c r="BQ304" i="3"/>
  <c r="BR304" i="3"/>
  <c r="BS304" i="3"/>
  <c r="BT304" i="3"/>
  <c r="BL304" i="3"/>
  <c r="AZ304" i="3"/>
  <c r="BA305" i="3"/>
  <c r="BM305" i="3"/>
  <c r="BN305" i="3"/>
  <c r="BO305" i="3"/>
  <c r="BP305" i="3"/>
  <c r="BQ305" i="3"/>
  <c r="BR305" i="3"/>
  <c r="BS305" i="3"/>
  <c r="BT305" i="3"/>
  <c r="BL305" i="3"/>
  <c r="AZ305" i="3"/>
  <c r="BA306" i="3"/>
  <c r="BM306" i="3"/>
  <c r="BN306" i="3"/>
  <c r="BO306" i="3"/>
  <c r="BP306" i="3"/>
  <c r="BQ306" i="3"/>
  <c r="BR306" i="3"/>
  <c r="BS306" i="3"/>
  <c r="BT306" i="3"/>
  <c r="BL306" i="3"/>
  <c r="AZ306" i="3"/>
  <c r="BA307" i="3"/>
  <c r="BM307" i="3"/>
  <c r="BN307" i="3"/>
  <c r="BO307" i="3"/>
  <c r="BP307" i="3"/>
  <c r="BQ307" i="3"/>
  <c r="BR307" i="3"/>
  <c r="BS307" i="3"/>
  <c r="BT307" i="3"/>
  <c r="BL307" i="3"/>
  <c r="AZ307" i="3"/>
  <c r="BA308" i="3"/>
  <c r="BM308" i="3"/>
  <c r="BN308" i="3"/>
  <c r="BO308" i="3"/>
  <c r="BP308" i="3"/>
  <c r="BQ308" i="3"/>
  <c r="BR308" i="3"/>
  <c r="BS308" i="3"/>
  <c r="BT308" i="3"/>
  <c r="BL308" i="3"/>
  <c r="AZ308" i="3"/>
  <c r="BA309" i="3"/>
  <c r="BM309" i="3"/>
  <c r="BN309" i="3"/>
  <c r="BO309" i="3"/>
  <c r="BP309" i="3"/>
  <c r="BQ309" i="3"/>
  <c r="BR309" i="3"/>
  <c r="BS309" i="3"/>
  <c r="BT309" i="3"/>
  <c r="BL309" i="3"/>
  <c r="AZ309" i="3"/>
  <c r="BA310" i="3"/>
  <c r="BM310" i="3"/>
  <c r="BN310" i="3"/>
  <c r="BO310" i="3"/>
  <c r="BP310" i="3"/>
  <c r="BQ310" i="3"/>
  <c r="BR310" i="3"/>
  <c r="BS310" i="3"/>
  <c r="BT310" i="3"/>
  <c r="BL310" i="3"/>
  <c r="AZ310" i="3"/>
  <c r="BA311" i="3"/>
  <c r="BM311" i="3"/>
  <c r="BN311" i="3"/>
  <c r="BO311" i="3"/>
  <c r="BP311" i="3"/>
  <c r="BQ311" i="3"/>
  <c r="BR311" i="3"/>
  <c r="BS311" i="3"/>
  <c r="BT311" i="3"/>
  <c r="BL311" i="3"/>
  <c r="AZ311" i="3"/>
  <c r="BA312" i="3"/>
  <c r="BM312" i="3"/>
  <c r="BN312" i="3"/>
  <c r="BO312" i="3"/>
  <c r="BP312" i="3"/>
  <c r="BQ312" i="3"/>
  <c r="BR312" i="3"/>
  <c r="BS312" i="3"/>
  <c r="BT312" i="3"/>
  <c r="BL312" i="3"/>
  <c r="AZ312" i="3"/>
  <c r="BA313" i="3"/>
  <c r="BM313" i="3"/>
  <c r="BN313" i="3"/>
  <c r="BO313" i="3"/>
  <c r="BP313" i="3"/>
  <c r="BQ313" i="3"/>
  <c r="BR313" i="3"/>
  <c r="BS313" i="3"/>
  <c r="BT313" i="3"/>
  <c r="BL313" i="3"/>
  <c r="AZ313" i="3"/>
  <c r="BA314" i="3"/>
  <c r="BM314" i="3"/>
  <c r="BN314" i="3"/>
  <c r="BO314" i="3"/>
  <c r="BP314" i="3"/>
  <c r="BQ314" i="3"/>
  <c r="BR314" i="3"/>
  <c r="BS314" i="3"/>
  <c r="BT314" i="3"/>
  <c r="BL314" i="3"/>
  <c r="AZ314" i="3"/>
  <c r="BA315" i="3"/>
  <c r="BM315" i="3"/>
  <c r="BN315" i="3"/>
  <c r="BO315" i="3"/>
  <c r="BP315" i="3"/>
  <c r="BQ315" i="3"/>
  <c r="BR315" i="3"/>
  <c r="BS315" i="3"/>
  <c r="BT315" i="3"/>
  <c r="BL315" i="3"/>
  <c r="AZ315" i="3"/>
  <c r="BA316" i="3"/>
  <c r="BM316" i="3"/>
  <c r="BN316" i="3"/>
  <c r="BO316" i="3"/>
  <c r="BP316" i="3"/>
  <c r="BQ316" i="3"/>
  <c r="BR316" i="3"/>
  <c r="BS316" i="3"/>
  <c r="BT316" i="3"/>
  <c r="BL316" i="3"/>
  <c r="AZ316" i="3"/>
  <c r="BA317" i="3"/>
  <c r="BM317" i="3"/>
  <c r="BN317" i="3"/>
  <c r="BO317" i="3"/>
  <c r="BP317" i="3"/>
  <c r="BQ317" i="3"/>
  <c r="BR317" i="3"/>
  <c r="BS317" i="3"/>
  <c r="BT317" i="3"/>
  <c r="BL317" i="3"/>
  <c r="AZ317" i="3"/>
  <c r="BA318" i="3"/>
  <c r="BM318" i="3"/>
  <c r="BN318" i="3"/>
  <c r="BO318" i="3"/>
  <c r="BP318" i="3"/>
  <c r="BQ318" i="3"/>
  <c r="BR318" i="3"/>
  <c r="BS318" i="3"/>
  <c r="BT318" i="3"/>
  <c r="BL318" i="3"/>
  <c r="AZ318" i="3"/>
  <c r="BA319" i="3"/>
  <c r="BM319" i="3"/>
  <c r="BN319" i="3"/>
  <c r="BO319" i="3"/>
  <c r="BP319" i="3"/>
  <c r="BQ319" i="3"/>
  <c r="BR319" i="3"/>
  <c r="BS319" i="3"/>
  <c r="BT319" i="3"/>
  <c r="BL319" i="3"/>
  <c r="AZ319" i="3"/>
  <c r="BA320" i="3"/>
  <c r="BM320" i="3"/>
  <c r="BN320" i="3"/>
  <c r="BO320" i="3"/>
  <c r="BP320" i="3"/>
  <c r="BQ320" i="3"/>
  <c r="BR320" i="3"/>
  <c r="BS320" i="3"/>
  <c r="BT320" i="3"/>
  <c r="BL320" i="3"/>
  <c r="AZ320" i="3"/>
  <c r="BA321" i="3"/>
  <c r="BM321" i="3"/>
  <c r="BN321" i="3"/>
  <c r="BO321" i="3"/>
  <c r="BP321" i="3"/>
  <c r="BQ321" i="3"/>
  <c r="BR321" i="3"/>
  <c r="BS321" i="3"/>
  <c r="BT321" i="3"/>
  <c r="BL321" i="3"/>
  <c r="AZ321" i="3"/>
  <c r="BA322" i="3"/>
  <c r="BM322" i="3"/>
  <c r="BN322" i="3"/>
  <c r="BO322" i="3"/>
  <c r="BP322" i="3"/>
  <c r="BQ322" i="3"/>
  <c r="BR322" i="3"/>
  <c r="BS322" i="3"/>
  <c r="BT322" i="3"/>
  <c r="BL322" i="3"/>
  <c r="AZ322" i="3"/>
  <c r="BA323" i="3"/>
  <c r="BM323" i="3"/>
  <c r="BN323" i="3"/>
  <c r="BO323" i="3"/>
  <c r="BP323" i="3"/>
  <c r="BQ323" i="3"/>
  <c r="BR323" i="3"/>
  <c r="BS323" i="3"/>
  <c r="BT323" i="3"/>
  <c r="BL323" i="3"/>
  <c r="AZ323" i="3"/>
  <c r="BA324" i="3"/>
  <c r="BM324" i="3"/>
  <c r="BN324" i="3"/>
  <c r="BO324" i="3"/>
  <c r="BP324" i="3"/>
  <c r="BQ324" i="3"/>
  <c r="BR324" i="3"/>
  <c r="BS324" i="3"/>
  <c r="BT324" i="3"/>
  <c r="BL324" i="3"/>
  <c r="AZ324" i="3"/>
  <c r="BA325" i="3"/>
  <c r="BM325" i="3"/>
  <c r="BN325" i="3"/>
  <c r="BO325" i="3"/>
  <c r="BP325" i="3"/>
  <c r="BQ325" i="3"/>
  <c r="BR325" i="3"/>
  <c r="BS325" i="3"/>
  <c r="BT325" i="3"/>
  <c r="BL325" i="3"/>
  <c r="AZ325" i="3"/>
  <c r="BA326" i="3"/>
  <c r="BM326" i="3"/>
  <c r="BN326" i="3"/>
  <c r="BO326" i="3"/>
  <c r="BP326" i="3"/>
  <c r="BQ326" i="3"/>
  <c r="BR326" i="3"/>
  <c r="BS326" i="3"/>
  <c r="BT326" i="3"/>
  <c r="BL326" i="3"/>
  <c r="AZ326" i="3"/>
  <c r="BA327" i="3"/>
  <c r="BM327" i="3"/>
  <c r="BN327" i="3"/>
  <c r="BO327" i="3"/>
  <c r="BP327" i="3"/>
  <c r="BQ327" i="3"/>
  <c r="BR327" i="3"/>
  <c r="BS327" i="3"/>
  <c r="BT327" i="3"/>
  <c r="BL327" i="3"/>
  <c r="AZ327" i="3"/>
  <c r="BA328" i="3"/>
  <c r="BM328" i="3"/>
  <c r="BN328" i="3"/>
  <c r="BO328" i="3"/>
  <c r="BP328" i="3"/>
  <c r="BQ328" i="3"/>
  <c r="BR328" i="3"/>
  <c r="BS328" i="3"/>
  <c r="BT328" i="3"/>
  <c r="BL328" i="3"/>
  <c r="AZ328" i="3"/>
  <c r="BA329" i="3"/>
  <c r="BM329" i="3"/>
  <c r="BN329" i="3"/>
  <c r="BO329" i="3"/>
  <c r="BP329" i="3"/>
  <c r="BQ329" i="3"/>
  <c r="BR329" i="3"/>
  <c r="BS329" i="3"/>
  <c r="BT329" i="3"/>
  <c r="BL329" i="3"/>
  <c r="AZ329" i="3"/>
  <c r="BA330" i="3"/>
  <c r="BM330" i="3"/>
  <c r="BN330" i="3"/>
  <c r="BO330" i="3"/>
  <c r="BP330" i="3"/>
  <c r="BQ330" i="3"/>
  <c r="BR330" i="3"/>
  <c r="BS330" i="3"/>
  <c r="BT330" i="3"/>
  <c r="BL330" i="3"/>
  <c r="AZ330" i="3"/>
  <c r="BA331" i="3"/>
  <c r="BM331" i="3"/>
  <c r="BN331" i="3"/>
  <c r="BO331" i="3"/>
  <c r="BP331" i="3"/>
  <c r="BQ331" i="3"/>
  <c r="BR331" i="3"/>
  <c r="BS331" i="3"/>
  <c r="BT331" i="3"/>
  <c r="BL331" i="3"/>
  <c r="AZ331" i="3"/>
  <c r="BA332" i="3"/>
  <c r="BM332" i="3"/>
  <c r="BN332" i="3"/>
  <c r="BO332" i="3"/>
  <c r="BP332" i="3"/>
  <c r="BQ332" i="3"/>
  <c r="BR332" i="3"/>
  <c r="BS332" i="3"/>
  <c r="BT332" i="3"/>
  <c r="BL332" i="3"/>
  <c r="AZ332" i="3"/>
  <c r="BA333" i="3"/>
  <c r="BM333" i="3"/>
  <c r="BN333" i="3"/>
  <c r="BO333" i="3"/>
  <c r="BP333" i="3"/>
  <c r="BQ333" i="3"/>
  <c r="BR333" i="3"/>
  <c r="BS333" i="3"/>
  <c r="BT333" i="3"/>
  <c r="BL333" i="3"/>
  <c r="AZ333" i="3"/>
  <c r="BA334" i="3"/>
  <c r="BM334" i="3"/>
  <c r="BN334" i="3"/>
  <c r="BO334" i="3"/>
  <c r="BP334" i="3"/>
  <c r="BQ334" i="3"/>
  <c r="BR334" i="3"/>
  <c r="BS334" i="3"/>
  <c r="BT334" i="3"/>
  <c r="BL334" i="3"/>
  <c r="AZ334" i="3"/>
  <c r="BA335" i="3"/>
  <c r="BM335" i="3"/>
  <c r="BN335" i="3"/>
  <c r="BO335" i="3"/>
  <c r="BP335" i="3"/>
  <c r="BQ335" i="3"/>
  <c r="BR335" i="3"/>
  <c r="BS335" i="3"/>
  <c r="BT335" i="3"/>
  <c r="BL335" i="3"/>
  <c r="AZ335" i="3"/>
  <c r="BA336" i="3"/>
  <c r="BM336" i="3"/>
  <c r="BN336" i="3"/>
  <c r="BO336" i="3"/>
  <c r="BP336" i="3"/>
  <c r="BQ336" i="3"/>
  <c r="BR336" i="3"/>
  <c r="BS336" i="3"/>
  <c r="BT336" i="3"/>
  <c r="BL336" i="3"/>
  <c r="AZ336" i="3"/>
  <c r="BA337" i="3"/>
  <c r="BM337" i="3"/>
  <c r="BN337" i="3"/>
  <c r="BO337" i="3"/>
  <c r="BP337" i="3"/>
  <c r="BQ337" i="3"/>
  <c r="BR337" i="3"/>
  <c r="BS337" i="3"/>
  <c r="BT337" i="3"/>
  <c r="BL337" i="3"/>
  <c r="AZ337" i="3"/>
  <c r="BA338" i="3"/>
  <c r="BM338" i="3"/>
  <c r="BN338" i="3"/>
  <c r="BO338" i="3"/>
  <c r="BP338" i="3"/>
  <c r="BQ338" i="3"/>
  <c r="BR338" i="3"/>
  <c r="BS338" i="3"/>
  <c r="BT338" i="3"/>
  <c r="BL338" i="3"/>
  <c r="AZ338" i="3"/>
  <c r="BA339" i="3"/>
  <c r="BM339" i="3"/>
  <c r="BN339" i="3"/>
  <c r="BO339" i="3"/>
  <c r="BP339" i="3"/>
  <c r="BQ339" i="3"/>
  <c r="BR339" i="3"/>
  <c r="BS339" i="3"/>
  <c r="BT339" i="3"/>
  <c r="BL339" i="3"/>
  <c r="AZ339" i="3"/>
  <c r="BA340" i="3"/>
  <c r="BM340" i="3"/>
  <c r="BN340" i="3"/>
  <c r="BO340" i="3"/>
  <c r="BP340" i="3"/>
  <c r="BQ340" i="3"/>
  <c r="BR340" i="3"/>
  <c r="BS340" i="3"/>
  <c r="BT340" i="3"/>
  <c r="BL340" i="3"/>
  <c r="AZ340" i="3"/>
  <c r="BA341" i="3"/>
  <c r="BM341" i="3"/>
  <c r="BN341" i="3"/>
  <c r="BO341" i="3"/>
  <c r="BP341" i="3"/>
  <c r="BQ341" i="3"/>
  <c r="BR341" i="3"/>
  <c r="BS341" i="3"/>
  <c r="BT341" i="3"/>
  <c r="BL341" i="3"/>
  <c r="AZ341" i="3"/>
  <c r="BA342" i="3"/>
  <c r="BM342" i="3"/>
  <c r="BN342" i="3"/>
  <c r="BO342" i="3"/>
  <c r="BP342" i="3"/>
  <c r="BQ342" i="3"/>
  <c r="BR342" i="3"/>
  <c r="BS342" i="3"/>
  <c r="BT342" i="3"/>
  <c r="BL342" i="3"/>
  <c r="AZ342" i="3"/>
  <c r="BA343" i="3"/>
  <c r="BM343" i="3"/>
  <c r="BN343" i="3"/>
  <c r="BO343" i="3"/>
  <c r="BP343" i="3"/>
  <c r="BQ343" i="3"/>
  <c r="BR343" i="3"/>
  <c r="BS343" i="3"/>
  <c r="BT343" i="3"/>
  <c r="BL343" i="3"/>
  <c r="AZ343" i="3"/>
  <c r="BA344" i="3"/>
  <c r="BM344" i="3"/>
  <c r="BN344" i="3"/>
  <c r="BO344" i="3"/>
  <c r="BP344" i="3"/>
  <c r="BQ344" i="3"/>
  <c r="BR344" i="3"/>
  <c r="BS344" i="3"/>
  <c r="BT344" i="3"/>
  <c r="BL344" i="3"/>
  <c r="AZ344" i="3"/>
  <c r="BA345" i="3"/>
  <c r="BM345" i="3"/>
  <c r="BN345" i="3"/>
  <c r="BO345" i="3"/>
  <c r="BP345" i="3"/>
  <c r="BQ345" i="3"/>
  <c r="BR345" i="3"/>
  <c r="BS345" i="3"/>
  <c r="BT345" i="3"/>
  <c r="BL345" i="3"/>
  <c r="AZ345" i="3"/>
  <c r="BA346" i="3"/>
  <c r="BM346" i="3"/>
  <c r="BN346" i="3"/>
  <c r="BO346" i="3"/>
  <c r="BP346" i="3"/>
  <c r="BQ346" i="3"/>
  <c r="BR346" i="3"/>
  <c r="BS346" i="3"/>
  <c r="BT346" i="3"/>
  <c r="BL346" i="3"/>
  <c r="AZ346" i="3"/>
  <c r="BA347" i="3"/>
  <c r="BM347" i="3"/>
  <c r="BN347" i="3"/>
  <c r="BO347" i="3"/>
  <c r="BP347" i="3"/>
  <c r="BQ347" i="3"/>
  <c r="BR347" i="3"/>
  <c r="BS347" i="3"/>
  <c r="BT347" i="3"/>
  <c r="BL347" i="3"/>
  <c r="AZ347" i="3"/>
  <c r="BA348" i="3"/>
  <c r="BM348" i="3"/>
  <c r="BN348" i="3"/>
  <c r="BO348" i="3"/>
  <c r="BP348" i="3"/>
  <c r="BQ348" i="3"/>
  <c r="BR348" i="3"/>
  <c r="BS348" i="3"/>
  <c r="BT348" i="3"/>
  <c r="BL348" i="3"/>
  <c r="AZ348" i="3"/>
  <c r="BA349" i="3"/>
  <c r="BM349" i="3"/>
  <c r="BN349" i="3"/>
  <c r="BO349" i="3"/>
  <c r="BP349" i="3"/>
  <c r="BQ349" i="3"/>
  <c r="BR349" i="3"/>
  <c r="BS349" i="3"/>
  <c r="BT349" i="3"/>
  <c r="BL349" i="3"/>
  <c r="AZ349" i="3"/>
  <c r="BA350" i="3"/>
  <c r="BM350" i="3"/>
  <c r="BN350" i="3"/>
  <c r="BO350" i="3"/>
  <c r="BP350" i="3"/>
  <c r="BQ350" i="3"/>
  <c r="BR350" i="3"/>
  <c r="BS350" i="3"/>
  <c r="BT350" i="3"/>
  <c r="BL350" i="3"/>
  <c r="AZ350" i="3"/>
  <c r="BA351" i="3"/>
  <c r="BM351" i="3"/>
  <c r="BN351" i="3"/>
  <c r="BO351" i="3"/>
  <c r="BP351" i="3"/>
  <c r="BQ351" i="3"/>
  <c r="BR351" i="3"/>
  <c r="BS351" i="3"/>
  <c r="BT351" i="3"/>
  <c r="BL351" i="3"/>
  <c r="AZ351" i="3"/>
  <c r="BA352" i="3"/>
  <c r="BM352" i="3"/>
  <c r="BN352" i="3"/>
  <c r="BO352" i="3"/>
  <c r="BP352" i="3"/>
  <c r="BQ352" i="3"/>
  <c r="BR352" i="3"/>
  <c r="BS352" i="3"/>
  <c r="BT352" i="3"/>
  <c r="BL352" i="3"/>
  <c r="AZ352" i="3"/>
  <c r="BA353" i="3"/>
  <c r="BM353" i="3"/>
  <c r="BN353" i="3"/>
  <c r="BO353" i="3"/>
  <c r="BP353" i="3"/>
  <c r="BQ353" i="3"/>
  <c r="BR353" i="3"/>
  <c r="BS353" i="3"/>
  <c r="BT353" i="3"/>
  <c r="BL353" i="3"/>
  <c r="AZ353" i="3"/>
  <c r="BA354" i="3"/>
  <c r="BM354" i="3"/>
  <c r="BN354" i="3"/>
  <c r="BO354" i="3"/>
  <c r="BP354" i="3"/>
  <c r="BQ354" i="3"/>
  <c r="BR354" i="3"/>
  <c r="BS354" i="3"/>
  <c r="BT354" i="3"/>
  <c r="BL354" i="3"/>
  <c r="AZ354" i="3"/>
  <c r="BA355" i="3"/>
  <c r="BM355" i="3"/>
  <c r="BN355" i="3"/>
  <c r="BO355" i="3"/>
  <c r="BP355" i="3"/>
  <c r="BQ355" i="3"/>
  <c r="BR355" i="3"/>
  <c r="BS355" i="3"/>
  <c r="BT355" i="3"/>
  <c r="BL355" i="3"/>
  <c r="AZ355" i="3"/>
  <c r="BA356" i="3"/>
  <c r="BM356" i="3"/>
  <c r="BN356" i="3"/>
  <c r="BO356" i="3"/>
  <c r="BP356" i="3"/>
  <c r="BQ356" i="3"/>
  <c r="BR356" i="3"/>
  <c r="BS356" i="3"/>
  <c r="BT356" i="3"/>
  <c r="BL356" i="3"/>
  <c r="AZ356" i="3"/>
  <c r="BA357" i="3"/>
  <c r="BM357" i="3"/>
  <c r="BN357" i="3"/>
  <c r="BO357" i="3"/>
  <c r="BP357" i="3"/>
  <c r="BQ357" i="3"/>
  <c r="BR357" i="3"/>
  <c r="BS357" i="3"/>
  <c r="BT357" i="3"/>
  <c r="BL357" i="3"/>
  <c r="AZ357" i="3"/>
  <c r="BA358" i="3"/>
  <c r="BM358" i="3"/>
  <c r="BN358" i="3"/>
  <c r="BO358" i="3"/>
  <c r="BP358" i="3"/>
  <c r="BQ358" i="3"/>
  <c r="BR358" i="3"/>
  <c r="BS358" i="3"/>
  <c r="BT358" i="3"/>
  <c r="BL358" i="3"/>
  <c r="AZ358" i="3"/>
  <c r="BA359" i="3"/>
  <c r="BM359" i="3"/>
  <c r="BN359" i="3"/>
  <c r="BO359" i="3"/>
  <c r="BP359" i="3"/>
  <c r="BQ359" i="3"/>
  <c r="BR359" i="3"/>
  <c r="BS359" i="3"/>
  <c r="BT359" i="3"/>
  <c r="BL359" i="3"/>
  <c r="AZ359" i="3"/>
  <c r="BA360" i="3"/>
  <c r="BM360" i="3"/>
  <c r="BN360" i="3"/>
  <c r="BO360" i="3"/>
  <c r="BP360" i="3"/>
  <c r="BQ360" i="3"/>
  <c r="BR360" i="3"/>
  <c r="BS360" i="3"/>
  <c r="BT360" i="3"/>
  <c r="BL360" i="3"/>
  <c r="AZ360" i="3"/>
  <c r="BA361" i="3"/>
  <c r="BM361" i="3"/>
  <c r="BN361" i="3"/>
  <c r="BO361" i="3"/>
  <c r="BP361" i="3"/>
  <c r="BQ361" i="3"/>
  <c r="BR361" i="3"/>
  <c r="BS361" i="3"/>
  <c r="BT361" i="3"/>
  <c r="BL361" i="3"/>
  <c r="AZ361" i="3"/>
  <c r="BA362" i="3"/>
  <c r="BM362" i="3"/>
  <c r="BN362" i="3"/>
  <c r="BO362" i="3"/>
  <c r="BP362" i="3"/>
  <c r="BQ362" i="3"/>
  <c r="BR362" i="3"/>
  <c r="BS362" i="3"/>
  <c r="BT362" i="3"/>
  <c r="BL362" i="3"/>
  <c r="AZ362" i="3"/>
  <c r="BA363" i="3"/>
  <c r="BM363" i="3"/>
  <c r="BN363" i="3"/>
  <c r="BO363" i="3"/>
  <c r="BP363" i="3"/>
  <c r="BQ363" i="3"/>
  <c r="BR363" i="3"/>
  <c r="BS363" i="3"/>
  <c r="BT363" i="3"/>
  <c r="BL363" i="3"/>
  <c r="AZ363" i="3"/>
  <c r="BA364" i="3"/>
  <c r="BM364" i="3"/>
  <c r="BN364" i="3"/>
  <c r="BO364" i="3"/>
  <c r="BP364" i="3"/>
  <c r="BQ364" i="3"/>
  <c r="BR364" i="3"/>
  <c r="BS364" i="3"/>
  <c r="BT364" i="3"/>
  <c r="BL364" i="3"/>
  <c r="AZ364" i="3"/>
  <c r="BA365" i="3"/>
  <c r="BM365" i="3"/>
  <c r="BN365" i="3"/>
  <c r="BO365" i="3"/>
  <c r="BP365" i="3"/>
  <c r="BQ365" i="3"/>
  <c r="BR365" i="3"/>
  <c r="BS365" i="3"/>
  <c r="BT365" i="3"/>
  <c r="BL365" i="3"/>
  <c r="AZ365" i="3"/>
  <c r="BA366" i="3"/>
  <c r="BM366" i="3"/>
  <c r="BN366" i="3"/>
  <c r="BO366" i="3"/>
  <c r="BP366" i="3"/>
  <c r="BQ366" i="3"/>
  <c r="BR366" i="3"/>
  <c r="BS366" i="3"/>
  <c r="BT366" i="3"/>
  <c r="BL366" i="3"/>
  <c r="AZ366" i="3"/>
  <c r="BA367" i="3"/>
  <c r="BM367" i="3"/>
  <c r="BN367" i="3"/>
  <c r="BO367" i="3"/>
  <c r="BP367" i="3"/>
  <c r="BQ367" i="3"/>
  <c r="BR367" i="3"/>
  <c r="BS367" i="3"/>
  <c r="BT367" i="3"/>
  <c r="BL367" i="3"/>
  <c r="AZ367" i="3"/>
  <c r="BA368" i="3"/>
  <c r="BM368" i="3"/>
  <c r="BN368" i="3"/>
  <c r="BO368" i="3"/>
  <c r="BP368" i="3"/>
  <c r="BQ368" i="3"/>
  <c r="BR368" i="3"/>
  <c r="BS368" i="3"/>
  <c r="BT368" i="3"/>
  <c r="BL368" i="3"/>
  <c r="AZ368" i="3"/>
  <c r="BA369" i="3"/>
  <c r="BM369" i="3"/>
  <c r="BN369" i="3"/>
  <c r="BO369" i="3"/>
  <c r="BP369" i="3"/>
  <c r="BQ369" i="3"/>
  <c r="BR369" i="3"/>
  <c r="BS369" i="3"/>
  <c r="BT369" i="3"/>
  <c r="BL369" i="3"/>
  <c r="AZ369" i="3"/>
  <c r="BA370" i="3"/>
  <c r="BM370" i="3"/>
  <c r="BN370" i="3"/>
  <c r="BO370" i="3"/>
  <c r="BP370" i="3"/>
  <c r="BQ370" i="3"/>
  <c r="BR370" i="3"/>
  <c r="BS370" i="3"/>
  <c r="BT370" i="3"/>
  <c r="BL370" i="3"/>
  <c r="AZ370" i="3"/>
  <c r="BA371" i="3"/>
  <c r="BM371" i="3"/>
  <c r="BN371" i="3"/>
  <c r="BO371" i="3"/>
  <c r="BP371" i="3"/>
  <c r="BQ371" i="3"/>
  <c r="BR371" i="3"/>
  <c r="BS371" i="3"/>
  <c r="BT371" i="3"/>
  <c r="BL371" i="3"/>
  <c r="AZ371" i="3"/>
  <c r="BA372" i="3"/>
  <c r="BM372" i="3"/>
  <c r="BN372" i="3"/>
  <c r="BO372" i="3"/>
  <c r="BP372" i="3"/>
  <c r="BQ372" i="3"/>
  <c r="BR372" i="3"/>
  <c r="BS372" i="3"/>
  <c r="BT372" i="3"/>
  <c r="BL372" i="3"/>
  <c r="AZ372" i="3"/>
  <c r="BA373" i="3"/>
  <c r="BM373" i="3"/>
  <c r="BN373" i="3"/>
  <c r="BO373" i="3"/>
  <c r="BP373" i="3"/>
  <c r="BQ373" i="3"/>
  <c r="BR373" i="3"/>
  <c r="BS373" i="3"/>
  <c r="BT373" i="3"/>
  <c r="BL373" i="3"/>
  <c r="AZ373" i="3"/>
  <c r="BA374" i="3"/>
  <c r="BM374" i="3"/>
  <c r="BN374" i="3"/>
  <c r="BO374" i="3"/>
  <c r="BP374" i="3"/>
  <c r="BQ374" i="3"/>
  <c r="BR374" i="3"/>
  <c r="BS374" i="3"/>
  <c r="BT374" i="3"/>
  <c r="BL374" i="3"/>
  <c r="AZ374" i="3"/>
  <c r="BA375" i="3"/>
  <c r="BM375" i="3"/>
  <c r="BN375" i="3"/>
  <c r="BO375" i="3"/>
  <c r="BP375" i="3"/>
  <c r="BQ375" i="3"/>
  <c r="BR375" i="3"/>
  <c r="BS375" i="3"/>
  <c r="BT375" i="3"/>
  <c r="BL375" i="3"/>
  <c r="AZ375" i="3"/>
  <c r="BA376" i="3"/>
  <c r="BM376" i="3"/>
  <c r="BN376" i="3"/>
  <c r="BO376" i="3"/>
  <c r="BP376" i="3"/>
  <c r="BQ376" i="3"/>
  <c r="BR376" i="3"/>
  <c r="BS376" i="3"/>
  <c r="BT376" i="3"/>
  <c r="BL376" i="3"/>
  <c r="AZ376" i="3"/>
  <c r="BA377" i="3"/>
  <c r="BM377" i="3"/>
  <c r="BN377" i="3"/>
  <c r="BO377" i="3"/>
  <c r="BP377" i="3"/>
  <c r="BQ377" i="3"/>
  <c r="BR377" i="3"/>
  <c r="BS377" i="3"/>
  <c r="BT377" i="3"/>
  <c r="BL377" i="3"/>
  <c r="AZ377" i="3"/>
  <c r="BA378" i="3"/>
  <c r="BM378" i="3"/>
  <c r="BN378" i="3"/>
  <c r="BO378" i="3"/>
  <c r="BP378" i="3"/>
  <c r="BQ378" i="3"/>
  <c r="BR378" i="3"/>
  <c r="BS378" i="3"/>
  <c r="BT378" i="3"/>
  <c r="BL378" i="3"/>
  <c r="AZ378" i="3"/>
  <c r="BA379" i="3"/>
  <c r="BM379" i="3"/>
  <c r="BN379" i="3"/>
  <c r="BO379" i="3"/>
  <c r="BP379" i="3"/>
  <c r="BQ379" i="3"/>
  <c r="BR379" i="3"/>
  <c r="BS379" i="3"/>
  <c r="BT379" i="3"/>
  <c r="BL379" i="3"/>
  <c r="AZ379" i="3"/>
  <c r="BA380" i="3"/>
  <c r="BM380" i="3"/>
  <c r="BN380" i="3"/>
  <c r="BO380" i="3"/>
  <c r="BP380" i="3"/>
  <c r="BQ380" i="3"/>
  <c r="BR380" i="3"/>
  <c r="BS380" i="3"/>
  <c r="BT380" i="3"/>
  <c r="BL380" i="3"/>
  <c r="AZ380" i="3"/>
  <c r="BA381" i="3"/>
  <c r="BM381" i="3"/>
  <c r="BN381" i="3"/>
  <c r="BO381" i="3"/>
  <c r="BP381" i="3"/>
  <c r="BQ381" i="3"/>
  <c r="BR381" i="3"/>
  <c r="BS381" i="3"/>
  <c r="BT381" i="3"/>
  <c r="BL381" i="3"/>
  <c r="AZ381" i="3"/>
  <c r="BA382" i="3"/>
  <c r="BM382" i="3"/>
  <c r="BN382" i="3"/>
  <c r="BO382" i="3"/>
  <c r="BP382" i="3"/>
  <c r="BQ382" i="3"/>
  <c r="BR382" i="3"/>
  <c r="BS382" i="3"/>
  <c r="BT382" i="3"/>
  <c r="BL382" i="3"/>
  <c r="AZ382" i="3"/>
  <c r="BA383" i="3"/>
  <c r="BM383" i="3"/>
  <c r="BN383" i="3"/>
  <c r="BO383" i="3"/>
  <c r="BP383" i="3"/>
  <c r="BQ383" i="3"/>
  <c r="BR383" i="3"/>
  <c r="BS383" i="3"/>
  <c r="BT383" i="3"/>
  <c r="BL383" i="3"/>
  <c r="AZ383" i="3"/>
  <c r="BA384" i="3"/>
  <c r="BM384" i="3"/>
  <c r="BN384" i="3"/>
  <c r="BO384" i="3"/>
  <c r="BP384" i="3"/>
  <c r="BQ384" i="3"/>
  <c r="BR384" i="3"/>
  <c r="BS384" i="3"/>
  <c r="BT384" i="3"/>
  <c r="BL384" i="3"/>
  <c r="AZ384" i="3"/>
  <c r="BA385" i="3"/>
  <c r="BM385" i="3"/>
  <c r="BN385" i="3"/>
  <c r="BO385" i="3"/>
  <c r="BP385" i="3"/>
  <c r="BQ385" i="3"/>
  <c r="BR385" i="3"/>
  <c r="BS385" i="3"/>
  <c r="BT385" i="3"/>
  <c r="BL385" i="3"/>
  <c r="AZ385" i="3"/>
  <c r="BA386" i="3"/>
  <c r="BM386" i="3"/>
  <c r="BN386" i="3"/>
  <c r="BO386" i="3"/>
  <c r="BP386" i="3"/>
  <c r="BQ386" i="3"/>
  <c r="BR386" i="3"/>
  <c r="BS386" i="3"/>
  <c r="BT386" i="3"/>
  <c r="BL386" i="3"/>
  <c r="AZ386" i="3"/>
  <c r="BA387" i="3"/>
  <c r="BM387" i="3"/>
  <c r="BN387" i="3"/>
  <c r="BO387" i="3"/>
  <c r="BP387" i="3"/>
  <c r="BQ387" i="3"/>
  <c r="BR387" i="3"/>
  <c r="BS387" i="3"/>
  <c r="BT387" i="3"/>
  <c r="BL387" i="3"/>
  <c r="AZ387" i="3"/>
  <c r="BA388" i="3"/>
  <c r="BM388" i="3"/>
  <c r="BN388" i="3"/>
  <c r="BO388" i="3"/>
  <c r="BP388" i="3"/>
  <c r="BQ388" i="3"/>
  <c r="BR388" i="3"/>
  <c r="BS388" i="3"/>
  <c r="BT388" i="3"/>
  <c r="BL388" i="3"/>
  <c r="AZ388" i="3"/>
  <c r="BA389" i="3"/>
  <c r="BM389" i="3"/>
  <c r="BN389" i="3"/>
  <c r="BO389" i="3"/>
  <c r="BP389" i="3"/>
  <c r="BQ389" i="3"/>
  <c r="BR389" i="3"/>
  <c r="BS389" i="3"/>
  <c r="BT389" i="3"/>
  <c r="BL389" i="3"/>
  <c r="AZ389" i="3"/>
  <c r="BA390" i="3"/>
  <c r="BM390" i="3"/>
  <c r="BN390" i="3"/>
  <c r="BO390" i="3"/>
  <c r="BP390" i="3"/>
  <c r="BQ390" i="3"/>
  <c r="BR390" i="3"/>
  <c r="BS390" i="3"/>
  <c r="BT390" i="3"/>
  <c r="BL390" i="3"/>
  <c r="AZ390" i="3"/>
  <c r="BA391" i="3"/>
  <c r="BM391" i="3"/>
  <c r="BN391" i="3"/>
  <c r="BO391" i="3"/>
  <c r="BP391" i="3"/>
  <c r="BQ391" i="3"/>
  <c r="BR391" i="3"/>
  <c r="BS391" i="3"/>
  <c r="BT391" i="3"/>
  <c r="BL391" i="3"/>
  <c r="AZ391" i="3"/>
  <c r="BA392" i="3"/>
  <c r="BM392" i="3"/>
  <c r="BN392" i="3"/>
  <c r="BO392" i="3"/>
  <c r="BP392" i="3"/>
  <c r="BQ392" i="3"/>
  <c r="BR392" i="3"/>
  <c r="BS392" i="3"/>
  <c r="BT392" i="3"/>
  <c r="BL392" i="3"/>
  <c r="AZ392" i="3"/>
  <c r="BA393" i="3"/>
  <c r="BM393" i="3"/>
  <c r="BN393" i="3"/>
  <c r="BO393" i="3"/>
  <c r="BP393" i="3"/>
  <c r="BQ393" i="3"/>
  <c r="BR393" i="3"/>
  <c r="BS393" i="3"/>
  <c r="BT393" i="3"/>
  <c r="BL393" i="3"/>
  <c r="AZ393" i="3"/>
  <c r="BA394" i="3"/>
  <c r="BM394" i="3"/>
  <c r="BN394" i="3"/>
  <c r="BO394" i="3"/>
  <c r="BP394" i="3"/>
  <c r="BQ394" i="3"/>
  <c r="BR394" i="3"/>
  <c r="BS394" i="3"/>
  <c r="BT394" i="3"/>
  <c r="BL394" i="3"/>
  <c r="AZ394" i="3"/>
  <c r="BA395" i="3"/>
  <c r="BM395" i="3"/>
  <c r="BN395" i="3"/>
  <c r="BO395" i="3"/>
  <c r="BP395" i="3"/>
  <c r="BQ395" i="3"/>
  <c r="BR395" i="3"/>
  <c r="BS395" i="3"/>
  <c r="BT395" i="3"/>
  <c r="BL395" i="3"/>
  <c r="AZ395" i="3"/>
  <c r="BA396" i="3"/>
  <c r="BM396" i="3"/>
  <c r="BN396" i="3"/>
  <c r="BO396" i="3"/>
  <c r="BP396" i="3"/>
  <c r="BQ396" i="3"/>
  <c r="BR396" i="3"/>
  <c r="BS396" i="3"/>
  <c r="BT396" i="3"/>
  <c r="BL396" i="3"/>
  <c r="AZ396" i="3"/>
  <c r="BA397" i="3"/>
  <c r="BM397" i="3"/>
  <c r="BN397" i="3"/>
  <c r="BO397" i="3"/>
  <c r="BP397" i="3"/>
  <c r="BQ397" i="3"/>
  <c r="BR397" i="3"/>
  <c r="BS397" i="3"/>
  <c r="BT397" i="3"/>
  <c r="BL397" i="3"/>
  <c r="AZ397" i="3"/>
  <c r="BA398" i="3"/>
  <c r="BM398" i="3"/>
  <c r="BN398" i="3"/>
  <c r="BO398" i="3"/>
  <c r="BP398" i="3"/>
  <c r="BQ398" i="3"/>
  <c r="BR398" i="3"/>
  <c r="BS398" i="3"/>
  <c r="BT398" i="3"/>
  <c r="BL398" i="3"/>
  <c r="AZ398" i="3"/>
  <c r="BA399" i="3"/>
  <c r="BM399" i="3"/>
  <c r="BN399" i="3"/>
  <c r="BO399" i="3"/>
  <c r="BP399" i="3"/>
  <c r="BQ399" i="3"/>
  <c r="BR399" i="3"/>
  <c r="BS399" i="3"/>
  <c r="BT399" i="3"/>
  <c r="BL399" i="3"/>
  <c r="AZ399" i="3"/>
  <c r="BA400" i="3"/>
  <c r="BM400" i="3"/>
  <c r="BN400" i="3"/>
  <c r="BO400" i="3"/>
  <c r="BP400" i="3"/>
  <c r="BQ400" i="3"/>
  <c r="BR400" i="3"/>
  <c r="BS400" i="3"/>
  <c r="BT400" i="3"/>
  <c r="BL400" i="3"/>
  <c r="AZ400" i="3"/>
  <c r="BA401" i="3"/>
  <c r="BM401" i="3"/>
  <c r="BN401" i="3"/>
  <c r="BO401" i="3"/>
  <c r="BP401" i="3"/>
  <c r="BQ401" i="3"/>
  <c r="BR401" i="3"/>
  <c r="BS401" i="3"/>
  <c r="BT401" i="3"/>
  <c r="BL401" i="3"/>
  <c r="AZ401" i="3"/>
  <c r="BA402" i="3"/>
  <c r="BM402" i="3"/>
  <c r="BN402" i="3"/>
  <c r="BO402" i="3"/>
  <c r="BP402" i="3"/>
  <c r="BQ402" i="3"/>
  <c r="BR402" i="3"/>
  <c r="BS402" i="3"/>
  <c r="BT402" i="3"/>
  <c r="BL402" i="3"/>
  <c r="AZ402" i="3"/>
  <c r="BA403" i="3"/>
  <c r="BM403" i="3"/>
  <c r="BN403" i="3"/>
  <c r="BO403" i="3"/>
  <c r="BP403" i="3"/>
  <c r="BQ403" i="3"/>
  <c r="BR403" i="3"/>
  <c r="BS403" i="3"/>
  <c r="BT403" i="3"/>
  <c r="BL403" i="3"/>
  <c r="AZ403" i="3"/>
  <c r="BA404" i="3"/>
  <c r="BM404" i="3"/>
  <c r="BN404" i="3"/>
  <c r="BO404" i="3"/>
  <c r="BP404" i="3"/>
  <c r="BQ404" i="3"/>
  <c r="BR404" i="3"/>
  <c r="BS404" i="3"/>
  <c r="BT404" i="3"/>
  <c r="BL404" i="3"/>
  <c r="AZ404" i="3"/>
  <c r="BA405" i="3"/>
  <c r="BM405" i="3"/>
  <c r="BN405" i="3"/>
  <c r="BO405" i="3"/>
  <c r="BP405" i="3"/>
  <c r="BQ405" i="3"/>
  <c r="BR405" i="3"/>
  <c r="BS405" i="3"/>
  <c r="BT405" i="3"/>
  <c r="BL405" i="3"/>
  <c r="AZ405" i="3"/>
  <c r="BA406" i="3"/>
  <c r="BM406" i="3"/>
  <c r="BN406" i="3"/>
  <c r="BO406" i="3"/>
  <c r="BP406" i="3"/>
  <c r="BQ406" i="3"/>
  <c r="BR406" i="3"/>
  <c r="BS406" i="3"/>
  <c r="BT406" i="3"/>
  <c r="BL406" i="3"/>
  <c r="AZ406" i="3"/>
  <c r="BA407" i="3"/>
  <c r="BM407" i="3"/>
  <c r="BN407" i="3"/>
  <c r="BO407" i="3"/>
  <c r="BP407" i="3"/>
  <c r="BQ407" i="3"/>
  <c r="BR407" i="3"/>
  <c r="BS407" i="3"/>
  <c r="BT407" i="3"/>
  <c r="BL407" i="3"/>
  <c r="AZ407" i="3"/>
  <c r="BA408" i="3"/>
  <c r="BM408" i="3"/>
  <c r="BN408" i="3"/>
  <c r="BO408" i="3"/>
  <c r="BP408" i="3"/>
  <c r="BQ408" i="3"/>
  <c r="BR408" i="3"/>
  <c r="BS408" i="3"/>
  <c r="BT408" i="3"/>
  <c r="BL408" i="3"/>
  <c r="AZ408" i="3"/>
  <c r="BA409" i="3"/>
  <c r="BM409" i="3"/>
  <c r="BN409" i="3"/>
  <c r="BO409" i="3"/>
  <c r="BP409" i="3"/>
  <c r="BQ409" i="3"/>
  <c r="BR409" i="3"/>
  <c r="BS409" i="3"/>
  <c r="BT409" i="3"/>
  <c r="BL409" i="3"/>
  <c r="AZ409" i="3"/>
  <c r="BA410" i="3"/>
  <c r="BM410" i="3"/>
  <c r="BN410" i="3"/>
  <c r="BO410" i="3"/>
  <c r="BP410" i="3"/>
  <c r="BQ410" i="3"/>
  <c r="BR410" i="3"/>
  <c r="BS410" i="3"/>
  <c r="BT410" i="3"/>
  <c r="BL410" i="3"/>
  <c r="AZ410" i="3"/>
  <c r="BA411" i="3"/>
  <c r="BM411" i="3"/>
  <c r="BN411" i="3"/>
  <c r="BO411" i="3"/>
  <c r="BP411" i="3"/>
  <c r="BQ411" i="3"/>
  <c r="BR411" i="3"/>
  <c r="BS411" i="3"/>
  <c r="BT411" i="3"/>
  <c r="BL411" i="3"/>
  <c r="AZ411" i="3"/>
  <c r="BA412" i="3"/>
  <c r="BM412" i="3"/>
  <c r="BN412" i="3"/>
  <c r="BO412" i="3"/>
  <c r="BP412" i="3"/>
  <c r="BQ412" i="3"/>
  <c r="BR412" i="3"/>
  <c r="BS412" i="3"/>
  <c r="BT412" i="3"/>
  <c r="BL412" i="3"/>
  <c r="AZ412" i="3"/>
  <c r="BA413" i="3"/>
  <c r="BM413" i="3"/>
  <c r="BN413" i="3"/>
  <c r="BO413" i="3"/>
  <c r="BP413" i="3"/>
  <c r="BQ413" i="3"/>
  <c r="BR413" i="3"/>
  <c r="BS413" i="3"/>
  <c r="BT413" i="3"/>
  <c r="BL413" i="3"/>
  <c r="AZ413" i="3"/>
  <c r="BA414" i="3"/>
  <c r="BM414" i="3"/>
  <c r="BN414" i="3"/>
  <c r="BO414" i="3"/>
  <c r="BP414" i="3"/>
  <c r="BQ414" i="3"/>
  <c r="BR414" i="3"/>
  <c r="BS414" i="3"/>
  <c r="BT414" i="3"/>
  <c r="BL414" i="3"/>
  <c r="AZ414" i="3"/>
  <c r="BA415" i="3"/>
  <c r="BM415" i="3"/>
  <c r="BN415" i="3"/>
  <c r="BO415" i="3"/>
  <c r="BP415" i="3"/>
  <c r="BQ415" i="3"/>
  <c r="BR415" i="3"/>
  <c r="BS415" i="3"/>
  <c r="BT415" i="3"/>
  <c r="BL415" i="3"/>
  <c r="AZ415" i="3"/>
  <c r="BA416" i="3"/>
  <c r="BM416" i="3"/>
  <c r="BN416" i="3"/>
  <c r="BO416" i="3"/>
  <c r="BP416" i="3"/>
  <c r="BQ416" i="3"/>
  <c r="BR416" i="3"/>
  <c r="BS416" i="3"/>
  <c r="BT416" i="3"/>
  <c r="BL416" i="3"/>
  <c r="AZ416" i="3"/>
  <c r="BA417" i="3"/>
  <c r="BM417" i="3"/>
  <c r="BN417" i="3"/>
  <c r="BO417" i="3"/>
  <c r="BP417" i="3"/>
  <c r="BQ417" i="3"/>
  <c r="BR417" i="3"/>
  <c r="BS417" i="3"/>
  <c r="BT417" i="3"/>
  <c r="BL417" i="3"/>
  <c r="AZ417" i="3"/>
  <c r="BA418" i="3"/>
  <c r="BM418" i="3"/>
  <c r="BN418" i="3"/>
  <c r="BO418" i="3"/>
  <c r="BP418" i="3"/>
  <c r="BQ418" i="3"/>
  <c r="BR418" i="3"/>
  <c r="BS418" i="3"/>
  <c r="BT418" i="3"/>
  <c r="BL418" i="3"/>
  <c r="AZ418" i="3"/>
  <c r="BA419" i="3"/>
  <c r="BM419" i="3"/>
  <c r="BN419" i="3"/>
  <c r="BO419" i="3"/>
  <c r="BP419" i="3"/>
  <c r="BQ419" i="3"/>
  <c r="BR419" i="3"/>
  <c r="BS419" i="3"/>
  <c r="BT419" i="3"/>
  <c r="BL419" i="3"/>
  <c r="AZ419" i="3"/>
  <c r="BA420" i="3"/>
  <c r="BM420" i="3"/>
  <c r="BN420" i="3"/>
  <c r="BO420" i="3"/>
  <c r="BP420" i="3"/>
  <c r="BQ420" i="3"/>
  <c r="BR420" i="3"/>
  <c r="BS420" i="3"/>
  <c r="BT420" i="3"/>
  <c r="BL420" i="3"/>
  <c r="AZ420" i="3"/>
  <c r="BA421" i="3"/>
  <c r="BM421" i="3"/>
  <c r="BN421" i="3"/>
  <c r="BO421" i="3"/>
  <c r="BP421" i="3"/>
  <c r="BQ421" i="3"/>
  <c r="BR421" i="3"/>
  <c r="BS421" i="3"/>
  <c r="BT421" i="3"/>
  <c r="BL421" i="3"/>
  <c r="AZ421" i="3"/>
  <c r="BA422" i="3"/>
  <c r="BM422" i="3"/>
  <c r="BN422" i="3"/>
  <c r="BO422" i="3"/>
  <c r="BP422" i="3"/>
  <c r="BQ422" i="3"/>
  <c r="BR422" i="3"/>
  <c r="BS422" i="3"/>
  <c r="BT422" i="3"/>
  <c r="BL422" i="3"/>
  <c r="AZ422" i="3"/>
  <c r="BA423" i="3"/>
  <c r="BM423" i="3"/>
  <c r="BN423" i="3"/>
  <c r="BO423" i="3"/>
  <c r="BP423" i="3"/>
  <c r="BQ423" i="3"/>
  <c r="BR423" i="3"/>
  <c r="BS423" i="3"/>
  <c r="BT423" i="3"/>
  <c r="BL423" i="3"/>
  <c r="AZ423" i="3"/>
  <c r="BA424" i="3"/>
  <c r="BM424" i="3"/>
  <c r="BN424" i="3"/>
  <c r="BO424" i="3"/>
  <c r="BP424" i="3"/>
  <c r="BQ424" i="3"/>
  <c r="BR424" i="3"/>
  <c r="BS424" i="3"/>
  <c r="BT424" i="3"/>
  <c r="BL424" i="3"/>
  <c r="AZ424" i="3"/>
  <c r="BA425" i="3"/>
  <c r="BM425" i="3"/>
  <c r="BN425" i="3"/>
  <c r="BO425" i="3"/>
  <c r="BP425" i="3"/>
  <c r="BQ425" i="3"/>
  <c r="BR425" i="3"/>
  <c r="BS425" i="3"/>
  <c r="BT425" i="3"/>
  <c r="BL425" i="3"/>
  <c r="AZ425" i="3"/>
  <c r="BA426" i="3"/>
  <c r="BM426" i="3"/>
  <c r="BN426" i="3"/>
  <c r="BO426" i="3"/>
  <c r="BP426" i="3"/>
  <c r="BQ426" i="3"/>
  <c r="BR426" i="3"/>
  <c r="BS426" i="3"/>
  <c r="BT426" i="3"/>
  <c r="BL426" i="3"/>
  <c r="AZ426" i="3"/>
  <c r="BA427" i="3"/>
  <c r="BM427" i="3"/>
  <c r="BN427" i="3"/>
  <c r="BO427" i="3"/>
  <c r="BP427" i="3"/>
  <c r="BQ427" i="3"/>
  <c r="BR427" i="3"/>
  <c r="BS427" i="3"/>
  <c r="BT427" i="3"/>
  <c r="BL427" i="3"/>
  <c r="AZ427" i="3"/>
  <c r="BA428" i="3"/>
  <c r="BM428" i="3"/>
  <c r="BN428" i="3"/>
  <c r="BO428" i="3"/>
  <c r="BP428" i="3"/>
  <c r="BQ428" i="3"/>
  <c r="BR428" i="3"/>
  <c r="BS428" i="3"/>
  <c r="BT428" i="3"/>
  <c r="BL428" i="3"/>
  <c r="AZ428" i="3"/>
  <c r="BA429" i="3"/>
  <c r="BM429" i="3"/>
  <c r="BN429" i="3"/>
  <c r="BO429" i="3"/>
  <c r="BP429" i="3"/>
  <c r="BQ429" i="3"/>
  <c r="BR429" i="3"/>
  <c r="BS429" i="3"/>
  <c r="BT429" i="3"/>
  <c r="BL429" i="3"/>
  <c r="AZ429" i="3"/>
  <c r="BA430" i="3"/>
  <c r="BM430" i="3"/>
  <c r="BN430" i="3"/>
  <c r="BO430" i="3"/>
  <c r="BP430" i="3"/>
  <c r="BQ430" i="3"/>
  <c r="BR430" i="3"/>
  <c r="BS430" i="3"/>
  <c r="BT430" i="3"/>
  <c r="BL430" i="3"/>
  <c r="AZ430" i="3"/>
  <c r="BA431" i="3"/>
  <c r="BM431" i="3"/>
  <c r="BN431" i="3"/>
  <c r="BO431" i="3"/>
  <c r="BP431" i="3"/>
  <c r="BQ431" i="3"/>
  <c r="BR431" i="3"/>
  <c r="BS431" i="3"/>
  <c r="BT431" i="3"/>
  <c r="BL431" i="3"/>
  <c r="AZ431" i="3"/>
  <c r="BA432" i="3"/>
  <c r="BM432" i="3"/>
  <c r="BN432" i="3"/>
  <c r="BO432" i="3"/>
  <c r="BP432" i="3"/>
  <c r="BQ432" i="3"/>
  <c r="BR432" i="3"/>
  <c r="BS432" i="3"/>
  <c r="BT432" i="3"/>
  <c r="BL432" i="3"/>
  <c r="AZ432" i="3"/>
  <c r="BA433" i="3"/>
  <c r="BM433" i="3"/>
  <c r="BN433" i="3"/>
  <c r="BO433" i="3"/>
  <c r="BP433" i="3"/>
  <c r="BQ433" i="3"/>
  <c r="BR433" i="3"/>
  <c r="BS433" i="3"/>
  <c r="BT433" i="3"/>
  <c r="BL433" i="3"/>
  <c r="AZ433" i="3"/>
  <c r="BA434" i="3"/>
  <c r="BM434" i="3"/>
  <c r="BN434" i="3"/>
  <c r="BO434" i="3"/>
  <c r="BP434" i="3"/>
  <c r="BQ434" i="3"/>
  <c r="BR434" i="3"/>
  <c r="BS434" i="3"/>
  <c r="BT434" i="3"/>
  <c r="BL434" i="3"/>
  <c r="AZ434" i="3"/>
  <c r="BA435" i="3"/>
  <c r="BM435" i="3"/>
  <c r="BN435" i="3"/>
  <c r="BO435" i="3"/>
  <c r="BP435" i="3"/>
  <c r="BQ435" i="3"/>
  <c r="BR435" i="3"/>
  <c r="BS435" i="3"/>
  <c r="BT435" i="3"/>
  <c r="BL435" i="3"/>
  <c r="AZ435" i="3"/>
  <c r="BA436" i="3"/>
  <c r="BM436" i="3"/>
  <c r="BN436" i="3"/>
  <c r="BO436" i="3"/>
  <c r="BP436" i="3"/>
  <c r="BQ436" i="3"/>
  <c r="BR436" i="3"/>
  <c r="BS436" i="3"/>
  <c r="BT436" i="3"/>
  <c r="BL436" i="3"/>
  <c r="AZ436" i="3"/>
  <c r="BA437" i="3"/>
  <c r="BM437" i="3"/>
  <c r="BN437" i="3"/>
  <c r="BO437" i="3"/>
  <c r="BP437" i="3"/>
  <c r="BQ437" i="3"/>
  <c r="BR437" i="3"/>
  <c r="BS437" i="3"/>
  <c r="BT437" i="3"/>
  <c r="BL437" i="3"/>
  <c r="AZ437" i="3"/>
  <c r="BA438" i="3"/>
  <c r="BM438" i="3"/>
  <c r="BN438" i="3"/>
  <c r="BO438" i="3"/>
  <c r="BP438" i="3"/>
  <c r="BQ438" i="3"/>
  <c r="BR438" i="3"/>
  <c r="BS438" i="3"/>
  <c r="BT438" i="3"/>
  <c r="BL438" i="3"/>
  <c r="AZ438" i="3"/>
  <c r="BA439" i="3"/>
  <c r="BM439" i="3"/>
  <c r="BN439" i="3"/>
  <c r="BO439" i="3"/>
  <c r="BP439" i="3"/>
  <c r="BQ439" i="3"/>
  <c r="BR439" i="3"/>
  <c r="BS439" i="3"/>
  <c r="BT439" i="3"/>
  <c r="BL439" i="3"/>
  <c r="AZ439" i="3"/>
  <c r="BA440" i="3"/>
  <c r="BM440" i="3"/>
  <c r="BN440" i="3"/>
  <c r="BO440" i="3"/>
  <c r="BP440" i="3"/>
  <c r="BQ440" i="3"/>
  <c r="BR440" i="3"/>
  <c r="BS440" i="3"/>
  <c r="BT440" i="3"/>
  <c r="BL440" i="3"/>
  <c r="AZ440" i="3"/>
  <c r="BA441" i="3"/>
  <c r="BM441" i="3"/>
  <c r="BN441" i="3"/>
  <c r="BO441" i="3"/>
  <c r="BP441" i="3"/>
  <c r="BQ441" i="3"/>
  <c r="BR441" i="3"/>
  <c r="BS441" i="3"/>
  <c r="BT441" i="3"/>
  <c r="BL441" i="3"/>
  <c r="AZ441" i="3"/>
  <c r="BA442" i="3"/>
  <c r="BM442" i="3"/>
  <c r="BN442" i="3"/>
  <c r="BO442" i="3"/>
  <c r="BP442" i="3"/>
  <c r="BQ442" i="3"/>
  <c r="BR442" i="3"/>
  <c r="BS442" i="3"/>
  <c r="BT442" i="3"/>
  <c r="BL442" i="3"/>
  <c r="AZ442" i="3"/>
  <c r="BA443" i="3"/>
  <c r="BM443" i="3"/>
  <c r="BN443" i="3"/>
  <c r="BO443" i="3"/>
  <c r="BP443" i="3"/>
  <c r="BQ443" i="3"/>
  <c r="BR443" i="3"/>
  <c r="BS443" i="3"/>
  <c r="BT443" i="3"/>
  <c r="BL443" i="3"/>
  <c r="AZ443" i="3"/>
  <c r="BA444" i="3"/>
  <c r="BM444" i="3"/>
  <c r="BN444" i="3"/>
  <c r="BO444" i="3"/>
  <c r="BP444" i="3"/>
  <c r="BQ444" i="3"/>
  <c r="BR444" i="3"/>
  <c r="BS444" i="3"/>
  <c r="BT444" i="3"/>
  <c r="BL444" i="3"/>
  <c r="AZ444" i="3"/>
  <c r="BA445" i="3"/>
  <c r="BM445" i="3"/>
  <c r="BN445" i="3"/>
  <c r="BO445" i="3"/>
  <c r="BP445" i="3"/>
  <c r="BQ445" i="3"/>
  <c r="BR445" i="3"/>
  <c r="BS445" i="3"/>
  <c r="BT445" i="3"/>
  <c r="BL445" i="3"/>
  <c r="AZ445" i="3"/>
  <c r="BA446" i="3"/>
  <c r="BM446" i="3"/>
  <c r="BN446" i="3"/>
  <c r="BO446" i="3"/>
  <c r="BP446" i="3"/>
  <c r="BQ446" i="3"/>
  <c r="BR446" i="3"/>
  <c r="BS446" i="3"/>
  <c r="BT446" i="3"/>
  <c r="BL446" i="3"/>
  <c r="AZ446" i="3"/>
  <c r="BA447" i="3"/>
  <c r="BM447" i="3"/>
  <c r="BN447" i="3"/>
  <c r="BO447" i="3"/>
  <c r="BP447" i="3"/>
  <c r="BQ447" i="3"/>
  <c r="BR447" i="3"/>
  <c r="BS447" i="3"/>
  <c r="BT447" i="3"/>
  <c r="BL447" i="3"/>
  <c r="AZ447" i="3"/>
  <c r="BA448" i="3"/>
  <c r="BM448" i="3"/>
  <c r="BN448" i="3"/>
  <c r="BO448" i="3"/>
  <c r="BP448" i="3"/>
  <c r="BQ448" i="3"/>
  <c r="BR448" i="3"/>
  <c r="BS448" i="3"/>
  <c r="BT448" i="3"/>
  <c r="BL448" i="3"/>
  <c r="AZ448" i="3"/>
  <c r="BA449" i="3"/>
  <c r="BM449" i="3"/>
  <c r="BN449" i="3"/>
  <c r="BO449" i="3"/>
  <c r="BP449" i="3"/>
  <c r="BQ449" i="3"/>
  <c r="BR449" i="3"/>
  <c r="BS449" i="3"/>
  <c r="BT449" i="3"/>
  <c r="BL449" i="3"/>
  <c r="AZ449" i="3"/>
  <c r="BA450" i="3"/>
  <c r="BM450" i="3"/>
  <c r="BN450" i="3"/>
  <c r="BO450" i="3"/>
  <c r="BP450" i="3"/>
  <c r="BQ450" i="3"/>
  <c r="BR450" i="3"/>
  <c r="BS450" i="3"/>
  <c r="BT450" i="3"/>
  <c r="BL450" i="3"/>
  <c r="AZ450" i="3"/>
  <c r="BA451" i="3"/>
  <c r="BM451" i="3"/>
  <c r="BN451" i="3"/>
  <c r="BO451" i="3"/>
  <c r="BP451" i="3"/>
  <c r="BQ451" i="3"/>
  <c r="BR451" i="3"/>
  <c r="BS451" i="3"/>
  <c r="BT451" i="3"/>
  <c r="BL451" i="3"/>
  <c r="AZ451" i="3"/>
  <c r="BA452" i="3"/>
  <c r="BM452" i="3"/>
  <c r="BN452" i="3"/>
  <c r="BO452" i="3"/>
  <c r="BP452" i="3"/>
  <c r="BQ452" i="3"/>
  <c r="BR452" i="3"/>
  <c r="BS452" i="3"/>
  <c r="BT452" i="3"/>
  <c r="BL452" i="3"/>
  <c r="AZ452" i="3"/>
  <c r="BA453" i="3"/>
  <c r="BM453" i="3"/>
  <c r="BN453" i="3"/>
  <c r="BO453" i="3"/>
  <c r="BP453" i="3"/>
  <c r="BQ453" i="3"/>
  <c r="BR453" i="3"/>
  <c r="BS453" i="3"/>
  <c r="BT453" i="3"/>
  <c r="BL453" i="3"/>
  <c r="AZ453" i="3"/>
  <c r="BA454" i="3"/>
  <c r="BM454" i="3"/>
  <c r="BN454" i="3"/>
  <c r="BO454" i="3"/>
  <c r="BP454" i="3"/>
  <c r="BQ454" i="3"/>
  <c r="BR454" i="3"/>
  <c r="BS454" i="3"/>
  <c r="BT454" i="3"/>
  <c r="BL454" i="3"/>
  <c r="AZ454" i="3"/>
  <c r="BA455" i="3"/>
  <c r="BM455" i="3"/>
  <c r="BN455" i="3"/>
  <c r="BO455" i="3"/>
  <c r="BP455" i="3"/>
  <c r="BQ455" i="3"/>
  <c r="BR455" i="3"/>
  <c r="BS455" i="3"/>
  <c r="BT455" i="3"/>
  <c r="BL455" i="3"/>
  <c r="AZ455" i="3"/>
  <c r="BA456" i="3"/>
  <c r="BM456" i="3"/>
  <c r="BN456" i="3"/>
  <c r="BO456" i="3"/>
  <c r="BP456" i="3"/>
  <c r="BQ456" i="3"/>
  <c r="BR456" i="3"/>
  <c r="BS456" i="3"/>
  <c r="BT456" i="3"/>
  <c r="BL456" i="3"/>
  <c r="AZ456" i="3"/>
  <c r="BA457" i="3"/>
  <c r="BM457" i="3"/>
  <c r="BN457" i="3"/>
  <c r="BO457" i="3"/>
  <c r="BP457" i="3"/>
  <c r="BQ457" i="3"/>
  <c r="BR457" i="3"/>
  <c r="BS457" i="3"/>
  <c r="BT457" i="3"/>
  <c r="BL457" i="3"/>
  <c r="AZ457" i="3"/>
  <c r="BA458" i="3"/>
  <c r="BM458" i="3"/>
  <c r="BN458" i="3"/>
  <c r="BO458" i="3"/>
  <c r="BP458" i="3"/>
  <c r="BQ458" i="3"/>
  <c r="BR458" i="3"/>
  <c r="BS458" i="3"/>
  <c r="BT458" i="3"/>
  <c r="BL458" i="3"/>
  <c r="AZ458" i="3"/>
  <c r="BA459" i="3"/>
  <c r="BM459" i="3"/>
  <c r="BN459" i="3"/>
  <c r="BO459" i="3"/>
  <c r="BP459" i="3"/>
  <c r="BQ459" i="3"/>
  <c r="BR459" i="3"/>
  <c r="BS459" i="3"/>
  <c r="BT459" i="3"/>
  <c r="BL459" i="3"/>
  <c r="AZ459" i="3"/>
  <c r="BA460" i="3"/>
  <c r="BM460" i="3"/>
  <c r="BN460" i="3"/>
  <c r="BO460" i="3"/>
  <c r="BP460" i="3"/>
  <c r="BQ460" i="3"/>
  <c r="BR460" i="3"/>
  <c r="BS460" i="3"/>
  <c r="BT460" i="3"/>
  <c r="BL460" i="3"/>
  <c r="AZ460" i="3"/>
  <c r="BA461" i="3"/>
  <c r="BM461" i="3"/>
  <c r="BN461" i="3"/>
  <c r="BO461" i="3"/>
  <c r="BP461" i="3"/>
  <c r="BQ461" i="3"/>
  <c r="BR461" i="3"/>
  <c r="BS461" i="3"/>
  <c r="BT461" i="3"/>
  <c r="BL461" i="3"/>
  <c r="AZ461" i="3"/>
  <c r="BA462" i="3"/>
  <c r="BM462" i="3"/>
  <c r="BN462" i="3"/>
  <c r="BO462" i="3"/>
  <c r="BP462" i="3"/>
  <c r="BQ462" i="3"/>
  <c r="BR462" i="3"/>
  <c r="BS462" i="3"/>
  <c r="BT462" i="3"/>
  <c r="BL462" i="3"/>
  <c r="AZ462" i="3"/>
  <c r="BA463" i="3"/>
  <c r="BM463" i="3"/>
  <c r="BN463" i="3"/>
  <c r="BO463" i="3"/>
  <c r="BP463" i="3"/>
  <c r="BQ463" i="3"/>
  <c r="BR463" i="3"/>
  <c r="BS463" i="3"/>
  <c r="BT463" i="3"/>
  <c r="BL463" i="3"/>
  <c r="AZ463" i="3"/>
  <c r="BA464" i="3"/>
  <c r="BM464" i="3"/>
  <c r="BN464" i="3"/>
  <c r="BO464" i="3"/>
  <c r="BP464" i="3"/>
  <c r="BQ464" i="3"/>
  <c r="BR464" i="3"/>
  <c r="BS464" i="3"/>
  <c r="BT464" i="3"/>
  <c r="BL464" i="3"/>
  <c r="AZ464" i="3"/>
  <c r="BA465" i="3"/>
  <c r="BM465" i="3"/>
  <c r="BN465" i="3"/>
  <c r="BO465" i="3"/>
  <c r="BP465" i="3"/>
  <c r="BQ465" i="3"/>
  <c r="BR465" i="3"/>
  <c r="BS465" i="3"/>
  <c r="BT465" i="3"/>
  <c r="BL465" i="3"/>
  <c r="AZ465" i="3"/>
  <c r="BA466" i="3"/>
  <c r="BM466" i="3"/>
  <c r="BN466" i="3"/>
  <c r="BO466" i="3"/>
  <c r="BP466" i="3"/>
  <c r="BQ466" i="3"/>
  <c r="BR466" i="3"/>
  <c r="BS466" i="3"/>
  <c r="BT466" i="3"/>
  <c r="BL466" i="3"/>
  <c r="AZ466" i="3"/>
  <c r="BA467" i="3"/>
  <c r="BM467" i="3"/>
  <c r="BN467" i="3"/>
  <c r="BO467" i="3"/>
  <c r="BP467" i="3"/>
  <c r="BQ467" i="3"/>
  <c r="BR467" i="3"/>
  <c r="BS467" i="3"/>
  <c r="BT467" i="3"/>
  <c r="BL467" i="3"/>
  <c r="AZ467" i="3"/>
  <c r="BA468" i="3"/>
  <c r="BM468" i="3"/>
  <c r="BN468" i="3"/>
  <c r="BO468" i="3"/>
  <c r="BP468" i="3"/>
  <c r="BQ468" i="3"/>
  <c r="BR468" i="3"/>
  <c r="BS468" i="3"/>
  <c r="BT468" i="3"/>
  <c r="BL468" i="3"/>
  <c r="AZ468" i="3"/>
  <c r="BA469" i="3"/>
  <c r="BM469" i="3"/>
  <c r="BN469" i="3"/>
  <c r="BO469" i="3"/>
  <c r="BP469" i="3"/>
  <c r="BQ469" i="3"/>
  <c r="BR469" i="3"/>
  <c r="BS469" i="3"/>
  <c r="BT469" i="3"/>
  <c r="BL469" i="3"/>
  <c r="AZ469" i="3"/>
  <c r="BA470" i="3"/>
  <c r="BM470" i="3"/>
  <c r="BN470" i="3"/>
  <c r="BO470" i="3"/>
  <c r="BP470" i="3"/>
  <c r="BQ470" i="3"/>
  <c r="BR470" i="3"/>
  <c r="BS470" i="3"/>
  <c r="BT470" i="3"/>
  <c r="BL470" i="3"/>
  <c r="AZ470" i="3"/>
  <c r="BA471" i="3"/>
  <c r="BM471" i="3"/>
  <c r="BN471" i="3"/>
  <c r="BO471" i="3"/>
  <c r="BP471" i="3"/>
  <c r="BQ471" i="3"/>
  <c r="BR471" i="3"/>
  <c r="BS471" i="3"/>
  <c r="BT471" i="3"/>
  <c r="BL471" i="3"/>
  <c r="AZ471" i="3"/>
  <c r="BA472" i="3"/>
  <c r="BM472" i="3"/>
  <c r="BN472" i="3"/>
  <c r="BO472" i="3"/>
  <c r="BP472" i="3"/>
  <c r="BQ472" i="3"/>
  <c r="BR472" i="3"/>
  <c r="BS472" i="3"/>
  <c r="BT472" i="3"/>
  <c r="BL472" i="3"/>
  <c r="AZ472" i="3"/>
  <c r="BA473" i="3"/>
  <c r="BM473" i="3"/>
  <c r="BN473" i="3"/>
  <c r="BO473" i="3"/>
  <c r="BP473" i="3"/>
  <c r="BQ473" i="3"/>
  <c r="BR473" i="3"/>
  <c r="BS473" i="3"/>
  <c r="BT473" i="3"/>
  <c r="BL473" i="3"/>
  <c r="AZ473" i="3"/>
  <c r="BA474" i="3"/>
  <c r="BM474" i="3"/>
  <c r="BN474" i="3"/>
  <c r="BO474" i="3"/>
  <c r="BP474" i="3"/>
  <c r="BQ474" i="3"/>
  <c r="BR474" i="3"/>
  <c r="BS474" i="3"/>
  <c r="BT474" i="3"/>
  <c r="BL474" i="3"/>
  <c r="AZ474" i="3"/>
  <c r="BA475" i="3"/>
  <c r="BM475" i="3"/>
  <c r="BN475" i="3"/>
  <c r="BO475" i="3"/>
  <c r="BP475" i="3"/>
  <c r="BQ475" i="3"/>
  <c r="BR475" i="3"/>
  <c r="BS475" i="3"/>
  <c r="BT475" i="3"/>
  <c r="BL475" i="3"/>
  <c r="AZ475" i="3"/>
  <c r="BA476" i="3"/>
  <c r="BM476" i="3"/>
  <c r="BN476" i="3"/>
  <c r="BO476" i="3"/>
  <c r="BP476" i="3"/>
  <c r="BQ476" i="3"/>
  <c r="BR476" i="3"/>
  <c r="BS476" i="3"/>
  <c r="BT476" i="3"/>
  <c r="BL476" i="3"/>
  <c r="AZ476" i="3"/>
  <c r="BA477" i="3"/>
  <c r="BM477" i="3"/>
  <c r="BN477" i="3"/>
  <c r="BO477" i="3"/>
  <c r="BP477" i="3"/>
  <c r="BQ477" i="3"/>
  <c r="BR477" i="3"/>
  <c r="BS477" i="3"/>
  <c r="BT477" i="3"/>
  <c r="BL477" i="3"/>
  <c r="AZ477" i="3"/>
  <c r="BA478" i="3"/>
  <c r="BM478" i="3"/>
  <c r="BN478" i="3"/>
  <c r="BO478" i="3"/>
  <c r="BP478" i="3"/>
  <c r="BQ478" i="3"/>
  <c r="BR478" i="3"/>
  <c r="BS478" i="3"/>
  <c r="BT478" i="3"/>
  <c r="BL478" i="3"/>
  <c r="AZ478" i="3"/>
  <c r="BA479" i="3"/>
  <c r="BM479" i="3"/>
  <c r="BN479" i="3"/>
  <c r="BO479" i="3"/>
  <c r="BP479" i="3"/>
  <c r="BQ479" i="3"/>
  <c r="BR479" i="3"/>
  <c r="BS479" i="3"/>
  <c r="BT479" i="3"/>
  <c r="BL479" i="3"/>
  <c r="AZ479" i="3"/>
  <c r="BA480" i="3"/>
  <c r="BM480" i="3"/>
  <c r="BN480" i="3"/>
  <c r="BO480" i="3"/>
  <c r="BP480" i="3"/>
  <c r="BQ480" i="3"/>
  <c r="BR480" i="3"/>
  <c r="BS480" i="3"/>
  <c r="BT480" i="3"/>
  <c r="BL480" i="3"/>
  <c r="AZ480" i="3"/>
  <c r="BA481" i="3"/>
  <c r="BM481" i="3"/>
  <c r="BN481" i="3"/>
  <c r="BO481" i="3"/>
  <c r="BP481" i="3"/>
  <c r="BQ481" i="3"/>
  <c r="BR481" i="3"/>
  <c r="BS481" i="3"/>
  <c r="BT481" i="3"/>
  <c r="BL481" i="3"/>
  <c r="AZ481" i="3"/>
  <c r="BA482" i="3"/>
  <c r="BM482" i="3"/>
  <c r="BN482" i="3"/>
  <c r="BO482" i="3"/>
  <c r="BP482" i="3"/>
  <c r="BQ482" i="3"/>
  <c r="BR482" i="3"/>
  <c r="BS482" i="3"/>
  <c r="BT482" i="3"/>
  <c r="BL482" i="3"/>
  <c r="AZ482" i="3"/>
  <c r="BA483" i="3"/>
  <c r="BM483" i="3"/>
  <c r="BN483" i="3"/>
  <c r="BO483" i="3"/>
  <c r="BP483" i="3"/>
  <c r="BQ483" i="3"/>
  <c r="BR483" i="3"/>
  <c r="BS483" i="3"/>
  <c r="BT483" i="3"/>
  <c r="BL483" i="3"/>
  <c r="AZ483" i="3"/>
  <c r="BA484" i="3"/>
  <c r="BM484" i="3"/>
  <c r="BN484" i="3"/>
  <c r="BO484" i="3"/>
  <c r="BP484" i="3"/>
  <c r="BQ484" i="3"/>
  <c r="BR484" i="3"/>
  <c r="BS484" i="3"/>
  <c r="BT484" i="3"/>
  <c r="BL484" i="3"/>
  <c r="AZ484" i="3"/>
  <c r="BA485" i="3"/>
  <c r="BM485" i="3"/>
  <c r="BN485" i="3"/>
  <c r="BO485" i="3"/>
  <c r="BP485" i="3"/>
  <c r="BQ485" i="3"/>
  <c r="BR485" i="3"/>
  <c r="BS485" i="3"/>
  <c r="BT485" i="3"/>
  <c r="BL485" i="3"/>
  <c r="AZ485" i="3"/>
  <c r="BA486" i="3"/>
  <c r="BM486" i="3"/>
  <c r="BN486" i="3"/>
  <c r="BO486" i="3"/>
  <c r="BP486" i="3"/>
  <c r="BQ486" i="3"/>
  <c r="BR486" i="3"/>
  <c r="BS486" i="3"/>
  <c r="BT486" i="3"/>
  <c r="BL486" i="3"/>
  <c r="AZ486" i="3"/>
  <c r="BA487" i="3"/>
  <c r="BM487" i="3"/>
  <c r="BN487" i="3"/>
  <c r="BO487" i="3"/>
  <c r="BP487" i="3"/>
  <c r="BQ487" i="3"/>
  <c r="BR487" i="3"/>
  <c r="BS487" i="3"/>
  <c r="BT487" i="3"/>
  <c r="BL487" i="3"/>
  <c r="AZ487" i="3"/>
  <c r="BA488" i="3"/>
  <c r="BM488" i="3"/>
  <c r="BN488" i="3"/>
  <c r="BO488" i="3"/>
  <c r="BP488" i="3"/>
  <c r="BQ488" i="3"/>
  <c r="BR488" i="3"/>
  <c r="BS488" i="3"/>
  <c r="BT488" i="3"/>
  <c r="BL488" i="3"/>
  <c r="AZ488" i="3"/>
  <c r="BA489" i="3"/>
  <c r="BM489" i="3"/>
  <c r="BN489" i="3"/>
  <c r="BO489" i="3"/>
  <c r="BP489" i="3"/>
  <c r="BQ489" i="3"/>
  <c r="BR489" i="3"/>
  <c r="BS489" i="3"/>
  <c r="BT489" i="3"/>
  <c r="BL489" i="3"/>
  <c r="AZ489" i="3"/>
  <c r="BA490" i="3"/>
  <c r="BM490" i="3"/>
  <c r="BN490" i="3"/>
  <c r="BO490" i="3"/>
  <c r="BP490" i="3"/>
  <c r="BQ490" i="3"/>
  <c r="BR490" i="3"/>
  <c r="BS490" i="3"/>
  <c r="BT490" i="3"/>
  <c r="BL490" i="3"/>
  <c r="AZ490" i="3"/>
  <c r="BA491" i="3"/>
  <c r="BM491" i="3"/>
  <c r="BN491" i="3"/>
  <c r="BO491" i="3"/>
  <c r="BP491" i="3"/>
  <c r="BQ491" i="3"/>
  <c r="BR491" i="3"/>
  <c r="BS491" i="3"/>
  <c r="BT491" i="3"/>
  <c r="BL491" i="3"/>
  <c r="AZ491" i="3"/>
  <c r="BA492" i="3"/>
  <c r="BM492" i="3"/>
  <c r="BN492" i="3"/>
  <c r="BO492" i="3"/>
  <c r="BP492" i="3"/>
  <c r="BQ492" i="3"/>
  <c r="BR492" i="3"/>
  <c r="BS492" i="3"/>
  <c r="BT492" i="3"/>
  <c r="BL492" i="3"/>
  <c r="AZ492" i="3"/>
  <c r="BA493" i="3"/>
  <c r="BM493" i="3"/>
  <c r="BN493" i="3"/>
  <c r="BO493" i="3"/>
  <c r="BP493" i="3"/>
  <c r="BQ493" i="3"/>
  <c r="BR493" i="3"/>
  <c r="BS493" i="3"/>
  <c r="BT493" i="3"/>
  <c r="BL493" i="3"/>
  <c r="AZ493" i="3"/>
  <c r="BA494" i="3"/>
  <c r="BM494" i="3"/>
  <c r="BN494" i="3"/>
  <c r="BO494" i="3"/>
  <c r="BP494" i="3"/>
  <c r="BQ494" i="3"/>
  <c r="BR494" i="3"/>
  <c r="BS494" i="3"/>
  <c r="BT494" i="3"/>
  <c r="BL494" i="3"/>
  <c r="AZ494" i="3"/>
  <c r="BA495" i="3"/>
  <c r="BM495" i="3"/>
  <c r="BN495" i="3"/>
  <c r="BO495" i="3"/>
  <c r="BP495" i="3"/>
  <c r="BQ495" i="3"/>
  <c r="BR495" i="3"/>
  <c r="BS495" i="3"/>
  <c r="BT495" i="3"/>
  <c r="BL495" i="3"/>
  <c r="AZ495" i="3"/>
  <c r="BA496" i="3"/>
  <c r="BM496" i="3"/>
  <c r="BN496" i="3"/>
  <c r="BO496" i="3"/>
  <c r="BP496" i="3"/>
  <c r="BQ496" i="3"/>
  <c r="BR496" i="3"/>
  <c r="BS496" i="3"/>
  <c r="BT496" i="3"/>
  <c r="BL496" i="3"/>
  <c r="AZ496" i="3"/>
  <c r="BA497" i="3"/>
  <c r="BM497" i="3"/>
  <c r="BN497" i="3"/>
  <c r="BO497" i="3"/>
  <c r="BP497" i="3"/>
  <c r="BQ497" i="3"/>
  <c r="BR497" i="3"/>
  <c r="BS497" i="3"/>
  <c r="BT497" i="3"/>
  <c r="BL497" i="3"/>
  <c r="AZ497" i="3"/>
  <c r="BA498" i="3"/>
  <c r="BM498" i="3"/>
  <c r="BN498" i="3"/>
  <c r="BO498" i="3"/>
  <c r="BP498" i="3"/>
  <c r="BQ498" i="3"/>
  <c r="BR498" i="3"/>
  <c r="BS498" i="3"/>
  <c r="BT498" i="3"/>
  <c r="BL498" i="3"/>
  <c r="AZ498" i="3"/>
  <c r="BA499" i="3"/>
  <c r="BM499" i="3"/>
  <c r="BN499" i="3"/>
  <c r="BO499" i="3"/>
  <c r="BP499" i="3"/>
  <c r="BQ499" i="3"/>
  <c r="BR499" i="3"/>
  <c r="BS499" i="3"/>
  <c r="BT499" i="3"/>
  <c r="BL499" i="3"/>
  <c r="AZ499" i="3"/>
  <c r="BA500" i="3"/>
  <c r="BM500" i="3"/>
  <c r="BN500" i="3"/>
  <c r="BO500" i="3"/>
  <c r="BP500" i="3"/>
  <c r="BQ500" i="3"/>
  <c r="BR500" i="3"/>
  <c r="BS500" i="3"/>
  <c r="BT500" i="3"/>
  <c r="BL500" i="3"/>
  <c r="AZ500" i="3"/>
  <c r="BA501" i="3"/>
  <c r="BM501" i="3"/>
  <c r="BN501" i="3"/>
  <c r="BO501" i="3"/>
  <c r="BP501" i="3"/>
  <c r="BQ501" i="3"/>
  <c r="BR501" i="3"/>
  <c r="BS501" i="3"/>
  <c r="BT501" i="3"/>
  <c r="BL501" i="3"/>
  <c r="AZ501" i="3"/>
  <c r="BA502" i="3"/>
  <c r="BM502" i="3"/>
  <c r="BN502" i="3"/>
  <c r="BO502" i="3"/>
  <c r="BP502" i="3"/>
  <c r="BQ502" i="3"/>
  <c r="BR502" i="3"/>
  <c r="BS502" i="3"/>
  <c r="BT502" i="3"/>
  <c r="BL502" i="3"/>
  <c r="AZ502" i="3"/>
  <c r="BA503" i="3"/>
  <c r="BM503" i="3"/>
  <c r="BN503" i="3"/>
  <c r="BO503" i="3"/>
  <c r="BP503" i="3"/>
  <c r="BQ503" i="3"/>
  <c r="BR503" i="3"/>
  <c r="BS503" i="3"/>
  <c r="BT503" i="3"/>
  <c r="BL503" i="3"/>
  <c r="AZ503" i="3"/>
  <c r="BA504" i="3"/>
  <c r="BM504" i="3"/>
  <c r="BN504" i="3"/>
  <c r="BO504" i="3"/>
  <c r="BP504" i="3"/>
  <c r="BQ504" i="3"/>
  <c r="BR504" i="3"/>
  <c r="BS504" i="3"/>
  <c r="BT504" i="3"/>
  <c r="BL504" i="3"/>
  <c r="AZ504" i="3"/>
  <c r="BA505" i="3"/>
  <c r="BM505" i="3"/>
  <c r="BN505" i="3"/>
  <c r="BO505" i="3"/>
  <c r="BP505" i="3"/>
  <c r="BQ505" i="3"/>
  <c r="BR505" i="3"/>
  <c r="BS505" i="3"/>
  <c r="BT505" i="3"/>
  <c r="BL505" i="3"/>
  <c r="AZ505" i="3"/>
  <c r="BA506" i="3"/>
  <c r="BM506" i="3"/>
  <c r="BN506" i="3"/>
  <c r="BO506" i="3"/>
  <c r="BP506" i="3"/>
  <c r="BQ506" i="3"/>
  <c r="BR506" i="3"/>
  <c r="BS506" i="3"/>
  <c r="BT506" i="3"/>
  <c r="BL506" i="3"/>
  <c r="AZ506" i="3"/>
  <c r="BA507" i="3"/>
  <c r="BM507" i="3"/>
  <c r="BN507" i="3"/>
  <c r="BO507" i="3"/>
  <c r="BP507" i="3"/>
  <c r="BQ507" i="3"/>
  <c r="BR507" i="3"/>
  <c r="BS507" i="3"/>
  <c r="BT507" i="3"/>
  <c r="BL507" i="3"/>
  <c r="AZ507" i="3"/>
  <c r="BA508" i="3"/>
  <c r="BM508" i="3"/>
  <c r="BN508" i="3"/>
  <c r="BO508" i="3"/>
  <c r="BP508" i="3"/>
  <c r="BQ508" i="3"/>
  <c r="BR508" i="3"/>
  <c r="BS508" i="3"/>
  <c r="BT508" i="3"/>
  <c r="BL508" i="3"/>
  <c r="AZ508" i="3"/>
  <c r="BA509" i="3"/>
  <c r="BM509" i="3"/>
  <c r="BN509" i="3"/>
  <c r="BO509" i="3"/>
  <c r="BP509" i="3"/>
  <c r="BQ509" i="3"/>
  <c r="BR509" i="3"/>
  <c r="BS509" i="3"/>
  <c r="BT509" i="3"/>
  <c r="BL509" i="3"/>
  <c r="AZ509" i="3"/>
  <c r="BA510" i="3"/>
  <c r="BM510" i="3"/>
  <c r="BN510" i="3"/>
  <c r="BO510" i="3"/>
  <c r="BP510" i="3"/>
  <c r="BQ510" i="3"/>
  <c r="BR510" i="3"/>
  <c r="BS510" i="3"/>
  <c r="BT510" i="3"/>
  <c r="BL510" i="3"/>
  <c r="AZ510" i="3"/>
  <c r="BA511" i="3"/>
  <c r="BM511" i="3"/>
  <c r="BN511" i="3"/>
  <c r="BO511" i="3"/>
  <c r="BP511" i="3"/>
  <c r="BQ511" i="3"/>
  <c r="BR511" i="3"/>
  <c r="BS511" i="3"/>
  <c r="BT511" i="3"/>
  <c r="BL511" i="3"/>
  <c r="AZ511" i="3"/>
  <c r="BA512" i="3"/>
  <c r="BM512" i="3"/>
  <c r="BN512" i="3"/>
  <c r="BO512" i="3"/>
  <c r="BP512" i="3"/>
  <c r="BQ512" i="3"/>
  <c r="BR512" i="3"/>
  <c r="BS512" i="3"/>
  <c r="BT512" i="3"/>
  <c r="BL512" i="3"/>
  <c r="AZ512" i="3"/>
  <c r="BA513" i="3"/>
  <c r="BM513" i="3"/>
  <c r="BN513" i="3"/>
  <c r="BO513" i="3"/>
  <c r="BP513" i="3"/>
  <c r="BQ513" i="3"/>
  <c r="BR513" i="3"/>
  <c r="BS513" i="3"/>
  <c r="BT513" i="3"/>
  <c r="BL513" i="3"/>
  <c r="AZ513" i="3"/>
  <c r="BA514" i="3"/>
  <c r="BM514" i="3"/>
  <c r="BN514" i="3"/>
  <c r="BO514" i="3"/>
  <c r="BP514" i="3"/>
  <c r="BQ514" i="3"/>
  <c r="BR514" i="3"/>
  <c r="BS514" i="3"/>
  <c r="BT514" i="3"/>
  <c r="BL514" i="3"/>
  <c r="AZ514" i="3"/>
  <c r="BA515" i="3"/>
  <c r="BM515" i="3"/>
  <c r="BN515" i="3"/>
  <c r="BO515" i="3"/>
  <c r="BP515" i="3"/>
  <c r="BQ515" i="3"/>
  <c r="BR515" i="3"/>
  <c r="BS515" i="3"/>
  <c r="BT515" i="3"/>
  <c r="BL515" i="3"/>
  <c r="AZ515" i="3"/>
  <c r="BA516" i="3"/>
  <c r="BM516" i="3"/>
  <c r="BN516" i="3"/>
  <c r="BO516" i="3"/>
  <c r="BP516" i="3"/>
  <c r="BQ516" i="3"/>
  <c r="BR516" i="3"/>
  <c r="BS516" i="3"/>
  <c r="BT516" i="3"/>
  <c r="BL516" i="3"/>
  <c r="AZ516" i="3"/>
  <c r="BA517" i="3"/>
  <c r="BM517" i="3"/>
  <c r="BN517" i="3"/>
  <c r="BO517" i="3"/>
  <c r="BP517" i="3"/>
  <c r="BQ517" i="3"/>
  <c r="BR517" i="3"/>
  <c r="BS517" i="3"/>
  <c r="BT517" i="3"/>
  <c r="BL517" i="3"/>
  <c r="AZ517" i="3"/>
  <c r="BA518" i="3"/>
  <c r="BM518" i="3"/>
  <c r="BN518" i="3"/>
  <c r="BO518" i="3"/>
  <c r="BP518" i="3"/>
  <c r="BQ518" i="3"/>
  <c r="BR518" i="3"/>
  <c r="BS518" i="3"/>
  <c r="BT518" i="3"/>
  <c r="BL518" i="3"/>
  <c r="AZ518" i="3"/>
  <c r="BA519" i="3"/>
  <c r="BM519" i="3"/>
  <c r="BN519" i="3"/>
  <c r="BO519" i="3"/>
  <c r="BP519" i="3"/>
  <c r="BQ519" i="3"/>
  <c r="BR519" i="3"/>
  <c r="BS519" i="3"/>
  <c r="BT519" i="3"/>
  <c r="BL519" i="3"/>
  <c r="AZ519" i="3"/>
  <c r="BA520" i="3"/>
  <c r="BM520" i="3"/>
  <c r="BN520" i="3"/>
  <c r="BO520" i="3"/>
  <c r="BP520" i="3"/>
  <c r="BQ520" i="3"/>
  <c r="BR520" i="3"/>
  <c r="BS520" i="3"/>
  <c r="BT520" i="3"/>
  <c r="BL520" i="3"/>
  <c r="AZ520" i="3"/>
  <c r="BA521" i="3"/>
  <c r="BM521" i="3"/>
  <c r="BN521" i="3"/>
  <c r="BO521" i="3"/>
  <c r="BP521" i="3"/>
  <c r="BQ521" i="3"/>
  <c r="BR521" i="3"/>
  <c r="BS521" i="3"/>
  <c r="BT521" i="3"/>
  <c r="BL521" i="3"/>
  <c r="AZ521" i="3"/>
  <c r="BA522" i="3"/>
  <c r="BM522" i="3"/>
  <c r="BN522" i="3"/>
  <c r="BO522" i="3"/>
  <c r="BP522" i="3"/>
  <c r="BQ522" i="3"/>
  <c r="BR522" i="3"/>
  <c r="BS522" i="3"/>
  <c r="BT522" i="3"/>
  <c r="BL522" i="3"/>
  <c r="AZ522" i="3"/>
  <c r="BA523" i="3"/>
  <c r="BM523" i="3"/>
  <c r="BN523" i="3"/>
  <c r="BO523" i="3"/>
  <c r="BP523" i="3"/>
  <c r="BQ523" i="3"/>
  <c r="BR523" i="3"/>
  <c r="BS523" i="3"/>
  <c r="BT523" i="3"/>
  <c r="BL523" i="3"/>
  <c r="AZ523" i="3"/>
  <c r="BA524" i="3"/>
  <c r="BM524" i="3"/>
  <c r="BN524" i="3"/>
  <c r="BO524" i="3"/>
  <c r="BP524" i="3"/>
  <c r="BQ524" i="3"/>
  <c r="BR524" i="3"/>
  <c r="BS524" i="3"/>
  <c r="BT524" i="3"/>
  <c r="BL524" i="3"/>
  <c r="AZ524" i="3"/>
  <c r="BA525" i="3"/>
  <c r="BM525" i="3"/>
  <c r="BN525" i="3"/>
  <c r="BO525" i="3"/>
  <c r="BP525" i="3"/>
  <c r="BQ525" i="3"/>
  <c r="BR525" i="3"/>
  <c r="BS525" i="3"/>
  <c r="BT525" i="3"/>
  <c r="BL525" i="3"/>
  <c r="AZ525" i="3"/>
  <c r="BA526" i="3"/>
  <c r="BM526" i="3"/>
  <c r="BN526" i="3"/>
  <c r="BO526" i="3"/>
  <c r="BP526" i="3"/>
  <c r="BQ526" i="3"/>
  <c r="BR526" i="3"/>
  <c r="BS526" i="3"/>
  <c r="BT526" i="3"/>
  <c r="BL526" i="3"/>
  <c r="AZ526" i="3"/>
  <c r="BA527" i="3"/>
  <c r="BM527" i="3"/>
  <c r="BN527" i="3"/>
  <c r="BO527" i="3"/>
  <c r="BP527" i="3"/>
  <c r="BQ527" i="3"/>
  <c r="BR527" i="3"/>
  <c r="BS527" i="3"/>
  <c r="BT527" i="3"/>
  <c r="BL527" i="3"/>
  <c r="AZ527" i="3"/>
  <c r="BA528" i="3"/>
  <c r="BM528" i="3"/>
  <c r="BN528" i="3"/>
  <c r="BO528" i="3"/>
  <c r="BP528" i="3"/>
  <c r="BQ528" i="3"/>
  <c r="BR528" i="3"/>
  <c r="BS528" i="3"/>
  <c r="BT528" i="3"/>
  <c r="BL528" i="3"/>
  <c r="AZ528" i="3"/>
  <c r="BA529" i="3"/>
  <c r="BM529" i="3"/>
  <c r="BN529" i="3"/>
  <c r="BO529" i="3"/>
  <c r="BP529" i="3"/>
  <c r="BQ529" i="3"/>
  <c r="BR529" i="3"/>
  <c r="BS529" i="3"/>
  <c r="BT529" i="3"/>
  <c r="BL529" i="3"/>
  <c r="AZ529" i="3"/>
  <c r="BA530" i="3"/>
  <c r="BM530" i="3"/>
  <c r="BN530" i="3"/>
  <c r="BO530" i="3"/>
  <c r="BP530" i="3"/>
  <c r="BQ530" i="3"/>
  <c r="BR530" i="3"/>
  <c r="BS530" i="3"/>
  <c r="BT530" i="3"/>
  <c r="BL530" i="3"/>
  <c r="AZ530" i="3"/>
  <c r="BA531" i="3"/>
  <c r="BM531" i="3"/>
  <c r="BN531" i="3"/>
  <c r="BO531" i="3"/>
  <c r="BP531" i="3"/>
  <c r="BQ531" i="3"/>
  <c r="BR531" i="3"/>
  <c r="BS531" i="3"/>
  <c r="BT531" i="3"/>
  <c r="BL531" i="3"/>
  <c r="AZ531" i="3"/>
  <c r="BA532" i="3"/>
  <c r="BM532" i="3"/>
  <c r="BN532" i="3"/>
  <c r="BO532" i="3"/>
  <c r="BP532" i="3"/>
  <c r="BQ532" i="3"/>
  <c r="BR532" i="3"/>
  <c r="BS532" i="3"/>
  <c r="BT532" i="3"/>
  <c r="BL532" i="3"/>
  <c r="AZ532" i="3"/>
  <c r="BA533" i="3"/>
  <c r="BM533" i="3"/>
  <c r="BN533" i="3"/>
  <c r="BO533" i="3"/>
  <c r="BP533" i="3"/>
  <c r="BQ533" i="3"/>
  <c r="BR533" i="3"/>
  <c r="BS533" i="3"/>
  <c r="BT533" i="3"/>
  <c r="BL533" i="3"/>
  <c r="AZ533" i="3"/>
  <c r="BA534" i="3"/>
  <c r="BM534" i="3"/>
  <c r="BN534" i="3"/>
  <c r="BO534" i="3"/>
  <c r="BP534" i="3"/>
  <c r="BQ534" i="3"/>
  <c r="BR534" i="3"/>
  <c r="BS534" i="3"/>
  <c r="BT534" i="3"/>
  <c r="BL534" i="3"/>
  <c r="AZ534" i="3"/>
  <c r="BA535" i="3"/>
  <c r="BM535" i="3"/>
  <c r="BN535" i="3"/>
  <c r="BO535" i="3"/>
  <c r="BP535" i="3"/>
  <c r="BQ535" i="3"/>
  <c r="BR535" i="3"/>
  <c r="BS535" i="3"/>
  <c r="BT535" i="3"/>
  <c r="BL535" i="3"/>
  <c r="AZ535" i="3"/>
  <c r="BA536" i="3"/>
  <c r="BM536" i="3"/>
  <c r="BN536" i="3"/>
  <c r="BO536" i="3"/>
  <c r="BP536" i="3"/>
  <c r="BQ536" i="3"/>
  <c r="BR536" i="3"/>
  <c r="BS536" i="3"/>
  <c r="BT536" i="3"/>
  <c r="BL536" i="3"/>
  <c r="AZ536" i="3"/>
  <c r="BA537" i="3"/>
  <c r="BM537" i="3"/>
  <c r="BN537" i="3"/>
  <c r="BO537" i="3"/>
  <c r="BP537" i="3"/>
  <c r="BQ537" i="3"/>
  <c r="BR537" i="3"/>
  <c r="BS537" i="3"/>
  <c r="BT537" i="3"/>
  <c r="BL537" i="3"/>
  <c r="AZ537" i="3"/>
  <c r="BA538" i="3"/>
  <c r="BM538" i="3"/>
  <c r="BN538" i="3"/>
  <c r="BO538" i="3"/>
  <c r="BP538" i="3"/>
  <c r="BQ538" i="3"/>
  <c r="BR538" i="3"/>
  <c r="BS538" i="3"/>
  <c r="BT538" i="3"/>
  <c r="BL538" i="3"/>
  <c r="AZ538" i="3"/>
  <c r="BA539" i="3"/>
  <c r="BM539" i="3"/>
  <c r="BN539" i="3"/>
  <c r="BO539" i="3"/>
  <c r="BP539" i="3"/>
  <c r="BQ539" i="3"/>
  <c r="BR539" i="3"/>
  <c r="BS539" i="3"/>
  <c r="BT539" i="3"/>
  <c r="BL539" i="3"/>
  <c r="AZ539" i="3"/>
  <c r="BA540" i="3"/>
  <c r="BM540" i="3"/>
  <c r="BN540" i="3"/>
  <c r="BO540" i="3"/>
  <c r="BP540" i="3"/>
  <c r="BQ540" i="3"/>
  <c r="BR540" i="3"/>
  <c r="BS540" i="3"/>
  <c r="BT540" i="3"/>
  <c r="BL540" i="3"/>
  <c r="AZ540" i="3"/>
  <c r="BA541" i="3"/>
  <c r="BM541" i="3"/>
  <c r="BN541" i="3"/>
  <c r="BO541" i="3"/>
  <c r="BP541" i="3"/>
  <c r="BQ541" i="3"/>
  <c r="BR541" i="3"/>
  <c r="BS541" i="3"/>
  <c r="BT541" i="3"/>
  <c r="BL541" i="3"/>
  <c r="AZ541" i="3"/>
  <c r="BA542" i="3"/>
  <c r="BM542" i="3"/>
  <c r="BN542" i="3"/>
  <c r="BO542" i="3"/>
  <c r="BP542" i="3"/>
  <c r="BQ542" i="3"/>
  <c r="BR542" i="3"/>
  <c r="BS542" i="3"/>
  <c r="BT542" i="3"/>
  <c r="BL542" i="3"/>
  <c r="AZ542" i="3"/>
  <c r="BA543" i="3"/>
  <c r="BM543" i="3"/>
  <c r="BN543" i="3"/>
  <c r="BO543" i="3"/>
  <c r="BP543" i="3"/>
  <c r="BQ543" i="3"/>
  <c r="BR543" i="3"/>
  <c r="BS543" i="3"/>
  <c r="BT543" i="3"/>
  <c r="BL543" i="3"/>
  <c r="AZ543" i="3"/>
  <c r="BA544" i="3"/>
  <c r="BM544" i="3"/>
  <c r="BN544" i="3"/>
  <c r="BO544" i="3"/>
  <c r="BP544" i="3"/>
  <c r="BQ544" i="3"/>
  <c r="BR544" i="3"/>
  <c r="BS544" i="3"/>
  <c r="BT544" i="3"/>
  <c r="BL544" i="3"/>
  <c r="AZ544" i="3"/>
  <c r="BA545" i="3"/>
  <c r="BM545" i="3"/>
  <c r="BN545" i="3"/>
  <c r="BO545" i="3"/>
  <c r="BP545" i="3"/>
  <c r="BQ545" i="3"/>
  <c r="BR545" i="3"/>
  <c r="BS545" i="3"/>
  <c r="BT545" i="3"/>
  <c r="BL545" i="3"/>
  <c r="AZ545" i="3"/>
  <c r="BA546" i="3"/>
  <c r="BM546" i="3"/>
  <c r="BN546" i="3"/>
  <c r="BO546" i="3"/>
  <c r="BP546" i="3"/>
  <c r="BQ546" i="3"/>
  <c r="BR546" i="3"/>
  <c r="BS546" i="3"/>
  <c r="BT546" i="3"/>
  <c r="BL546" i="3"/>
  <c r="AZ546" i="3"/>
  <c r="BA547" i="3"/>
  <c r="BM547" i="3"/>
  <c r="BN547" i="3"/>
  <c r="BO547" i="3"/>
  <c r="BP547" i="3"/>
  <c r="BQ547" i="3"/>
  <c r="BR547" i="3"/>
  <c r="BS547" i="3"/>
  <c r="BT547" i="3"/>
  <c r="BL547" i="3"/>
  <c r="AZ547" i="3"/>
  <c r="BA548" i="3"/>
  <c r="BM548" i="3"/>
  <c r="BN548" i="3"/>
  <c r="BO548" i="3"/>
  <c r="BP548" i="3"/>
  <c r="BQ548" i="3"/>
  <c r="BR548" i="3"/>
  <c r="BS548" i="3"/>
  <c r="BT548" i="3"/>
  <c r="BL548" i="3"/>
  <c r="AZ548" i="3"/>
  <c r="BA549" i="3"/>
  <c r="BM549" i="3"/>
  <c r="BN549" i="3"/>
  <c r="BO549" i="3"/>
  <c r="BP549" i="3"/>
  <c r="BQ549" i="3"/>
  <c r="BR549" i="3"/>
  <c r="BS549" i="3"/>
  <c r="BT549" i="3"/>
  <c r="BL549" i="3"/>
  <c r="AZ549" i="3"/>
  <c r="BA550" i="3"/>
  <c r="BM550" i="3"/>
  <c r="BN550" i="3"/>
  <c r="BO550" i="3"/>
  <c r="BP550" i="3"/>
  <c r="BQ550" i="3"/>
  <c r="BR550" i="3"/>
  <c r="BS550" i="3"/>
  <c r="BT550" i="3"/>
  <c r="BL550" i="3"/>
  <c r="AZ550" i="3"/>
  <c r="BA551" i="3"/>
  <c r="BM551" i="3"/>
  <c r="BN551" i="3"/>
  <c r="BO551" i="3"/>
  <c r="BP551" i="3"/>
  <c r="BQ551" i="3"/>
  <c r="BR551" i="3"/>
  <c r="BS551" i="3"/>
  <c r="BT551" i="3"/>
  <c r="BL551" i="3"/>
  <c r="AZ551" i="3"/>
  <c r="BA552" i="3"/>
  <c r="BM552" i="3"/>
  <c r="BN552" i="3"/>
  <c r="BO552" i="3"/>
  <c r="BP552" i="3"/>
  <c r="BQ552" i="3"/>
  <c r="BR552" i="3"/>
  <c r="BS552" i="3"/>
  <c r="BT552" i="3"/>
  <c r="BL552" i="3"/>
  <c r="AZ552" i="3"/>
  <c r="BA553" i="3"/>
  <c r="BM553" i="3"/>
  <c r="BN553" i="3"/>
  <c r="BO553" i="3"/>
  <c r="BP553" i="3"/>
  <c r="BQ553" i="3"/>
  <c r="BR553" i="3"/>
  <c r="BS553" i="3"/>
  <c r="BT553" i="3"/>
  <c r="BL553" i="3"/>
  <c r="AZ553" i="3"/>
  <c r="BA554" i="3"/>
  <c r="BM554" i="3"/>
  <c r="BN554" i="3"/>
  <c r="BO554" i="3"/>
  <c r="BP554" i="3"/>
  <c r="BQ554" i="3"/>
  <c r="BR554" i="3"/>
  <c r="BS554" i="3"/>
  <c r="BT554" i="3"/>
  <c r="BL554" i="3"/>
  <c r="AZ554" i="3"/>
  <c r="BA555" i="3"/>
  <c r="BM555" i="3"/>
  <c r="BN555" i="3"/>
  <c r="BO555" i="3"/>
  <c r="BP555" i="3"/>
  <c r="BQ555" i="3"/>
  <c r="BR555" i="3"/>
  <c r="BS555" i="3"/>
  <c r="BT555" i="3"/>
  <c r="BL555" i="3"/>
  <c r="AZ555" i="3"/>
  <c r="BA556" i="3"/>
  <c r="BM556" i="3"/>
  <c r="BN556" i="3"/>
  <c r="BO556" i="3"/>
  <c r="BP556" i="3"/>
  <c r="BQ556" i="3"/>
  <c r="BR556" i="3"/>
  <c r="BS556" i="3"/>
  <c r="BT556" i="3"/>
  <c r="BL556" i="3"/>
  <c r="AZ556" i="3"/>
  <c r="BA557" i="3"/>
  <c r="BM557" i="3"/>
  <c r="BN557" i="3"/>
  <c r="BO557" i="3"/>
  <c r="BP557" i="3"/>
  <c r="BQ557" i="3"/>
  <c r="BR557" i="3"/>
  <c r="BS557" i="3"/>
  <c r="BT557" i="3"/>
  <c r="BL557" i="3"/>
  <c r="AZ557" i="3"/>
  <c r="BA558" i="3"/>
  <c r="BM558" i="3"/>
  <c r="BN558" i="3"/>
  <c r="BO558" i="3"/>
  <c r="BP558" i="3"/>
  <c r="BQ558" i="3"/>
  <c r="BR558" i="3"/>
  <c r="BS558" i="3"/>
  <c r="BT558" i="3"/>
  <c r="BL558" i="3"/>
  <c r="AZ558" i="3"/>
  <c r="BA559" i="3"/>
  <c r="BM559" i="3"/>
  <c r="BN559" i="3"/>
  <c r="BO559" i="3"/>
  <c r="BP559" i="3"/>
  <c r="BQ559" i="3"/>
  <c r="BR559" i="3"/>
  <c r="BS559" i="3"/>
  <c r="BT559" i="3"/>
  <c r="BL559" i="3"/>
  <c r="AZ559" i="3"/>
  <c r="BA560" i="3"/>
  <c r="BM560" i="3"/>
  <c r="BN560" i="3"/>
  <c r="BO560" i="3"/>
  <c r="BP560" i="3"/>
  <c r="BQ560" i="3"/>
  <c r="BR560" i="3"/>
  <c r="BS560" i="3"/>
  <c r="BT560" i="3"/>
  <c r="BL560" i="3"/>
  <c r="AZ560" i="3"/>
  <c r="BA561" i="3"/>
  <c r="BM561" i="3"/>
  <c r="BN561" i="3"/>
  <c r="BO561" i="3"/>
  <c r="BP561" i="3"/>
  <c r="BQ561" i="3"/>
  <c r="BR561" i="3"/>
  <c r="BS561" i="3"/>
  <c r="BT561" i="3"/>
  <c r="BL561" i="3"/>
  <c r="AZ561" i="3"/>
  <c r="BA562" i="3"/>
  <c r="BM562" i="3"/>
  <c r="BN562" i="3"/>
  <c r="BO562" i="3"/>
  <c r="BP562" i="3"/>
  <c r="BQ562" i="3"/>
  <c r="BR562" i="3"/>
  <c r="BS562" i="3"/>
  <c r="BT562" i="3"/>
  <c r="BL562" i="3"/>
  <c r="AZ562" i="3"/>
  <c r="BA563" i="3"/>
  <c r="BM563" i="3"/>
  <c r="BN563" i="3"/>
  <c r="BO563" i="3"/>
  <c r="BP563" i="3"/>
  <c r="BQ563" i="3"/>
  <c r="BR563" i="3"/>
  <c r="BS563" i="3"/>
  <c r="BT563" i="3"/>
  <c r="BL563" i="3"/>
  <c r="AZ563" i="3"/>
  <c r="BA564" i="3"/>
  <c r="BM564" i="3"/>
  <c r="BN564" i="3"/>
  <c r="BO564" i="3"/>
  <c r="BP564" i="3"/>
  <c r="BQ564" i="3"/>
  <c r="BR564" i="3"/>
  <c r="BS564" i="3"/>
  <c r="BT564" i="3"/>
  <c r="BL564" i="3"/>
  <c r="AZ564" i="3"/>
  <c r="BA565" i="3"/>
  <c r="BM565" i="3"/>
  <c r="BN565" i="3"/>
  <c r="BO565" i="3"/>
  <c r="BP565" i="3"/>
  <c r="BQ565" i="3"/>
  <c r="BR565" i="3"/>
  <c r="BS565" i="3"/>
  <c r="BT565" i="3"/>
  <c r="BL565" i="3"/>
  <c r="AZ565" i="3"/>
  <c r="BA566" i="3"/>
  <c r="BM566" i="3"/>
  <c r="BN566" i="3"/>
  <c r="BO566" i="3"/>
  <c r="BP566" i="3"/>
  <c r="BQ566" i="3"/>
  <c r="BR566" i="3"/>
  <c r="BS566" i="3"/>
  <c r="BT566" i="3"/>
  <c r="BL566" i="3"/>
  <c r="AZ566" i="3"/>
  <c r="BA567" i="3"/>
  <c r="BM567" i="3"/>
  <c r="BN567" i="3"/>
  <c r="BO567" i="3"/>
  <c r="BP567" i="3"/>
  <c r="BQ567" i="3"/>
  <c r="BR567" i="3"/>
  <c r="BS567" i="3"/>
  <c r="BT567" i="3"/>
  <c r="BL567" i="3"/>
  <c r="AZ567" i="3"/>
  <c r="BA568" i="3"/>
  <c r="BM568" i="3"/>
  <c r="BN568" i="3"/>
  <c r="BO568" i="3"/>
  <c r="BP568" i="3"/>
  <c r="BQ568" i="3"/>
  <c r="BR568" i="3"/>
  <c r="BS568" i="3"/>
  <c r="BT568" i="3"/>
  <c r="BL568" i="3"/>
  <c r="AZ568" i="3"/>
  <c r="BA569" i="3"/>
  <c r="BM569" i="3"/>
  <c r="BN569" i="3"/>
  <c r="BO569" i="3"/>
  <c r="BP569" i="3"/>
  <c r="BQ569" i="3"/>
  <c r="BR569" i="3"/>
  <c r="BS569" i="3"/>
  <c r="BT569" i="3"/>
  <c r="BL569" i="3"/>
  <c r="AZ569" i="3"/>
  <c r="BA570" i="3"/>
  <c r="BM570" i="3"/>
  <c r="BN570" i="3"/>
  <c r="BO570" i="3"/>
  <c r="BP570" i="3"/>
  <c r="BQ570" i="3"/>
  <c r="BR570" i="3"/>
  <c r="BS570" i="3"/>
  <c r="BT570" i="3"/>
  <c r="BL570" i="3"/>
  <c r="AZ570" i="3"/>
  <c r="BA571" i="3"/>
  <c r="BM571" i="3"/>
  <c r="BN571" i="3"/>
  <c r="BO571" i="3"/>
  <c r="BP571" i="3"/>
  <c r="BQ571" i="3"/>
  <c r="BR571" i="3"/>
  <c r="BS571" i="3"/>
  <c r="BT571" i="3"/>
  <c r="BL571" i="3"/>
  <c r="AZ571" i="3"/>
  <c r="BA572" i="3"/>
  <c r="BM572" i="3"/>
  <c r="BN572" i="3"/>
  <c r="BO572" i="3"/>
  <c r="BP572" i="3"/>
  <c r="BQ572" i="3"/>
  <c r="BR572" i="3"/>
  <c r="BS572" i="3"/>
  <c r="BT572" i="3"/>
  <c r="BL572" i="3"/>
  <c r="AZ572" i="3"/>
  <c r="BA573" i="3"/>
  <c r="BM573" i="3"/>
  <c r="BN573" i="3"/>
  <c r="BO573" i="3"/>
  <c r="BP573" i="3"/>
  <c r="BQ573" i="3"/>
  <c r="BR573" i="3"/>
  <c r="BS573" i="3"/>
  <c r="BT573" i="3"/>
  <c r="BL573" i="3"/>
  <c r="AZ573" i="3"/>
  <c r="BA574" i="3"/>
  <c r="BM574" i="3"/>
  <c r="BN574" i="3"/>
  <c r="BO574" i="3"/>
  <c r="BP574" i="3"/>
  <c r="BQ574" i="3"/>
  <c r="BR574" i="3"/>
  <c r="BS574" i="3"/>
  <c r="BT574" i="3"/>
  <c r="BL574" i="3"/>
  <c r="AZ574" i="3"/>
  <c r="BA575" i="3"/>
  <c r="BM575" i="3"/>
  <c r="BN575" i="3"/>
  <c r="BO575" i="3"/>
  <c r="BP575" i="3"/>
  <c r="BQ575" i="3"/>
  <c r="BR575" i="3"/>
  <c r="BS575" i="3"/>
  <c r="BT575" i="3"/>
  <c r="BL575" i="3"/>
  <c r="AZ575" i="3"/>
  <c r="BA576" i="3"/>
  <c r="BM576" i="3"/>
  <c r="BN576" i="3"/>
  <c r="BO576" i="3"/>
  <c r="BP576" i="3"/>
  <c r="BQ576" i="3"/>
  <c r="BR576" i="3"/>
  <c r="BS576" i="3"/>
  <c r="BT576" i="3"/>
  <c r="BL576" i="3"/>
  <c r="AZ576" i="3"/>
  <c r="BA577" i="3"/>
  <c r="BM577" i="3"/>
  <c r="BN577" i="3"/>
  <c r="BO577" i="3"/>
  <c r="BP577" i="3"/>
  <c r="BQ577" i="3"/>
  <c r="BR577" i="3"/>
  <c r="BS577" i="3"/>
  <c r="BT577" i="3"/>
  <c r="BL577" i="3"/>
  <c r="AZ577" i="3"/>
  <c r="BA578" i="3"/>
  <c r="BM578" i="3"/>
  <c r="BN578" i="3"/>
  <c r="BO578" i="3"/>
  <c r="BP578" i="3"/>
  <c r="BQ578" i="3"/>
  <c r="BR578" i="3"/>
  <c r="BS578" i="3"/>
  <c r="BT578" i="3"/>
  <c r="BL578" i="3"/>
  <c r="AZ578" i="3"/>
  <c r="BA579" i="3"/>
  <c r="BM579" i="3"/>
  <c r="BN579" i="3"/>
  <c r="BO579" i="3"/>
  <c r="BP579" i="3"/>
  <c r="BQ579" i="3"/>
  <c r="BR579" i="3"/>
  <c r="BS579" i="3"/>
  <c r="BT579" i="3"/>
  <c r="BL579" i="3"/>
  <c r="AZ579" i="3"/>
  <c r="BA580" i="3"/>
  <c r="BM580" i="3"/>
  <c r="BN580" i="3"/>
  <c r="BO580" i="3"/>
  <c r="BP580" i="3"/>
  <c r="BQ580" i="3"/>
  <c r="BR580" i="3"/>
  <c r="BS580" i="3"/>
  <c r="BT580" i="3"/>
  <c r="BL580" i="3"/>
  <c r="AZ580" i="3"/>
  <c r="BA581" i="3"/>
  <c r="BM581" i="3"/>
  <c r="BN581" i="3"/>
  <c r="BO581" i="3"/>
  <c r="BP581" i="3"/>
  <c r="BQ581" i="3"/>
  <c r="BR581" i="3"/>
  <c r="BS581" i="3"/>
  <c r="BT581" i="3"/>
  <c r="BL581" i="3"/>
  <c r="AZ581" i="3"/>
  <c r="BA582" i="3"/>
  <c r="BM582" i="3"/>
  <c r="BN582" i="3"/>
  <c r="BO582" i="3"/>
  <c r="BP582" i="3"/>
  <c r="BQ582" i="3"/>
  <c r="BR582" i="3"/>
  <c r="BS582" i="3"/>
  <c r="BT582" i="3"/>
  <c r="BL582" i="3"/>
  <c r="AZ582" i="3"/>
  <c r="BA583" i="3"/>
  <c r="BM583" i="3"/>
  <c r="BN583" i="3"/>
  <c r="BO583" i="3"/>
  <c r="BP583" i="3"/>
  <c r="BQ583" i="3"/>
  <c r="BR583" i="3"/>
  <c r="BS583" i="3"/>
  <c r="BT583" i="3"/>
  <c r="BL583" i="3"/>
  <c r="AZ583" i="3"/>
  <c r="BA584" i="3"/>
  <c r="BM584" i="3"/>
  <c r="BN584" i="3"/>
  <c r="BO584" i="3"/>
  <c r="BP584" i="3"/>
  <c r="BQ584" i="3"/>
  <c r="BR584" i="3"/>
  <c r="BS584" i="3"/>
  <c r="BT584" i="3"/>
  <c r="BL584" i="3"/>
  <c r="AZ584" i="3"/>
  <c r="BA585" i="3"/>
  <c r="BM585" i="3"/>
  <c r="BN585" i="3"/>
  <c r="BO585" i="3"/>
  <c r="BP585" i="3"/>
  <c r="BQ585" i="3"/>
  <c r="BR585" i="3"/>
  <c r="BS585" i="3"/>
  <c r="BT585" i="3"/>
  <c r="BL585" i="3"/>
  <c r="AZ585" i="3"/>
  <c r="BA586" i="3"/>
  <c r="BM586" i="3"/>
  <c r="BN586" i="3"/>
  <c r="BO586" i="3"/>
  <c r="BP586" i="3"/>
  <c r="BQ586" i="3"/>
  <c r="BR586" i="3"/>
  <c r="BS586" i="3"/>
  <c r="BT586" i="3"/>
  <c r="BL586" i="3"/>
  <c r="AZ586" i="3"/>
  <c r="BA587" i="3"/>
  <c r="BM587" i="3"/>
  <c r="BN587" i="3"/>
  <c r="BO587" i="3"/>
  <c r="BP587" i="3"/>
  <c r="BQ587" i="3"/>
  <c r="BR587" i="3"/>
  <c r="BS587" i="3"/>
  <c r="BT587" i="3"/>
  <c r="BL587" i="3"/>
  <c r="AZ587" i="3"/>
  <c r="BM5" i="3"/>
  <c r="BN5" i="3"/>
  <c r="BO5" i="3"/>
  <c r="BP5" i="3"/>
  <c r="BS5" i="3"/>
  <c r="E37" i="68"/>
  <c r="C40" i="68"/>
  <c r="A6" i="1"/>
  <c r="A7" i="1"/>
  <c r="G1" i="15"/>
  <c r="L1" i="73"/>
  <c r="B43" i="1"/>
  <c r="B41" i="1" s="1"/>
  <c r="C42" i="1"/>
  <c r="F33" i="15"/>
  <c r="A3" i="3"/>
  <c r="E22" i="6"/>
  <c r="E23" i="6"/>
  <c r="E24" i="6"/>
  <c r="E25" i="6"/>
  <c r="E26" i="6"/>
  <c r="L20" i="6"/>
  <c r="B52" i="1"/>
  <c r="F34" i="15" s="1"/>
  <c r="F62" i="15" s="1"/>
  <c r="F15" i="15"/>
  <c r="F17" i="15"/>
  <c r="F18" i="15"/>
  <c r="F20" i="15"/>
  <c r="F23" i="15"/>
  <c r="F21" i="15"/>
  <c r="E15" i="4"/>
  <c r="F7" i="1"/>
  <c r="M47" i="15"/>
  <c r="J50" i="15"/>
  <c r="J51" i="15"/>
  <c r="A8" i="1"/>
  <c r="G1" i="81" s="1"/>
  <c r="F33" i="81"/>
  <c r="L21" i="6"/>
  <c r="F15" i="81"/>
  <c r="F17" i="81"/>
  <c r="F18" i="81"/>
  <c r="F20" i="81"/>
  <c r="F23" i="81"/>
  <c r="F21" i="81"/>
  <c r="G15" i="4"/>
  <c r="F8" i="1"/>
  <c r="M47" i="81"/>
  <c r="J50" i="81"/>
  <c r="J51" i="81"/>
  <c r="R47" i="21"/>
  <c r="C7" i="21"/>
  <c r="C58" i="21" s="1"/>
  <c r="D58" i="21" s="1"/>
  <c r="F8" i="21"/>
  <c r="AA8" i="21"/>
  <c r="C63" i="21"/>
  <c r="F9" i="21"/>
  <c r="AA9" i="21"/>
  <c r="D66" i="21"/>
  <c r="F10" i="21"/>
  <c r="AA10" i="21"/>
  <c r="F29" i="6"/>
  <c r="G29" i="6"/>
  <c r="E29" i="6"/>
  <c r="D69" i="21"/>
  <c r="E69" i="21"/>
  <c r="F69" i="21"/>
  <c r="B70" i="21"/>
  <c r="F12" i="21"/>
  <c r="AA12" i="21"/>
  <c r="B72" i="21"/>
  <c r="F13" i="21"/>
  <c r="AA13" i="21"/>
  <c r="B74" i="21"/>
  <c r="F14" i="21"/>
  <c r="AA14" i="21"/>
  <c r="D77" i="21"/>
  <c r="E77" i="21" s="1"/>
  <c r="D79" i="21"/>
  <c r="E79" i="21"/>
  <c r="F17" i="21"/>
  <c r="AA17" i="21"/>
  <c r="D81" i="21"/>
  <c r="E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F39" i="21"/>
  <c r="AA39" i="21"/>
  <c r="F40" i="21"/>
  <c r="AA40" i="21"/>
  <c r="F41" i="21"/>
  <c r="AA41" i="21"/>
  <c r="D123" i="21"/>
  <c r="E123" i="21" s="1"/>
  <c r="D125"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15" i="21"/>
  <c r="AB15" i="21" s="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s="1"/>
  <c r="H43" i="21"/>
  <c r="AB43" i="21"/>
  <c r="H44" i="21"/>
  <c r="AB44" i="21"/>
  <c r="H45" i="21"/>
  <c r="AB45" i="21"/>
  <c r="H46" i="21"/>
  <c r="AB46" i="21"/>
  <c r="V47" i="21"/>
  <c r="I7" i="21"/>
  <c r="J8" i="21"/>
  <c r="AC8" i="21"/>
  <c r="J9" i="21"/>
  <c r="AC9" i="21"/>
  <c r="J10" i="21"/>
  <c r="AC10" i="21"/>
  <c r="J12" i="21"/>
  <c r="AC12" i="21"/>
  <c r="J13" i="21"/>
  <c r="AC13" i="21"/>
  <c r="J14" i="21"/>
  <c r="AC14" i="21"/>
  <c r="J15" i="21"/>
  <c r="AC15" i="21" s="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s="1"/>
  <c r="J43" i="21"/>
  <c r="AC43" i="21"/>
  <c r="J44" i="21"/>
  <c r="AC44" i="21"/>
  <c r="J45" i="21"/>
  <c r="AC45" i="21"/>
  <c r="J46" i="21"/>
  <c r="AC46" i="21"/>
  <c r="A9" i="1"/>
  <c r="K9" i="1" s="1"/>
  <c r="M9" i="1" s="1"/>
  <c r="A10" i="1"/>
  <c r="K10" i="1" s="1"/>
  <c r="M10" i="1" s="1"/>
  <c r="O10" i="1" s="1"/>
  <c r="P10" i="1" s="1"/>
  <c r="A11" i="1"/>
  <c r="K11" i="1" s="1"/>
  <c r="M11" i="1" s="1"/>
  <c r="A12" i="1"/>
  <c r="K12" i="1" s="1"/>
  <c r="M12" i="1" s="1"/>
  <c r="O12" i="1" s="1"/>
  <c r="P12" i="1" s="1"/>
  <c r="A13" i="1"/>
  <c r="K13" i="1" s="1"/>
  <c r="M13" i="1" s="1"/>
  <c r="F12" i="12"/>
  <c r="F13" i="12"/>
  <c r="E14" i="12"/>
  <c r="F15" i="12"/>
  <c r="E17" i="12"/>
  <c r="E19" i="12"/>
  <c r="E20" i="12"/>
  <c r="F23" i="12"/>
  <c r="F24" i="12"/>
  <c r="C24" i="12"/>
  <c r="B5" i="4"/>
  <c r="B7" i="4"/>
  <c r="D8" i="1"/>
  <c r="K59" i="81"/>
  <c r="P74" i="81"/>
  <c r="Q72" i="81"/>
  <c r="F61" i="81"/>
  <c r="P61" i="81"/>
  <c r="Q59" i="81"/>
  <c r="F59" i="81"/>
  <c r="Q58" i="81"/>
  <c r="Q51" i="81"/>
  <c r="D46" i="81"/>
  <c r="F31" i="81"/>
  <c r="AG8" i="1"/>
  <c r="M19" i="81"/>
  <c r="M20" i="81"/>
  <c r="D24" i="81"/>
  <c r="D23" i="81"/>
  <c r="D22" i="81"/>
  <c r="M17" i="81"/>
  <c r="I5" i="80"/>
  <c r="G4" i="77"/>
  <c r="G8" i="77"/>
  <c r="G13" i="77"/>
  <c r="F9" i="77"/>
  <c r="F14" i="77"/>
  <c r="G2" i="43"/>
  <c r="C6" i="43"/>
  <c r="H17" i="43"/>
  <c r="I17" i="43"/>
  <c r="J17" i="43"/>
  <c r="K17" i="43"/>
  <c r="L17" i="43"/>
  <c r="M17" i="43"/>
  <c r="N17" i="43"/>
  <c r="O17" i="43"/>
  <c r="G17" i="43"/>
  <c r="M15" i="45"/>
  <c r="L15" i="45"/>
  <c r="K15" i="45"/>
  <c r="J15" i="45"/>
  <c r="I15" i="45"/>
  <c r="H15" i="45"/>
  <c r="G15" i="45"/>
  <c r="F15" i="45"/>
  <c r="E15" i="45"/>
  <c r="D15" i="45"/>
  <c r="C15" i="45"/>
  <c r="B15" i="45"/>
  <c r="P10" i="71"/>
  <c r="E10" i="71"/>
  <c r="P9" i="71"/>
  <c r="E9" i="71"/>
  <c r="P8" i="71"/>
  <c r="E8" i="71"/>
  <c r="P7" i="71"/>
  <c r="E7" i="71"/>
  <c r="P6" i="71"/>
  <c r="E6" i="71"/>
  <c r="V6" i="71"/>
  <c r="O10" i="71"/>
  <c r="C10" i="71"/>
  <c r="O9" i="71"/>
  <c r="C9" i="71"/>
  <c r="O8" i="71"/>
  <c r="C8" i="71"/>
  <c r="O7" i="71"/>
  <c r="C7" i="71"/>
  <c r="O6" i="71"/>
  <c r="C6" i="71"/>
  <c r="D6" i="71"/>
  <c r="D7" i="71"/>
  <c r="U6" i="71"/>
  <c r="T6" i="71"/>
  <c r="N10" i="71"/>
  <c r="B10" i="71"/>
  <c r="N9" i="71"/>
  <c r="B9" i="71"/>
  <c r="N8" i="71"/>
  <c r="B8" i="71"/>
  <c r="N7" i="71"/>
  <c r="B7" i="71"/>
  <c r="N6" i="71"/>
  <c r="B6" i="71"/>
  <c r="S6" i="71"/>
  <c r="Q5" i="71"/>
  <c r="P5" i="71"/>
  <c r="O5" i="71"/>
  <c r="N5" i="71"/>
  <c r="Q6" i="71"/>
  <c r="G20" i="43"/>
  <c r="E41" i="43" s="1"/>
  <c r="C41" i="43" s="1"/>
  <c r="Q7" i="71"/>
  <c r="Q8" i="71"/>
  <c r="Q9" i="71"/>
  <c r="Q10" i="71"/>
  <c r="Q11" i="71"/>
  <c r="Q12" i="71"/>
  <c r="Q13" i="71"/>
  <c r="Q14" i="71"/>
  <c r="Q15" i="71"/>
  <c r="Q16" i="71"/>
  <c r="Q17" i="71"/>
  <c r="Q18" i="71"/>
  <c r="Q19" i="71"/>
  <c r="Q20" i="71"/>
  <c r="Q21" i="71"/>
  <c r="Q22" i="71"/>
  <c r="Q23" i="71"/>
  <c r="Q24" i="71"/>
  <c r="Q25" i="71"/>
  <c r="AB6" i="71"/>
  <c r="AB7" i="71"/>
  <c r="P11" i="71"/>
  <c r="P12" i="71"/>
  <c r="P13" i="71"/>
  <c r="P14" i="71"/>
  <c r="P15" i="71"/>
  <c r="P16" i="71"/>
  <c r="P17" i="71"/>
  <c r="P18" i="71"/>
  <c r="P19" i="71"/>
  <c r="P20" i="71"/>
  <c r="P21" i="71"/>
  <c r="P22" i="71"/>
  <c r="P23" i="71"/>
  <c r="P24" i="71"/>
  <c r="P25" i="71"/>
  <c r="AA6" i="71"/>
  <c r="AA7" i="71"/>
  <c r="O11" i="71"/>
  <c r="O12" i="71"/>
  <c r="O13" i="71"/>
  <c r="O14" i="71"/>
  <c r="O15" i="71"/>
  <c r="O16" i="71"/>
  <c r="O17" i="71"/>
  <c r="O18" i="71"/>
  <c r="O19" i="71"/>
  <c r="O20" i="71"/>
  <c r="O21" i="71"/>
  <c r="O22" i="71"/>
  <c r="O23" i="71"/>
  <c r="O24" i="71"/>
  <c r="O25" i="71"/>
  <c r="Y7" i="71"/>
  <c r="Z7" i="71"/>
  <c r="N11" i="71"/>
  <c r="N12" i="71"/>
  <c r="N13" i="71"/>
  <c r="N14" i="71"/>
  <c r="N15" i="71"/>
  <c r="N16" i="71"/>
  <c r="N17" i="71"/>
  <c r="N18" i="71"/>
  <c r="N19" i="71"/>
  <c r="N20" i="71"/>
  <c r="N21" i="71"/>
  <c r="N22" i="71"/>
  <c r="N23" i="71"/>
  <c r="N24" i="71"/>
  <c r="N25" i="71"/>
  <c r="X6" i="71"/>
  <c r="X7" i="71"/>
  <c r="F10" i="71"/>
  <c r="F9" i="71"/>
  <c r="F8" i="71"/>
  <c r="B5" i="71"/>
  <c r="X8" i="71"/>
  <c r="AB8" i="71"/>
  <c r="AA8" i="71"/>
  <c r="Y8" i="71"/>
  <c r="Z8" i="71"/>
  <c r="D8" i="71"/>
  <c r="D9" i="71"/>
  <c r="M19" i="43"/>
  <c r="M47" i="67"/>
  <c r="J53" i="67"/>
  <c r="D11" i="71"/>
  <c r="X9" i="71"/>
  <c r="AB9" i="71"/>
  <c r="AA9" i="71"/>
  <c r="Y9" i="71"/>
  <c r="Z9" i="71"/>
  <c r="T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A15" i="51"/>
  <c r="C76" i="9"/>
  <c r="I107" i="40"/>
  <c r="K6" i="4"/>
  <c r="B22" i="31"/>
  <c r="N56" i="9"/>
  <c r="M56" i="9"/>
  <c r="K56" i="9"/>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AB25" i="71"/>
  <c r="AA25" i="71"/>
  <c r="Y25" i="71"/>
  <c r="Z25" i="71"/>
  <c r="X25" i="71"/>
  <c r="AB24" i="71"/>
  <c r="Y24" i="71"/>
  <c r="Z24" i="71"/>
  <c r="F24" i="71"/>
  <c r="F25" i="71"/>
  <c r="F26" i="71"/>
  <c r="V26" i="71"/>
  <c r="D23" i="71"/>
  <c r="AB22" i="71"/>
  <c r="Y22" i="71"/>
  <c r="Z22" i="71"/>
  <c r="AB21" i="71"/>
  <c r="Y21" i="71"/>
  <c r="Z21" i="71"/>
  <c r="AB20" i="71"/>
  <c r="Y20" i="71"/>
  <c r="Z20" i="71"/>
  <c r="F20" i="71"/>
  <c r="F21" i="71"/>
  <c r="F22" i="71"/>
  <c r="V22" i="71"/>
  <c r="D19" i="71"/>
  <c r="AB18" i="71"/>
  <c r="Y18" i="71"/>
  <c r="Z18" i="71"/>
  <c r="AB17" i="71"/>
  <c r="Y17" i="71"/>
  <c r="Z17" i="71"/>
  <c r="AB16" i="71"/>
  <c r="Y16" i="71"/>
  <c r="Z16" i="71"/>
  <c r="F16" i="71"/>
  <c r="F17" i="71"/>
  <c r="F18" i="71"/>
  <c r="V18" i="71"/>
  <c r="D15"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E41" i="71"/>
  <c r="E42" i="71"/>
  <c r="U42" i="71"/>
  <c r="E45" i="71"/>
  <c r="E46" i="71"/>
  <c r="U46" i="71"/>
  <c r="E49" i="71"/>
  <c r="E50" i="71"/>
  <c r="U50" i="71"/>
  <c r="Q51" i="71"/>
  <c r="U54" i="71"/>
  <c r="E53"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s="1"/>
  <c r="F20" i="69"/>
  <c r="E10" i="69"/>
  <c r="E9" i="69"/>
  <c r="F7" i="69"/>
  <c r="C7" i="69" s="1"/>
  <c r="AC21" i="37"/>
  <c r="W21" i="37"/>
  <c r="AC21" i="34"/>
  <c r="W21" i="34"/>
  <c r="AC21" i="33"/>
  <c r="W21" i="33"/>
  <c r="U21" i="21"/>
  <c r="G83" i="21"/>
  <c r="F38" i="68"/>
  <c r="F36" i="68"/>
  <c r="F35" i="68"/>
  <c r="E10" i="68"/>
  <c r="E9" i="68"/>
  <c r="W21" i="21"/>
  <c r="Q72" i="67"/>
  <c r="Q59" i="67"/>
  <c r="Q58" i="67"/>
  <c r="Q51" i="67"/>
  <c r="J50" i="67"/>
  <c r="D46" i="67"/>
  <c r="F33" i="67"/>
  <c r="F61" i="67" s="1"/>
  <c r="F23" i="67"/>
  <c r="D24" i="67" s="1"/>
  <c r="F21" i="67"/>
  <c r="F20" i="67"/>
  <c r="M19" i="67"/>
  <c r="F18" i="67"/>
  <c r="F17" i="67"/>
  <c r="F15" i="67"/>
  <c r="D22" i="67"/>
  <c r="D23" i="67"/>
  <c r="S2" i="4"/>
  <c r="C51" i="10"/>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s="1"/>
  <c r="F22" i="12"/>
  <c r="C17" i="9"/>
  <c r="D17" i="9"/>
  <c r="I55" i="9"/>
  <c r="F55" i="9" s="1"/>
  <c r="O53" i="9" s="1"/>
  <c r="D89" i="9"/>
  <c r="C89" i="9" s="1"/>
  <c r="C87" i="9" s="1"/>
  <c r="G12" i="1"/>
  <c r="J55" i="9"/>
  <c r="B31" i="1"/>
  <c r="M20" i="15"/>
  <c r="T4" i="1"/>
  <c r="D3" i="35"/>
  <c r="E59" i="9"/>
  <c r="N55" i="9"/>
  <c r="K55" i="9"/>
  <c r="F59" i="9"/>
  <c r="N54" i="9"/>
  <c r="N53" i="9"/>
  <c r="E48" i="9"/>
  <c r="N52" i="9"/>
  <c r="O55" i="9"/>
  <c r="F56" i="9"/>
  <c r="O54" i="9" s="1"/>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D93" i="39"/>
  <c r="E93" i="39" s="1"/>
  <c r="F93" i="39" s="1"/>
  <c r="G93" i="39" s="1"/>
  <c r="F91" i="39"/>
  <c r="G91" i="39"/>
  <c r="G89" i="39"/>
  <c r="B86" i="39"/>
  <c r="B84" i="39"/>
  <c r="M79" i="39"/>
  <c r="L79" i="39"/>
  <c r="K79" i="39"/>
  <c r="J79" i="39"/>
  <c r="I79" i="39"/>
  <c r="H79" i="39"/>
  <c r="G79" i="39"/>
  <c r="F79" i="39"/>
  <c r="E79" i="39"/>
  <c r="D79" i="39"/>
  <c r="P48" i="39"/>
  <c r="P47" i="39"/>
  <c r="V46" i="39"/>
  <c r="T46" i="39"/>
  <c r="P46" i="39"/>
  <c r="F44" i="39"/>
  <c r="AA44" i="39"/>
  <c r="Q35" i="39"/>
  <c r="Z35" i="39"/>
  <c r="Q34" i="39"/>
  <c r="Z34" i="39"/>
  <c r="Q32" i="39"/>
  <c r="Z32" i="39"/>
  <c r="Q31" i="39"/>
  <c r="Z31" i="39"/>
  <c r="Q27" i="39"/>
  <c r="Z27" i="39"/>
  <c r="Q25" i="39"/>
  <c r="Z25" i="39"/>
  <c r="Q23" i="39"/>
  <c r="Z23" i="39"/>
  <c r="Q21" i="39"/>
  <c r="Z21" i="39"/>
  <c r="Q19" i="39"/>
  <c r="Z19" i="39" s="1"/>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E66" i="21"/>
  <c r="F66" i="21"/>
  <c r="G66" i="21"/>
  <c r="H66" i="21"/>
  <c r="I66" i="21"/>
  <c r="D111" i="21"/>
  <c r="E111" i="21"/>
  <c r="F111" i="21"/>
  <c r="C111"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4" i="39"/>
  <c r="H34" i="39"/>
  <c r="U34" i="39"/>
  <c r="E109" i="39"/>
  <c r="H31" i="39"/>
  <c r="AB31" i="39"/>
  <c r="F31" i="39"/>
  <c r="AA31" i="39"/>
  <c r="H19" i="39"/>
  <c r="AB19" i="39" s="1"/>
  <c r="F19" i="39"/>
  <c r="AA19" i="39" s="1"/>
  <c r="J23" i="40"/>
  <c r="AC23" i="40"/>
  <c r="F21" i="40"/>
  <c r="AA21" i="40"/>
  <c r="J21" i="40"/>
  <c r="W21" i="40"/>
  <c r="J34" i="39"/>
  <c r="AC34" i="39"/>
  <c r="F109" i="39"/>
  <c r="G109" i="39"/>
  <c r="H109" i="39"/>
  <c r="I109" i="39"/>
  <c r="J109" i="39"/>
  <c r="K109" i="39"/>
  <c r="L109" i="39"/>
  <c r="M109" i="39"/>
  <c r="J31" i="39"/>
  <c r="F101" i="39"/>
  <c r="U27" i="39"/>
  <c r="J19" i="39"/>
  <c r="AC19"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U15" i="39"/>
  <c r="W15" i="39"/>
  <c r="W27" i="39"/>
  <c r="AB34"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U36" i="40"/>
  <c r="N4" i="43"/>
  <c r="F36" i="43"/>
  <c r="F81" i="43"/>
  <c r="H83" i="43"/>
  <c r="H113" i="43"/>
  <c r="F48" i="43"/>
  <c r="H52" i="43"/>
  <c r="N7" i="43"/>
  <c r="F70" i="43"/>
  <c r="H73" i="43"/>
  <c r="M6" i="43"/>
  <c r="M11" i="43"/>
  <c r="D17" i="43"/>
  <c r="F39" i="43"/>
  <c r="F35" i="43"/>
  <c r="F6" i="1"/>
  <c r="U17" i="39"/>
  <c r="S14" i="35"/>
  <c r="U43" i="21"/>
  <c r="U35" i="21"/>
  <c r="U10" i="21"/>
  <c r="G8" i="1"/>
  <c r="G9" i="1"/>
  <c r="G10" i="1"/>
  <c r="F48" i="9"/>
  <c r="O52" i="9" s="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s="1"/>
  <c r="H86" i="43"/>
  <c r="H82" i="43"/>
  <c r="H87" i="43"/>
  <c r="AE9" i="1"/>
  <c r="D93" i="9"/>
  <c r="AC26" i="33"/>
  <c r="W26" i="33"/>
  <c r="W27" i="34"/>
  <c r="AC27" i="34"/>
  <c r="AB34" i="36"/>
  <c r="U34" i="36"/>
  <c r="AB33" i="36"/>
  <c r="U33" i="36"/>
  <c r="W12" i="39"/>
  <c r="AC39" i="40"/>
  <c r="W39" i="40"/>
  <c r="W12" i="33"/>
  <c r="AC12" i="33"/>
  <c r="AA32" i="36"/>
  <c r="S32" i="36"/>
  <c r="AA39" i="34"/>
  <c r="U30" i="33"/>
  <c r="AC13" i="34"/>
  <c r="AA47" i="34"/>
  <c r="W28" i="37"/>
  <c r="S19" i="39"/>
  <c r="F12" i="33"/>
  <c r="F39" i="40"/>
  <c r="S12" i="1"/>
  <c r="AQ12" i="1" s="1"/>
  <c r="R12" i="1"/>
  <c r="B12" i="1"/>
  <c r="E12" i="1" s="1"/>
  <c r="S10" i="1"/>
  <c r="AQ10" i="1" s="1"/>
  <c r="R10" i="1"/>
  <c r="B10" i="1"/>
  <c r="E10" i="1" s="1"/>
  <c r="D1" i="66"/>
  <c r="E10" i="66"/>
  <c r="S13" i="1"/>
  <c r="AR13" i="1" s="1"/>
  <c r="R13" i="1"/>
  <c r="S11" i="1"/>
  <c r="AQ11" i="1" s="1"/>
  <c r="R11" i="1"/>
  <c r="S9" i="1"/>
  <c r="AR9" i="1" s="1"/>
  <c r="R9"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S23" i="21"/>
  <c r="E85" i="21"/>
  <c r="S8" i="21"/>
  <c r="M3" i="43"/>
  <c r="N10" i="43"/>
  <c r="M1" i="43"/>
  <c r="M8" i="43"/>
  <c r="N8" i="43"/>
  <c r="N9" i="43"/>
  <c r="D120" i="9"/>
  <c r="C18" i="9"/>
  <c r="D18" i="9"/>
  <c r="F34" i="67"/>
  <c r="F62" i="67" s="1"/>
  <c r="M20" i="67"/>
  <c r="J56" i="9"/>
  <c r="J57" i="9"/>
  <c r="J59" i="9" s="1"/>
  <c r="J61" i="9" s="1"/>
  <c r="A24" i="51"/>
  <c r="B18" i="72"/>
  <c r="U29" i="34"/>
  <c r="G1" i="68"/>
  <c r="K1" i="12"/>
  <c r="AR12" i="1"/>
  <c r="T12"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C17" i="43"/>
  <c r="F33" i="43"/>
  <c r="F34" i="43"/>
  <c r="M7" i="43"/>
  <c r="N6" i="43"/>
  <c r="M2" i="43"/>
  <c r="M10" i="43"/>
  <c r="N3" i="43"/>
  <c r="N11" i="43"/>
  <c r="F38" i="43"/>
  <c r="F37" i="43"/>
  <c r="M9" i="43"/>
  <c r="N12" i="43"/>
  <c r="N5" i="43"/>
  <c r="M5" i="43"/>
  <c r="M12" i="43"/>
  <c r="M4" i="43"/>
  <c r="B19" i="53"/>
  <c r="B37" i="72"/>
  <c r="C7" i="35"/>
  <c r="C7" i="33"/>
  <c r="C58" i="33" s="1"/>
  <c r="C7" i="40"/>
  <c r="C63" i="40" s="1"/>
  <c r="M47" i="9"/>
  <c r="T35" i="4"/>
  <c r="A19" i="51"/>
  <c r="B14" i="72"/>
  <c r="C46" i="36"/>
  <c r="D46" i="36" s="1"/>
  <c r="E46" i="36" s="1"/>
  <c r="F46" i="36" s="1"/>
  <c r="C59" i="34"/>
  <c r="C52" i="37"/>
  <c r="A4" i="51"/>
  <c r="B6" i="72"/>
  <c r="C48" i="35"/>
  <c r="H62" i="43"/>
  <c r="H66" i="43"/>
  <c r="H61" i="43"/>
  <c r="H65" i="43"/>
  <c r="H60" i="43"/>
  <c r="H64" i="43"/>
  <c r="H59" i="43"/>
  <c r="H63" i="43"/>
  <c r="H67" i="43"/>
  <c r="H55" i="43"/>
  <c r="H51" i="43"/>
  <c r="H56" i="43"/>
  <c r="H76" i="43"/>
  <c r="H72" i="43"/>
  <c r="H77" i="43"/>
  <c r="B6" i="1"/>
  <c r="E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S27" i="39"/>
  <c r="W17" i="39"/>
  <c r="W31" i="39"/>
  <c r="AC31"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T11" i="1"/>
  <c r="AR11" i="1"/>
  <c r="K15" i="1"/>
  <c r="T9" i="1"/>
  <c r="C77" i="9"/>
  <c r="C74" i="9" s="1"/>
  <c r="AA39" i="40"/>
  <c r="S39" i="40"/>
  <c r="S12" i="33"/>
  <c r="AA12" i="33"/>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F85" i="21"/>
  <c r="G85" i="21"/>
  <c r="S13" i="21"/>
  <c r="D6" i="52"/>
  <c r="D121" i="9"/>
  <c r="D7" i="52"/>
  <c r="K120" i="9"/>
  <c r="R22" i="31"/>
  <c r="B21" i="31"/>
  <c r="O19" i="43"/>
  <c r="AP7" i="1"/>
  <c r="W32" i="21"/>
  <c r="U9" i="21"/>
  <c r="S32" i="21"/>
  <c r="W9" i="21"/>
  <c r="U32" i="21"/>
  <c r="S10" i="21"/>
  <c r="E6" i="70"/>
  <c r="A18" i="62"/>
  <c r="B64" i="72"/>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F1" i="67"/>
  <c r="Q52" i="67"/>
  <c r="AC11" i="37"/>
  <c r="W11" i="37"/>
  <c r="W11" i="34"/>
  <c r="AC11" i="34"/>
  <c r="F50" i="11"/>
  <c r="F50" i="69"/>
  <c r="F50" i="68"/>
  <c r="AE6" i="1"/>
  <c r="AG6" i="1"/>
  <c r="H109" i="9"/>
  <c r="H110" i="9"/>
  <c r="D18" i="53" s="1"/>
  <c r="B35" i="72" s="1"/>
  <c r="D124" i="9"/>
  <c r="D16" i="53"/>
  <c r="B34" i="72"/>
  <c r="D10" i="52"/>
  <c r="H14" i="74"/>
  <c r="D17" i="53"/>
  <c r="B36" i="72"/>
  <c r="D125" i="9"/>
  <c r="D11" i="52"/>
  <c r="B7" i="74"/>
  <c r="H112" i="9"/>
  <c r="D21" i="53" s="1"/>
  <c r="B39" i="72" s="1"/>
  <c r="H111" i="9"/>
  <c r="D126" i="9"/>
  <c r="I14" i="74" s="1"/>
  <c r="B8" i="74" s="1"/>
  <c r="D19" i="53"/>
  <c r="D59" i="9"/>
  <c r="M55" i="9" s="1"/>
  <c r="B38" i="72"/>
  <c r="D20" i="53"/>
  <c r="B40" i="72"/>
  <c r="C20" i="43"/>
  <c r="F7" i="71"/>
  <c r="F6" i="71"/>
  <c r="F5" i="71"/>
  <c r="Y6" i="71"/>
  <c r="Z6" i="71"/>
  <c r="AB3" i="71"/>
  <c r="X3" i="71"/>
  <c r="E5" i="71"/>
  <c r="P24" i="43"/>
  <c r="B66" i="40"/>
  <c r="P21" i="43"/>
  <c r="P22" i="43"/>
  <c r="F31" i="15"/>
  <c r="M17" i="15"/>
  <c r="F59" i="67"/>
  <c r="F59" i="15"/>
  <c r="F31" i="67"/>
  <c r="M17" i="67"/>
  <c r="C5" i="71"/>
  <c r="D5" i="71"/>
  <c r="P25" i="43"/>
  <c r="M20" i="43"/>
  <c r="C19" i="43" s="1"/>
  <c r="E17" i="43"/>
  <c r="C16" i="43"/>
  <c r="C5" i="43"/>
  <c r="D5" i="43"/>
  <c r="Y5" i="71"/>
  <c r="Z5" i="71"/>
  <c r="X5" i="71"/>
  <c r="AA5" i="71"/>
  <c r="AB5" i="71"/>
  <c r="F42" i="15"/>
  <c r="E13" i="76"/>
  <c r="F13" i="15"/>
  <c r="F9" i="81"/>
  <c r="M8" i="81"/>
  <c r="D2" i="37"/>
  <c r="B11" i="76"/>
  <c r="C76" i="15"/>
  <c r="D2" i="33"/>
  <c r="M22" i="67"/>
  <c r="F16" i="67"/>
  <c r="F40" i="67"/>
  <c r="E10" i="76"/>
  <c r="AO9" i="1"/>
  <c r="AO10" i="1"/>
  <c r="F36" i="15"/>
  <c r="F16" i="81"/>
  <c r="F26" i="81"/>
  <c r="M23" i="81"/>
  <c r="E7" i="76"/>
  <c r="E8" i="76"/>
  <c r="M28" i="81"/>
  <c r="C76" i="67"/>
  <c r="M22" i="15"/>
  <c r="F16" i="15"/>
  <c r="L47" i="81"/>
  <c r="L48" i="67"/>
  <c r="B12" i="76"/>
  <c r="AO6" i="1"/>
  <c r="F3" i="73"/>
  <c r="F26" i="15"/>
  <c r="M9" i="15"/>
  <c r="M6" i="15"/>
  <c r="F42" i="81"/>
  <c r="M24" i="81"/>
  <c r="D2" i="34"/>
  <c r="M26" i="67"/>
  <c r="F7" i="73"/>
  <c r="F9" i="67"/>
  <c r="AO13" i="1"/>
  <c r="M23" i="67"/>
  <c r="M28" i="67"/>
  <c r="F36" i="67"/>
  <c r="B7" i="76"/>
  <c r="F37" i="15"/>
  <c r="F40" i="81"/>
  <c r="F38" i="81"/>
  <c r="F35" i="67"/>
  <c r="F26" i="67"/>
  <c r="E2" i="69"/>
  <c r="D2" i="35"/>
  <c r="F20" i="31"/>
  <c r="M22" i="81"/>
  <c r="E2" i="68"/>
  <c r="L47" i="67"/>
  <c r="F6" i="73"/>
  <c r="F8" i="81"/>
  <c r="F37" i="67"/>
  <c r="B8" i="76"/>
  <c r="D2" i="21"/>
  <c r="D5" i="73"/>
  <c r="L48" i="15"/>
  <c r="F9" i="15"/>
  <c r="F37" i="81"/>
  <c r="J15" i="81"/>
  <c r="F7" i="67"/>
  <c r="M8" i="67"/>
  <c r="AO11" i="1"/>
  <c r="F13" i="67"/>
  <c r="M27" i="81"/>
  <c r="F42" i="67"/>
  <c r="B10" i="76"/>
  <c r="M29" i="67"/>
  <c r="B9" i="76"/>
  <c r="D6" i="73"/>
  <c r="F6" i="15"/>
  <c r="M9" i="81"/>
  <c r="M27" i="67"/>
  <c r="M27" i="15"/>
  <c r="M9" i="67"/>
  <c r="D2" i="36"/>
  <c r="F6" i="67"/>
  <c r="F4" i="73"/>
  <c r="F13" i="81"/>
  <c r="E9" i="76"/>
  <c r="D3" i="73"/>
  <c r="M24" i="15"/>
  <c r="F8" i="67"/>
  <c r="F41" i="67"/>
  <c r="F38" i="15"/>
  <c r="M6" i="81"/>
  <c r="F36" i="81"/>
  <c r="C76" i="81"/>
  <c r="D4" i="73"/>
  <c r="M6" i="67"/>
  <c r="J15" i="15"/>
  <c r="F43" i="67"/>
  <c r="AO12" i="1"/>
  <c r="E11" i="76"/>
  <c r="M28" i="15"/>
  <c r="M24" i="67"/>
  <c r="E12" i="76"/>
  <c r="F8" i="15"/>
  <c r="M8" i="15"/>
  <c r="F40" i="15"/>
  <c r="M26" i="81"/>
  <c r="M21" i="67"/>
  <c r="B13" i="76"/>
  <c r="M23" i="15"/>
  <c r="F6" i="81"/>
  <c r="L47" i="15"/>
  <c r="D7" i="73"/>
  <c r="M26" i="15"/>
  <c r="F38" i="67"/>
  <c r="L48" i="81"/>
  <c r="J15" i="67"/>
  <c r="F5" i="73"/>
  <c r="AL5" i="3" l="1"/>
  <c r="BQ13" i="3"/>
  <c r="BQ5" i="3" s="1"/>
  <c r="F28" i="6" s="1"/>
  <c r="F11" i="77"/>
  <c r="F16" i="77" s="1"/>
  <c r="F19" i="77"/>
  <c r="F18" i="77"/>
  <c r="I7" i="6" s="1"/>
  <c r="C11" i="39" s="1"/>
  <c r="C14" i="80"/>
  <c r="G14" i="77"/>
  <c r="AC13" i="3"/>
  <c r="AC5" i="3" s="1"/>
  <c r="T10" i="1"/>
  <c r="C33" i="43"/>
  <c r="C37" i="43"/>
  <c r="C35" i="43"/>
  <c r="C39" i="43"/>
  <c r="D58" i="33"/>
  <c r="E58" i="33" s="1"/>
  <c r="F58" i="33" s="1"/>
  <c r="G58" i="33" s="1"/>
  <c r="H58" i="33" s="1"/>
  <c r="I58" i="33" s="1"/>
  <c r="J58" i="33" s="1"/>
  <c r="K58" i="33" s="1"/>
  <c r="L58" i="33" s="1"/>
  <c r="M58" i="33" s="1"/>
  <c r="N58" i="33" s="1"/>
  <c r="O58" i="33" s="1"/>
  <c r="J7" i="33"/>
  <c r="W7" i="33" s="1"/>
  <c r="C92" i="9"/>
  <c r="C94" i="9"/>
  <c r="F32" i="15"/>
  <c r="F60" i="15" s="1"/>
  <c r="F28" i="15"/>
  <c r="C28" i="15" s="1"/>
  <c r="F32" i="81"/>
  <c r="F60" i="81" s="1"/>
  <c r="F28" i="81"/>
  <c r="C28" i="81" s="1"/>
  <c r="F53" i="9"/>
  <c r="M18" i="67"/>
  <c r="M18" i="15"/>
  <c r="D68" i="9"/>
  <c r="F31" i="12"/>
  <c r="M18" i="81"/>
  <c r="F30" i="68"/>
  <c r="F30" i="11"/>
  <c r="F28" i="67"/>
  <c r="C28" i="67" s="1"/>
  <c r="F52" i="9"/>
  <c r="F32" i="67"/>
  <c r="F60" i="67" s="1"/>
  <c r="F30" i="69"/>
  <c r="F54" i="9"/>
  <c r="C65" i="40"/>
  <c r="D63" i="40"/>
  <c r="C70" i="39"/>
  <c r="D68" i="39"/>
  <c r="F34" i="81"/>
  <c r="F62" i="81" s="1"/>
  <c r="G33" i="43"/>
  <c r="I33" i="43" s="1"/>
  <c r="E33" i="43"/>
  <c r="T14" i="43"/>
  <c r="V14" i="43" s="1"/>
  <c r="T13" i="43"/>
  <c r="V13" i="43" s="1"/>
  <c r="T8" i="43"/>
  <c r="V8" i="43" s="1"/>
  <c r="T11" i="43"/>
  <c r="V11" i="43" s="1"/>
  <c r="T10" i="43"/>
  <c r="V10" i="43" s="1"/>
  <c r="T12" i="43"/>
  <c r="V12" i="43" s="1"/>
  <c r="T9" i="43"/>
  <c r="V9" i="43" s="1"/>
  <c r="T15" i="43"/>
  <c r="V15" i="43" s="1"/>
  <c r="T16" i="43"/>
  <c r="V16" i="43" s="1"/>
  <c r="C38" i="43"/>
  <c r="C36" i="43"/>
  <c r="C34" i="43"/>
  <c r="G46" i="36"/>
  <c r="H46" i="36" s="1"/>
  <c r="I46" i="36" s="1"/>
  <c r="J46" i="36" s="1"/>
  <c r="K46" i="36" s="1"/>
  <c r="L46" i="36" s="1"/>
  <c r="M46" i="36" s="1"/>
  <c r="N46" i="36" s="1"/>
  <c r="O46" i="36" s="1"/>
  <c r="J7" i="36"/>
  <c r="AC7" i="33"/>
  <c r="V48" i="33" s="1"/>
  <c r="I48" i="33" s="1"/>
  <c r="D48" i="35"/>
  <c r="D59" i="34"/>
  <c r="D52" i="37"/>
  <c r="E58" i="21"/>
  <c r="F58" i="21" s="1"/>
  <c r="G58" i="21" s="1"/>
  <c r="H58" i="21" s="1"/>
  <c r="I58" i="21" s="1"/>
  <c r="J58" i="21" s="1"/>
  <c r="K58" i="21" s="1"/>
  <c r="L58" i="21" s="1"/>
  <c r="M58" i="21" s="1"/>
  <c r="N58" i="21" s="1"/>
  <c r="O58" i="21" s="1"/>
  <c r="J7" i="21"/>
  <c r="H7" i="36"/>
  <c r="F42" i="21"/>
  <c r="F123" i="21"/>
  <c r="G123" i="21" s="1"/>
  <c r="H123" i="21" s="1"/>
  <c r="I123" i="21" s="1"/>
  <c r="J123" i="21" s="1"/>
  <c r="K123" i="21" s="1"/>
  <c r="L123" i="21" s="1"/>
  <c r="M123" i="21" s="1"/>
  <c r="C40" i="69"/>
  <c r="F15" i="21"/>
  <c r="F77" i="21"/>
  <c r="G77" i="21" s="1"/>
  <c r="B8" i="49"/>
  <c r="D12" i="52"/>
  <c r="D127" i="9"/>
  <c r="D13" i="52" s="1"/>
  <c r="AC13" i="39"/>
  <c r="E15" i="49"/>
  <c r="B9" i="49"/>
  <c r="B11" i="49"/>
  <c r="B10" i="49"/>
  <c r="B22" i="49"/>
  <c r="B16" i="49"/>
  <c r="E21" i="49"/>
  <c r="E8" i="49"/>
  <c r="E16" i="49"/>
  <c r="B6" i="49"/>
  <c r="B15" i="49"/>
  <c r="T13" i="1"/>
  <c r="AQ9" i="1"/>
  <c r="AQ13" i="1"/>
  <c r="AR10" i="1"/>
  <c r="G21" i="6"/>
  <c r="BT13" i="3"/>
  <c r="BT5" i="3" s="1"/>
  <c r="M5" i="3"/>
  <c r="F30" i="6"/>
  <c r="F20" i="6"/>
  <c r="E20" i="6" s="1"/>
  <c r="BR13" i="3"/>
  <c r="BR5" i="3" s="1"/>
  <c r="G28" i="6" s="1"/>
  <c r="G30" i="6" s="1"/>
  <c r="BB13" i="3"/>
  <c r="BB5" i="3" s="1"/>
  <c r="E5" i="6" s="1"/>
  <c r="H13" i="3"/>
  <c r="I5" i="3"/>
  <c r="F19" i="6"/>
  <c r="E19" i="6" s="1"/>
  <c r="G9" i="77"/>
  <c r="BL13" i="3"/>
  <c r="BL5" i="3" s="1"/>
  <c r="O11" i="1"/>
  <c r="P11" i="1" s="1"/>
  <c r="D7" i="12"/>
  <c r="K7" i="1"/>
  <c r="BC5" i="3"/>
  <c r="BA13" i="3"/>
  <c r="O13" i="1"/>
  <c r="P13" i="1" s="1"/>
  <c r="O9" i="1"/>
  <c r="P9" i="1" s="1"/>
  <c r="B7" i="49"/>
  <c r="C4" i="4" s="1"/>
  <c r="B4" i="62" s="1"/>
  <c r="E9" i="49"/>
  <c r="E13" i="49"/>
  <c r="B14" i="49"/>
  <c r="E4" i="49"/>
  <c r="B5" i="49"/>
  <c r="E5" i="49"/>
  <c r="E6" i="49"/>
  <c r="E11" i="49"/>
  <c r="E22" i="49"/>
  <c r="B4" i="49"/>
  <c r="E14" i="49"/>
  <c r="E10" i="49"/>
  <c r="E7" i="49"/>
  <c r="B13" i="49"/>
  <c r="E4" i="4" s="1"/>
  <c r="B5" i="62" s="1"/>
  <c r="AA42" i="21"/>
  <c r="S42" i="21"/>
  <c r="F66" i="67"/>
  <c r="B10" i="70"/>
  <c r="F69" i="67"/>
  <c r="F64" i="67"/>
  <c r="L59" i="67"/>
  <c r="N59" i="67"/>
  <c r="M59" i="67"/>
  <c r="L58" i="67"/>
  <c r="B9" i="70"/>
  <c r="B20" i="31"/>
  <c r="C6" i="67"/>
  <c r="F51" i="67"/>
  <c r="Q71" i="67"/>
  <c r="F68" i="67"/>
  <c r="B6" i="70"/>
  <c r="F70" i="67"/>
  <c r="B13" i="70"/>
  <c r="B12" i="70"/>
  <c r="F71" i="67"/>
  <c r="B11" i="70"/>
  <c r="M59" i="15"/>
  <c r="L59" i="15" s="1"/>
  <c r="L58" i="15"/>
  <c r="N59" i="15"/>
  <c r="Q71" i="15"/>
  <c r="J57" i="67"/>
  <c r="J55" i="67" s="1"/>
  <c r="J58" i="67" s="1"/>
  <c r="Q50" i="67" s="1"/>
  <c r="L56" i="67"/>
  <c r="I54" i="67"/>
  <c r="C27" i="67"/>
  <c r="F65" i="67"/>
  <c r="E20" i="43"/>
  <c r="J20" i="67"/>
  <c r="M7" i="67"/>
  <c r="J6" i="67" s="1"/>
  <c r="F50" i="67"/>
  <c r="C34" i="67"/>
  <c r="F63" i="67"/>
  <c r="C62" i="67" s="1"/>
  <c r="M59" i="81"/>
  <c r="L59" i="81" s="1"/>
  <c r="L58" i="81"/>
  <c r="N59" i="81"/>
  <c r="Q71" i="81"/>
  <c r="J60" i="81"/>
  <c r="Q48" i="81" s="1"/>
  <c r="J53" i="81"/>
  <c r="J59" i="81"/>
  <c r="L57" i="81"/>
  <c r="I54" i="81"/>
  <c r="L60" i="81"/>
  <c r="J57" i="81"/>
  <c r="J55" i="81" s="1"/>
  <c r="J58" i="81" s="1"/>
  <c r="Q50" i="81" s="1"/>
  <c r="L56" i="81"/>
  <c r="F66" i="81"/>
  <c r="F65" i="81"/>
  <c r="F64" i="81"/>
  <c r="C27" i="81"/>
  <c r="F68" i="15"/>
  <c r="F68" i="81"/>
  <c r="F51" i="81"/>
  <c r="J53" i="15"/>
  <c r="J60" i="15"/>
  <c r="Q48" i="15" s="1"/>
  <c r="J57" i="15"/>
  <c r="J55" i="15" s="1"/>
  <c r="J58" i="15" s="1"/>
  <c r="Q50" i="15" s="1"/>
  <c r="I54" i="15"/>
  <c r="L56" i="15"/>
  <c r="J59" i="15"/>
  <c r="L57" i="15"/>
  <c r="L60" i="15"/>
  <c r="F66" i="15"/>
  <c r="F65" i="15"/>
  <c r="F64" i="15"/>
  <c r="C27" i="15"/>
  <c r="I1" i="73"/>
  <c r="B39" i="1" s="1"/>
  <c r="F51" i="15"/>
  <c r="K1" i="73"/>
  <c r="C16" i="67"/>
  <c r="F7" i="15"/>
  <c r="F43" i="15"/>
  <c r="C14" i="67"/>
  <c r="M29" i="15"/>
  <c r="C17" i="67"/>
  <c r="G1" i="73"/>
  <c r="C19" i="80" l="1"/>
  <c r="D19" i="80" s="1"/>
  <c r="G11" i="77"/>
  <c r="G16" i="77" s="1"/>
  <c r="G19" i="77"/>
  <c r="C15" i="80"/>
  <c r="G18" i="77"/>
  <c r="H7" i="21"/>
  <c r="F7" i="21"/>
  <c r="F7" i="36"/>
  <c r="S7" i="36" s="1"/>
  <c r="C48" i="69"/>
  <c r="C30" i="69"/>
  <c r="C48" i="11"/>
  <c r="C30" i="11"/>
  <c r="H7" i="33"/>
  <c r="F7" i="33"/>
  <c r="E39" i="43"/>
  <c r="G39" i="43"/>
  <c r="I39" i="43" s="1"/>
  <c r="E37" i="43"/>
  <c r="G37" i="43"/>
  <c r="I37" i="43" s="1"/>
  <c r="D70" i="39"/>
  <c r="E68" i="39"/>
  <c r="E63" i="40"/>
  <c r="D65" i="40"/>
  <c r="C30" i="68"/>
  <c r="C48" i="68"/>
  <c r="G35" i="43"/>
  <c r="I35" i="43" s="1"/>
  <c r="E35" i="43"/>
  <c r="U7" i="36"/>
  <c r="AB7" i="36"/>
  <c r="T36" i="36" s="1"/>
  <c r="G36" i="36" s="1"/>
  <c r="AC7" i="21"/>
  <c r="W7" i="21"/>
  <c r="E52" i="37"/>
  <c r="E59" i="34"/>
  <c r="E48" i="35"/>
  <c r="AC7" i="36"/>
  <c r="V36" i="36" s="1"/>
  <c r="I36" i="36" s="1"/>
  <c r="W7" i="36"/>
  <c r="G34" i="43"/>
  <c r="I34" i="43" s="1"/>
  <c r="E34" i="43"/>
  <c r="G38" i="43"/>
  <c r="I38" i="43" s="1"/>
  <c r="E38" i="43"/>
  <c r="AB7" i="21"/>
  <c r="U7" i="21"/>
  <c r="AA7" i="21"/>
  <c r="S7" i="21"/>
  <c r="I52" i="33"/>
  <c r="J52" i="33" s="1"/>
  <c r="AA7" i="36"/>
  <c r="R36" i="36" s="1"/>
  <c r="E36" i="43"/>
  <c r="G36" i="43"/>
  <c r="I36" i="43" s="1"/>
  <c r="AA15" i="21"/>
  <c r="S15" i="21"/>
  <c r="B73" i="72"/>
  <c r="B71" i="72"/>
  <c r="E21" i="6"/>
  <c r="G27" i="6"/>
  <c r="G31" i="6" s="1"/>
  <c r="E28" i="6"/>
  <c r="D3" i="21"/>
  <c r="C7" i="12"/>
  <c r="E32" i="6"/>
  <c r="K6" i="1"/>
  <c r="L19" i="6"/>
  <c r="L27" i="6" s="1"/>
  <c r="G13" i="3"/>
  <c r="H5" i="3"/>
  <c r="I4" i="6"/>
  <c r="G3" i="43" s="1"/>
  <c r="D9" i="68"/>
  <c r="C9" i="68" s="1"/>
  <c r="D19" i="12"/>
  <c r="C19" i="12" s="1"/>
  <c r="D9" i="11"/>
  <c r="C9" i="11" s="1"/>
  <c r="D9" i="69"/>
  <c r="C9" i="69" s="1"/>
  <c r="C6" i="15"/>
  <c r="M7" i="15"/>
  <c r="J6" i="15" s="1"/>
  <c r="F50" i="15"/>
  <c r="C49" i="15" s="1"/>
  <c r="F71" i="15"/>
  <c r="E15" i="6"/>
  <c r="E13" i="6"/>
  <c r="E8" i="6"/>
  <c r="E12" i="6"/>
  <c r="E10" i="6"/>
  <c r="E14" i="6"/>
  <c r="E11" i="6"/>
  <c r="AZ13" i="3"/>
  <c r="AZ5" i="3" s="1"/>
  <c r="BA5" i="3"/>
  <c r="E27" i="6" s="1"/>
  <c r="M7" i="1"/>
  <c r="K4" i="4"/>
  <c r="B46" i="48" s="1"/>
  <c r="L46" i="81"/>
  <c r="B40" i="1"/>
  <c r="C15" i="67"/>
  <c r="C18" i="67"/>
  <c r="M11" i="15"/>
  <c r="F11" i="81"/>
  <c r="F11" i="15"/>
  <c r="M11" i="81"/>
  <c r="M11" i="67"/>
  <c r="J10" i="67" s="1"/>
  <c r="J5" i="67" s="1"/>
  <c r="F11" i="67"/>
  <c r="Q57" i="15"/>
  <c r="Q66" i="15"/>
  <c r="L46" i="15"/>
  <c r="Q66" i="81"/>
  <c r="Q57" i="81"/>
  <c r="F1" i="81"/>
  <c r="Q52" i="81"/>
  <c r="Q73" i="81"/>
  <c r="Q60" i="81"/>
  <c r="Q61" i="15"/>
  <c r="Q74" i="15"/>
  <c r="C49" i="67"/>
  <c r="Q74" i="67"/>
  <c r="Q61" i="67"/>
  <c r="F1" i="15"/>
  <c r="Q52" i="15"/>
  <c r="Q74" i="81"/>
  <c r="Q61" i="81"/>
  <c r="M28" i="43"/>
  <c r="O28" i="43"/>
  <c r="P28" i="43"/>
  <c r="N28" i="43"/>
  <c r="Q73" i="15"/>
  <c r="Q60" i="15"/>
  <c r="Q60" i="67"/>
  <c r="Q73" i="67"/>
  <c r="AE8" i="1"/>
  <c r="AE7" i="1"/>
  <c r="C16" i="15"/>
  <c r="E70" i="39" l="1"/>
  <c r="F68" i="39"/>
  <c r="S7" i="33"/>
  <c r="AA7" i="33"/>
  <c r="R48" i="33" s="1"/>
  <c r="F63" i="40"/>
  <c r="E65" i="40"/>
  <c r="AB7" i="33"/>
  <c r="T48" i="33" s="1"/>
  <c r="G48" i="33" s="1"/>
  <c r="U7" i="33"/>
  <c r="E36" i="36"/>
  <c r="R37" i="36"/>
  <c r="F48" i="35"/>
  <c r="G40" i="36"/>
  <c r="H40" i="36" s="1"/>
  <c r="G41" i="36"/>
  <c r="H41" i="36" s="1"/>
  <c r="I41" i="36"/>
  <c r="J41" i="36" s="1"/>
  <c r="I40" i="36"/>
  <c r="J40" i="36" s="1"/>
  <c r="F59" i="34"/>
  <c r="F52" i="37"/>
  <c r="B4" i="72"/>
  <c r="K8" i="1"/>
  <c r="E7" i="12"/>
  <c r="J10" i="15"/>
  <c r="J5" i="15" s="1"/>
  <c r="J26" i="15" s="1"/>
  <c r="K14" i="1"/>
  <c r="E30" i="6"/>
  <c r="B113" i="43"/>
  <c r="G101" i="43"/>
  <c r="J101" i="43"/>
  <c r="H22" i="43"/>
  <c r="D101" i="43"/>
  <c r="I101" i="43"/>
  <c r="G22" i="43"/>
  <c r="AJ11" i="43"/>
  <c r="AJ13" i="43" s="1"/>
  <c r="AF11" i="43"/>
  <c r="AF13" i="43" s="1"/>
  <c r="AB11" i="43"/>
  <c r="AB13" i="43" s="1"/>
  <c r="Z7" i="43"/>
  <c r="AI11" i="43"/>
  <c r="AI13" i="43" s="1"/>
  <c r="AG11" i="43"/>
  <c r="AG13" i="43" s="1"/>
  <c r="AE11" i="43"/>
  <c r="AE13" i="43" s="1"/>
  <c r="AC11" i="43"/>
  <c r="AC13" i="43" s="1"/>
  <c r="AA11" i="43"/>
  <c r="AA13" i="43" s="1"/>
  <c r="Y11" i="43"/>
  <c r="Y13" i="43" s="1"/>
  <c r="F22" i="43"/>
  <c r="K101" i="43"/>
  <c r="F101" i="43"/>
  <c r="N101" i="43"/>
  <c r="E22" i="43"/>
  <c r="C101" i="43"/>
  <c r="N104" i="46"/>
  <c r="L101" i="43"/>
  <c r="H101" i="43"/>
  <c r="M101" i="43"/>
  <c r="E101" i="43"/>
  <c r="S2" i="43"/>
  <c r="T2" i="43" s="1"/>
  <c r="V2" i="43" s="1"/>
  <c r="AH11" i="43"/>
  <c r="AH13" i="43" s="1"/>
  <c r="AD11" i="43"/>
  <c r="AD13" i="43" s="1"/>
  <c r="Z11" i="43"/>
  <c r="Z13" i="43" s="1"/>
  <c r="S5" i="43"/>
  <c r="T5" i="43" s="1"/>
  <c r="V5" i="43" s="1"/>
  <c r="C23" i="43"/>
  <c r="C21" i="43" s="1"/>
  <c r="S3" i="43"/>
  <c r="T3" i="43" s="1"/>
  <c r="V3" i="43" s="1"/>
  <c r="J22" i="43"/>
  <c r="S6" i="43"/>
  <c r="T6" i="43" s="1"/>
  <c r="V6" i="43" s="1"/>
  <c r="S4" i="43"/>
  <c r="T4" i="43" s="1"/>
  <c r="V4" i="43" s="1"/>
  <c r="S7" i="43"/>
  <c r="T7" i="43" s="1"/>
  <c r="V7" i="43" s="1"/>
  <c r="G5" i="3"/>
  <c r="B3" i="3" s="1"/>
  <c r="AY6" i="3" s="1"/>
  <c r="M6" i="1"/>
  <c r="O6" i="1" s="1"/>
  <c r="P6" i="1" s="1"/>
  <c r="C13" i="12" s="1"/>
  <c r="AP6" i="1"/>
  <c r="C36" i="69" s="1"/>
  <c r="K21" i="6"/>
  <c r="E31" i="6"/>
  <c r="K22" i="6"/>
  <c r="M22" i="6" s="1"/>
  <c r="I22" i="6" s="1"/>
  <c r="S22" i="6" s="1"/>
  <c r="K25" i="6"/>
  <c r="M25" i="6" s="1"/>
  <c r="I25" i="6" s="1"/>
  <c r="S25" i="6" s="1"/>
  <c r="K23" i="6"/>
  <c r="M23" i="6" s="1"/>
  <c r="I23" i="6" s="1"/>
  <c r="S23" i="6" s="1"/>
  <c r="K24" i="6"/>
  <c r="M24" i="6" s="1"/>
  <c r="I24" i="6" s="1"/>
  <c r="S24" i="6" s="1"/>
  <c r="K26" i="6"/>
  <c r="M26" i="6" s="1"/>
  <c r="I26" i="6" s="1"/>
  <c r="S26" i="6" s="1"/>
  <c r="K19" i="6"/>
  <c r="K20" i="6"/>
  <c r="E61" i="39"/>
  <c r="E56" i="40"/>
  <c r="E56" i="39"/>
  <c r="F27" i="6"/>
  <c r="F31" i="6" s="1"/>
  <c r="E16" i="6"/>
  <c r="E51" i="40"/>
  <c r="E60" i="40"/>
  <c r="E65" i="39"/>
  <c r="O7" i="1"/>
  <c r="E3" i="6"/>
  <c r="E64" i="39"/>
  <c r="E59" i="40"/>
  <c r="E62" i="39"/>
  <c r="E57" i="40"/>
  <c r="E58" i="40"/>
  <c r="E63" i="39"/>
  <c r="C19" i="67"/>
  <c r="C20" i="67" s="1"/>
  <c r="C26" i="67" s="1"/>
  <c r="J26" i="67"/>
  <c r="J29" i="67" s="1"/>
  <c r="J18" i="67"/>
  <c r="J24" i="67"/>
  <c r="C53" i="67"/>
  <c r="C48" i="67" s="1"/>
  <c r="C10" i="67"/>
  <c r="C5" i="67" s="1"/>
  <c r="F24" i="81"/>
  <c r="C24" i="81" s="1"/>
  <c r="F22" i="68"/>
  <c r="F24" i="15"/>
  <c r="C24" i="15" s="1"/>
  <c r="F25" i="12"/>
  <c r="C26" i="12" s="1"/>
  <c r="D25" i="12" s="1"/>
  <c r="F22" i="69"/>
  <c r="F24" i="67"/>
  <c r="C24" i="67" s="1"/>
  <c r="F22" i="11"/>
  <c r="C10" i="15"/>
  <c r="C5" i="15" s="1"/>
  <c r="C53" i="15"/>
  <c r="C48" i="15" s="1"/>
  <c r="C10" i="81"/>
  <c r="C53" i="81"/>
  <c r="F7" i="81"/>
  <c r="M29" i="81"/>
  <c r="F43" i="81"/>
  <c r="F41" i="15"/>
  <c r="F41" i="81"/>
  <c r="F50" i="81" l="1"/>
  <c r="C49" i="81" s="1"/>
  <c r="C48" i="81" s="1"/>
  <c r="M7" i="81"/>
  <c r="J6" i="81" s="1"/>
  <c r="J10" i="81" s="1"/>
  <c r="J5" i="81" s="1"/>
  <c r="C6" i="81"/>
  <c r="C5" i="81" s="1"/>
  <c r="F65" i="40"/>
  <c r="G63" i="40"/>
  <c r="G52" i="33"/>
  <c r="H52" i="33" s="1"/>
  <c r="G53" i="33"/>
  <c r="H53" i="33" s="1"/>
  <c r="R49" i="33"/>
  <c r="E48" i="33"/>
  <c r="F70" i="39"/>
  <c r="G68" i="39"/>
  <c r="G52" i="37"/>
  <c r="G59" i="34"/>
  <c r="C36" i="36"/>
  <c r="C37" i="36"/>
  <c r="B2" i="36" s="1"/>
  <c r="B3" i="36" s="1"/>
  <c r="G48" i="35"/>
  <c r="E40" i="36"/>
  <c r="F40" i="36" s="1"/>
  <c r="E41" i="36"/>
  <c r="F41" i="36" s="1"/>
  <c r="J18" i="15"/>
  <c r="F71" i="81"/>
  <c r="M8" i="1"/>
  <c r="G16" i="1"/>
  <c r="H16" i="1"/>
  <c r="Q16" i="1"/>
  <c r="J24" i="15"/>
  <c r="M14" i="1"/>
  <c r="C34" i="69"/>
  <c r="K16" i="1"/>
  <c r="G105" i="43"/>
  <c r="G103" i="43"/>
  <c r="G109" i="43"/>
  <c r="G102" i="43"/>
  <c r="G107" i="43"/>
  <c r="G104" i="43"/>
  <c r="G106" i="43"/>
  <c r="E53" i="3"/>
  <c r="E125" i="3"/>
  <c r="E175" i="3"/>
  <c r="E217" i="3"/>
  <c r="E319" i="3"/>
  <c r="E366" i="3"/>
  <c r="E530" i="3"/>
  <c r="E526" i="3"/>
  <c r="E501" i="3"/>
  <c r="E553" i="3"/>
  <c r="E343" i="3"/>
  <c r="E268" i="3"/>
  <c r="E153" i="3"/>
  <c r="E282" i="3"/>
  <c r="E305" i="3"/>
  <c r="E322" i="3"/>
  <c r="E426" i="3"/>
  <c r="N6" i="3"/>
  <c r="E508" i="3"/>
  <c r="E69" i="3"/>
  <c r="E114" i="3"/>
  <c r="E278" i="3"/>
  <c r="E415" i="3"/>
  <c r="E563" i="3"/>
  <c r="E395" i="3"/>
  <c r="E172" i="3"/>
  <c r="E260" i="3"/>
  <c r="E445" i="3"/>
  <c r="E550"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237" i="3"/>
  <c r="E261" i="3"/>
  <c r="E304" i="3"/>
  <c r="E528" i="3"/>
  <c r="E565" i="3"/>
  <c r="E183" i="3"/>
  <c r="E213" i="3"/>
  <c r="E361" i="3"/>
  <c r="E17"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51" i="3"/>
  <c r="E490" i="3"/>
  <c r="E360" i="3"/>
  <c r="E376" i="3"/>
  <c r="E556" i="3"/>
  <c r="AH6" i="3"/>
  <c r="E497" i="3"/>
  <c r="J6" i="3"/>
  <c r="E498" i="3"/>
  <c r="E494" i="3"/>
  <c r="E419" i="3"/>
  <c r="E452" i="3"/>
  <c r="E483" i="3"/>
  <c r="E470" i="3"/>
  <c r="E401" i="3"/>
  <c r="E420" i="3"/>
  <c r="E463" i="3"/>
  <c r="E26" i="3"/>
  <c r="E40" i="3"/>
  <c r="E104" i="3"/>
  <c r="E25" i="3"/>
  <c r="E108" i="3"/>
  <c r="E115" i="3"/>
  <c r="E178" i="3"/>
  <c r="E119" i="3"/>
  <c r="E202" i="3"/>
  <c r="E242" i="3"/>
  <c r="E226" i="3"/>
  <c r="E276" i="3"/>
  <c r="E346" i="3"/>
  <c r="E333" i="3"/>
  <c r="E372" i="3"/>
  <c r="L6" i="3"/>
  <c r="E6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40" i="3"/>
  <c r="E41" i="3"/>
  <c r="E198" i="3"/>
  <c r="E139" i="3"/>
  <c r="E225" i="3"/>
  <c r="E281" i="3"/>
  <c r="E243" i="3"/>
  <c r="E332" i="3"/>
  <c r="E391" i="3"/>
  <c r="E356" i="3"/>
  <c r="AL6" i="3"/>
  <c r="E42" i="3"/>
  <c r="E94" i="3"/>
  <c r="E488" i="3"/>
  <c r="E482"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3" i="3"/>
  <c r="E428" i="3"/>
  <c r="E412"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I6" i="3"/>
  <c r="C29" i="43"/>
  <c r="E104" i="43"/>
  <c r="E102" i="43"/>
  <c r="E106" i="43"/>
  <c r="E103" i="43"/>
  <c r="E107" i="43"/>
  <c r="E105" i="43"/>
  <c r="E109" i="43"/>
  <c r="H102" i="43"/>
  <c r="H103" i="43"/>
  <c r="H106" i="43"/>
  <c r="H105" i="43"/>
  <c r="H109" i="43"/>
  <c r="H107" i="43"/>
  <c r="H104" i="43"/>
  <c r="D22" i="43"/>
  <c r="F104" i="43"/>
  <c r="F107" i="43"/>
  <c r="F106" i="43"/>
  <c r="F103" i="43"/>
  <c r="F102" i="43"/>
  <c r="F105" i="43"/>
  <c r="F109" i="43"/>
  <c r="I109" i="43"/>
  <c r="I104" i="43"/>
  <c r="I107" i="43"/>
  <c r="I105" i="43"/>
  <c r="I106" i="43"/>
  <c r="I102" i="43"/>
  <c r="I103" i="43"/>
  <c r="E13" i="3"/>
  <c r="M109" i="43"/>
  <c r="M102" i="43"/>
  <c r="M106" i="43"/>
  <c r="M103" i="43"/>
  <c r="M104" i="43"/>
  <c r="M105" i="43"/>
  <c r="M107" i="43"/>
  <c r="L109" i="43"/>
  <c r="L106" i="43"/>
  <c r="L107" i="43"/>
  <c r="L103" i="43"/>
  <c r="L105" i="43"/>
  <c r="L102" i="43"/>
  <c r="L104" i="43"/>
  <c r="C104" i="43"/>
  <c r="C106" i="43"/>
  <c r="C105" i="43"/>
  <c r="C102" i="43"/>
  <c r="C109" i="43"/>
  <c r="C107" i="43"/>
  <c r="C103" i="43"/>
  <c r="N102" i="43"/>
  <c r="N103" i="43"/>
  <c r="N106" i="43"/>
  <c r="N107" i="43"/>
  <c r="N105" i="43"/>
  <c r="N104" i="43"/>
  <c r="N109" i="43"/>
  <c r="K103" i="43"/>
  <c r="K107" i="43"/>
  <c r="K104" i="43"/>
  <c r="K106" i="43"/>
  <c r="K102" i="43"/>
  <c r="K105" i="43"/>
  <c r="K109" i="43"/>
  <c r="D109" i="43"/>
  <c r="D105" i="43"/>
  <c r="D106" i="43"/>
  <c r="D102" i="43"/>
  <c r="D103" i="43"/>
  <c r="D107" i="43"/>
  <c r="D104" i="43"/>
  <c r="J104" i="43"/>
  <c r="J105" i="43"/>
  <c r="J103" i="43"/>
  <c r="J106" i="43"/>
  <c r="J107" i="43"/>
  <c r="J102" i="43"/>
  <c r="J109" i="43"/>
  <c r="B115"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I115" i="43"/>
  <c r="J115" i="43" s="1"/>
  <c r="K115" i="43" s="1"/>
  <c r="L115" i="43" s="1"/>
  <c r="M115" i="43" s="1"/>
  <c r="D118" i="43"/>
  <c r="E118" i="43" s="1"/>
  <c r="F118" i="43" s="1"/>
  <c r="G118" i="43"/>
  <c r="H118" i="43" s="1"/>
  <c r="B118" i="43"/>
  <c r="C118" i="43" s="1"/>
  <c r="B117" i="43"/>
  <c r="C117" i="43" s="1"/>
  <c r="D115" i="43"/>
  <c r="E115" i="43" s="1"/>
  <c r="F115" i="43" s="1"/>
  <c r="G115" i="43" s="1"/>
  <c r="H115" i="43"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83" i="3"/>
  <c r="AY66" i="3"/>
  <c r="AY23" i="3"/>
  <c r="AY176" i="3"/>
  <c r="AY155" i="3"/>
  <c r="AY115" i="3"/>
  <c r="AY59" i="3"/>
  <c r="AY188" i="3"/>
  <c r="AY131" i="3"/>
  <c r="AY276" i="3"/>
  <c r="AY58" i="3"/>
  <c r="AY297" i="3"/>
  <c r="AY268" i="3"/>
  <c r="AY225" i="3"/>
  <c r="AY371" i="3"/>
  <c r="AY335" i="3"/>
  <c r="AY318"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51" i="3"/>
  <c r="AY207" i="3"/>
  <c r="AY124" i="3"/>
  <c r="AY42" i="3"/>
  <c r="AY281" i="3"/>
  <c r="AY168" i="3"/>
  <c r="AY236" i="3"/>
  <c r="AY366"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34" i="3"/>
  <c r="AY95" i="3"/>
  <c r="AY111" i="3"/>
  <c r="AY382"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144" i="3"/>
  <c r="AY152" i="3"/>
  <c r="AY253" i="3"/>
  <c r="AY303"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7" i="1"/>
  <c r="E66" i="39"/>
  <c r="S6" i="1"/>
  <c r="M19" i="6"/>
  <c r="K27" i="6"/>
  <c r="E6" i="6"/>
  <c r="C33" i="21"/>
  <c r="D14" i="12"/>
  <c r="D17" i="12" s="1"/>
  <c r="C17" i="12" s="1"/>
  <c r="M18" i="9"/>
  <c r="B118" i="9" s="1"/>
  <c r="B14" i="74" s="1"/>
  <c r="D3" i="34"/>
  <c r="C17" i="4"/>
  <c r="B4" i="52" s="1"/>
  <c r="B43" i="72" s="1"/>
  <c r="L18" i="9"/>
  <c r="D3" i="33"/>
  <c r="D19" i="11"/>
  <c r="C19" i="11" s="1"/>
  <c r="D3" i="37"/>
  <c r="D37" i="11"/>
  <c r="M20" i="6"/>
  <c r="I20" i="6" s="1"/>
  <c r="S20" i="6" s="1"/>
  <c r="S7" i="1"/>
  <c r="M21" i="6"/>
  <c r="I21" i="6" s="1"/>
  <c r="S21" i="6" s="1"/>
  <c r="S8" i="1"/>
  <c r="F69" i="15"/>
  <c r="F69" i="81"/>
  <c r="J29" i="15"/>
  <c r="C66" i="15"/>
  <c r="C60" i="15"/>
  <c r="C60" i="67"/>
  <c r="C66" i="67"/>
  <c r="C26" i="68"/>
  <c r="D22" i="68" s="1"/>
  <c r="C44" i="68"/>
  <c r="D41" i="68" s="1"/>
  <c r="C24" i="68"/>
  <c r="C23" i="67"/>
  <c r="C29" i="67" s="1"/>
  <c r="C32" i="15"/>
  <c r="C33" i="15"/>
  <c r="C38" i="15"/>
  <c r="C26" i="11"/>
  <c r="D22" i="11" s="1"/>
  <c r="C24" i="11"/>
  <c r="C44" i="11"/>
  <c r="D41" i="11" s="1"/>
  <c r="C23" i="11"/>
  <c r="C44" i="69"/>
  <c r="D41" i="69" s="1"/>
  <c r="C26" i="69"/>
  <c r="D22" i="69" s="1"/>
  <c r="C32" i="67"/>
  <c r="C38" i="67"/>
  <c r="C17" i="15"/>
  <c r="C17" i="81"/>
  <c r="C16" i="81"/>
  <c r="C32" i="81" l="1"/>
  <c r="C38" i="81"/>
  <c r="C33" i="81"/>
  <c r="C60" i="81"/>
  <c r="C66" i="81"/>
  <c r="G70" i="39"/>
  <c r="H68" i="39"/>
  <c r="C48" i="33"/>
  <c r="C49" i="33"/>
  <c r="B2" i="33" s="1"/>
  <c r="B3" i="33" s="1"/>
  <c r="G65" i="40"/>
  <c r="H63" i="40"/>
  <c r="J26" i="81"/>
  <c r="J29" i="81" s="1"/>
  <c r="J24" i="81"/>
  <c r="J18" i="81"/>
  <c r="E53" i="33"/>
  <c r="F53" i="33" s="1"/>
  <c r="E52" i="33"/>
  <c r="F52" i="33" s="1"/>
  <c r="I53" i="33"/>
  <c r="J53" i="33" s="1"/>
  <c r="H59" i="34"/>
  <c r="H52" i="37"/>
  <c r="H48" i="35"/>
  <c r="O8" i="1"/>
  <c r="P8" i="1" s="1"/>
  <c r="F27" i="11"/>
  <c r="F27" i="69"/>
  <c r="F28" i="12"/>
  <c r="C29" i="12" s="1"/>
  <c r="D28" i="12" s="1"/>
  <c r="F27" i="68"/>
  <c r="H10" i="40"/>
  <c r="J10" i="40"/>
  <c r="J10" i="39"/>
  <c r="F10" i="39"/>
  <c r="F10" i="40"/>
  <c r="H10" i="39"/>
  <c r="H6" i="3"/>
  <c r="O14" i="1"/>
  <c r="M16" i="1"/>
  <c r="C35" i="69"/>
  <c r="C38" i="69"/>
  <c r="AC6" i="3"/>
  <c r="C115" i="43"/>
  <c r="D113" i="43" s="1"/>
  <c r="E29" i="43"/>
  <c r="C26" i="43" s="1"/>
  <c r="C30" i="43"/>
  <c r="E30" i="43" s="1"/>
  <c r="C27" i="43" s="1"/>
  <c r="E8" i="70"/>
  <c r="T8" i="1"/>
  <c r="AR8" i="1"/>
  <c r="AQ8" i="1"/>
  <c r="T7" i="1"/>
  <c r="AQ7" i="1"/>
  <c r="AR7" i="1"/>
  <c r="E7" i="70"/>
  <c r="H33" i="21"/>
  <c r="F33" i="21"/>
  <c r="J33" i="21"/>
  <c r="M27" i="6"/>
  <c r="I19" i="6"/>
  <c r="C20" i="11"/>
  <c r="C25" i="11" s="1"/>
  <c r="C22" i="11" s="1"/>
  <c r="D10" i="68"/>
  <c r="D20" i="12"/>
  <c r="C20" i="12" s="1"/>
  <c r="C18" i="12" s="1"/>
  <c r="D10" i="69"/>
  <c r="D10" i="11"/>
  <c r="C10" i="11" s="1"/>
  <c r="T6" i="1"/>
  <c r="AQ6" i="1"/>
  <c r="S16" i="1"/>
  <c r="AR6" i="1"/>
  <c r="C38" i="39"/>
  <c r="D20" i="6"/>
  <c r="H20" i="6"/>
  <c r="H21" i="6"/>
  <c r="D19" i="6"/>
  <c r="D23" i="6"/>
  <c r="D25" i="6"/>
  <c r="D29" i="6"/>
  <c r="M19" i="9"/>
  <c r="C118" i="9" s="1"/>
  <c r="C14" i="74" s="1"/>
  <c r="D21" i="6"/>
  <c r="R21" i="6" s="1"/>
  <c r="R8" i="1" s="1"/>
  <c r="D22" i="6"/>
  <c r="D24" i="6"/>
  <c r="D26" i="6"/>
  <c r="D28" i="6"/>
  <c r="D30" i="6" s="1"/>
  <c r="C18" i="4"/>
  <c r="D14" i="6"/>
  <c r="D6" i="6"/>
  <c r="D9" i="6"/>
  <c r="D10" i="6"/>
  <c r="L19" i="9"/>
  <c r="H25" i="6"/>
  <c r="H22" i="6"/>
  <c r="H26" i="6"/>
  <c r="D15" i="6"/>
  <c r="D8" i="6"/>
  <c r="D5" i="6"/>
  <c r="D12" i="6"/>
  <c r="D11" i="6"/>
  <c r="D13" i="6"/>
  <c r="E61" i="40"/>
  <c r="H23" i="6"/>
  <c r="H24" i="6"/>
  <c r="H19" i="6"/>
  <c r="C33" i="67"/>
  <c r="C31" i="67" s="1"/>
  <c r="J14" i="67"/>
  <c r="C13" i="67"/>
  <c r="C36" i="67"/>
  <c r="C57" i="67"/>
  <c r="J19" i="67"/>
  <c r="J17" i="67" s="1"/>
  <c r="Q49" i="67"/>
  <c r="J59" i="67"/>
  <c r="J60" i="67" s="1"/>
  <c r="F35" i="81"/>
  <c r="C14" i="15"/>
  <c r="E6" i="76"/>
  <c r="C14" i="81"/>
  <c r="M21" i="81"/>
  <c r="B15" i="74" l="1"/>
  <c r="B1" i="74" s="1"/>
  <c r="H65" i="40"/>
  <c r="I63" i="40"/>
  <c r="H70" i="39"/>
  <c r="I68" i="39"/>
  <c r="I48" i="35"/>
  <c r="I52" i="37"/>
  <c r="I59" i="34"/>
  <c r="S10" i="40"/>
  <c r="AA10" i="40"/>
  <c r="AC10" i="39"/>
  <c r="W10" i="39"/>
  <c r="U10" i="40"/>
  <c r="AB10" i="40"/>
  <c r="C47" i="11"/>
  <c r="D45" i="11" s="1"/>
  <c r="C29" i="11"/>
  <c r="D27" i="11" s="1"/>
  <c r="AB10" i="39"/>
  <c r="U10" i="39"/>
  <c r="AA10" i="39"/>
  <c r="S10" i="39"/>
  <c r="AC10" i="40"/>
  <c r="W10" i="40"/>
  <c r="C47" i="68"/>
  <c r="D45" i="68" s="1"/>
  <c r="C29" i="68"/>
  <c r="D27" i="68" s="1"/>
  <c r="C29" i="69"/>
  <c r="D27" i="69" s="1"/>
  <c r="C47" i="69"/>
  <c r="D45" i="69" s="1"/>
  <c r="T16" i="1"/>
  <c r="E6" i="3"/>
  <c r="R20" i="6"/>
  <c r="R7" i="1" s="1"/>
  <c r="C28" i="11"/>
  <c r="C27" i="11" s="1"/>
  <c r="C31" i="11" s="1"/>
  <c r="P14" i="1"/>
  <c r="P16" i="1" s="1"/>
  <c r="C11" i="12" s="1"/>
  <c r="O16" i="1"/>
  <c r="L16" i="1"/>
  <c r="N16" i="1"/>
  <c r="E2" i="76"/>
  <c r="H27" i="6"/>
  <c r="R24" i="6"/>
  <c r="B2" i="43"/>
  <c r="C15" i="81"/>
  <c r="C18" i="81"/>
  <c r="J20" i="81"/>
  <c r="F63" i="81"/>
  <c r="C62" i="81" s="1"/>
  <c r="C34" i="81"/>
  <c r="C31" i="81" s="1"/>
  <c r="C18" i="15"/>
  <c r="C15" i="15"/>
  <c r="D16" i="6"/>
  <c r="A7" i="51"/>
  <c r="B7" i="72" s="1"/>
  <c r="C4" i="52"/>
  <c r="B45" i="72" s="1"/>
  <c r="A10" i="51"/>
  <c r="B9" i="72" s="1"/>
  <c r="R26" i="6"/>
  <c r="R22" i="6"/>
  <c r="R25" i="6"/>
  <c r="D27" i="6"/>
  <c r="D31" i="6" s="1"/>
  <c r="R19" i="6"/>
  <c r="J38" i="39"/>
  <c r="H38" i="39"/>
  <c r="F38" i="39"/>
  <c r="C10" i="69"/>
  <c r="C8" i="69" s="1"/>
  <c r="C5" i="69" s="1"/>
  <c r="D19" i="69"/>
  <c r="C10" i="68"/>
  <c r="D19" i="68"/>
  <c r="D37" i="68" s="1"/>
  <c r="AA33" i="21"/>
  <c r="S33" i="21"/>
  <c r="E2" i="70"/>
  <c r="R23" i="6"/>
  <c r="S19" i="6"/>
  <c r="S27" i="6" s="1"/>
  <c r="I27" i="6"/>
  <c r="AC33" i="21"/>
  <c r="W33" i="21"/>
  <c r="AB33" i="21"/>
  <c r="U33" i="21"/>
  <c r="Q48" i="67"/>
  <c r="L46" i="67"/>
  <c r="C61" i="67"/>
  <c r="C59" i="67" s="1"/>
  <c r="C64" i="67"/>
  <c r="C37" i="67"/>
  <c r="C30" i="67" s="1"/>
  <c r="C39" i="67" s="1"/>
  <c r="C56" i="67"/>
  <c r="C65" i="67" s="1"/>
  <c r="C75" i="67"/>
  <c r="Q70" i="67"/>
  <c r="J13" i="67"/>
  <c r="J23" i="67" s="1"/>
  <c r="J22" i="67"/>
  <c r="F35" i="15"/>
  <c r="M21" i="15"/>
  <c r="B6" i="76"/>
  <c r="C8" i="74" l="1"/>
  <c r="C7" i="74"/>
  <c r="C15" i="74"/>
  <c r="B2" i="74" s="1"/>
  <c r="I70" i="39"/>
  <c r="J68" i="39"/>
  <c r="I65" i="40"/>
  <c r="J63" i="40"/>
  <c r="J59" i="34"/>
  <c r="J52" i="37"/>
  <c r="J48" i="35"/>
  <c r="J20" i="15"/>
  <c r="C34" i="15"/>
  <c r="C31" i="15" s="1"/>
  <c r="F63" i="15"/>
  <c r="C62" i="15" s="1"/>
  <c r="F34" i="11"/>
  <c r="F34" i="68"/>
  <c r="F11" i="12"/>
  <c r="C14" i="12" s="1"/>
  <c r="C12" i="12"/>
  <c r="C15" i="12"/>
  <c r="C19" i="81"/>
  <c r="C20" i="81" s="1"/>
  <c r="C26" i="81" s="1"/>
  <c r="B2" i="76"/>
  <c r="B3" i="76" s="1"/>
  <c r="C19" i="15"/>
  <c r="C20" i="15" s="1"/>
  <c r="B3" i="43"/>
  <c r="C19" i="69"/>
  <c r="C24" i="69" s="1"/>
  <c r="D37" i="69"/>
  <c r="C37" i="69" s="1"/>
  <c r="C33" i="69" s="1"/>
  <c r="W38" i="39"/>
  <c r="AC38" i="39"/>
  <c r="I5" i="6"/>
  <c r="I6" i="6"/>
  <c r="C23" i="69"/>
  <c r="AB38" i="39"/>
  <c r="U38" i="39"/>
  <c r="R6" i="1"/>
  <c r="R16" i="1" s="1"/>
  <c r="R27" i="6"/>
  <c r="AA38" i="39"/>
  <c r="S38" i="39"/>
  <c r="J16" i="67"/>
  <c r="J25" i="67" s="1"/>
  <c r="C58" i="67"/>
  <c r="C67" i="67" s="1"/>
  <c r="C68" i="67" s="1"/>
  <c r="C71" i="67" s="1"/>
  <c r="Q69" i="67"/>
  <c r="Q68" i="67" s="1"/>
  <c r="C40" i="67"/>
  <c r="C80" i="67"/>
  <c r="C79" i="67" s="1"/>
  <c r="L51" i="67"/>
  <c r="D7" i="74" l="1"/>
  <c r="D8" i="74"/>
  <c r="J65" i="40"/>
  <c r="K63" i="40"/>
  <c r="J70" i="39"/>
  <c r="K68" i="39"/>
  <c r="K48" i="35"/>
  <c r="K52" i="37"/>
  <c r="K59" i="34"/>
  <c r="C20" i="69"/>
  <c r="C25" i="69" s="1"/>
  <c r="C22" i="69" s="1"/>
  <c r="C16" i="12"/>
  <c r="C21" i="12" s="1"/>
  <c r="C22" i="12" s="1"/>
  <c r="C34" i="68"/>
  <c r="C36" i="68"/>
  <c r="C37" i="68"/>
  <c r="C36" i="11"/>
  <c r="C37" i="11"/>
  <c r="C34" i="11"/>
  <c r="C23" i="15"/>
  <c r="C26" i="15"/>
  <c r="C11" i="21"/>
  <c r="C39" i="69"/>
  <c r="C42" i="69"/>
  <c r="C23" i="81"/>
  <c r="C29" i="81" s="1"/>
  <c r="C45" i="67"/>
  <c r="C46" i="67" s="1"/>
  <c r="Q67" i="67"/>
  <c r="L57" i="67"/>
  <c r="L60" i="67" s="1"/>
  <c r="Q47" i="67"/>
  <c r="Q53" i="67" s="1"/>
  <c r="Q65" i="67"/>
  <c r="D2" i="67"/>
  <c r="Q56" i="67"/>
  <c r="C43" i="67"/>
  <c r="C83" i="67"/>
  <c r="C82" i="67" s="1"/>
  <c r="K70" i="39" l="1"/>
  <c r="L68" i="39"/>
  <c r="K65" i="40"/>
  <c r="L63" i="40"/>
  <c r="L59" i="34"/>
  <c r="L52" i="37"/>
  <c r="L48" i="35"/>
  <c r="M48" i="35" s="1"/>
  <c r="N48" i="35" s="1"/>
  <c r="O48" i="35" s="1"/>
  <c r="J7" i="35" s="1"/>
  <c r="C28" i="69"/>
  <c r="C27" i="69" s="1"/>
  <c r="C31" i="69" s="1"/>
  <c r="C29" i="15"/>
  <c r="J14" i="15" s="1"/>
  <c r="C35" i="11"/>
  <c r="C38" i="11"/>
  <c r="C38" i="68"/>
  <c r="C35" i="68"/>
  <c r="C36" i="81"/>
  <c r="C13" i="81"/>
  <c r="J14" i="81"/>
  <c r="C57" i="81"/>
  <c r="J19" i="81"/>
  <c r="J17" i="81" s="1"/>
  <c r="Q49" i="81"/>
  <c r="C46" i="69"/>
  <c r="C45" i="69" s="1"/>
  <c r="C43" i="69"/>
  <c r="C41" i="69" s="1"/>
  <c r="F11" i="21"/>
  <c r="H11" i="21"/>
  <c r="J11" i="21"/>
  <c r="C13" i="15"/>
  <c r="Q66" i="67"/>
  <c r="Q75" i="67" s="1"/>
  <c r="Q57" i="67"/>
  <c r="Q62" i="67" s="1"/>
  <c r="B2" i="67"/>
  <c r="B3" i="67"/>
  <c r="L65" i="40" l="1"/>
  <c r="M63" i="40"/>
  <c r="L70" i="39"/>
  <c r="M68" i="39"/>
  <c r="F7" i="35"/>
  <c r="M52" i="37"/>
  <c r="N52" i="37" s="1"/>
  <c r="O52" i="37" s="1"/>
  <c r="H7" i="37"/>
  <c r="M59" i="34"/>
  <c r="N59" i="34" s="1"/>
  <c r="O59" i="34" s="1"/>
  <c r="J7" i="34" s="1"/>
  <c r="H7" i="34"/>
  <c r="F7" i="34"/>
  <c r="W7" i="35"/>
  <c r="AC7" i="35"/>
  <c r="V38" i="35" s="1"/>
  <c r="I38" i="35" s="1"/>
  <c r="H7" i="35"/>
  <c r="C33" i="11"/>
  <c r="C39" i="11" s="1"/>
  <c r="C57" i="15"/>
  <c r="C61" i="15" s="1"/>
  <c r="C59" i="15" s="1"/>
  <c r="C36" i="15"/>
  <c r="J19" i="15"/>
  <c r="J17" i="15" s="1"/>
  <c r="Q49" i="15"/>
  <c r="C49" i="69"/>
  <c r="C51" i="69" s="1"/>
  <c r="C52" i="69" s="1"/>
  <c r="B2" i="69" s="1"/>
  <c r="B3" i="69" s="1"/>
  <c r="C33" i="68"/>
  <c r="C39" i="68" s="1"/>
  <c r="C43" i="68" s="1"/>
  <c r="J22" i="15"/>
  <c r="J13" i="15"/>
  <c r="J23" i="15" s="1"/>
  <c r="J13" i="81"/>
  <c r="J23" i="81" s="1"/>
  <c r="J22" i="81"/>
  <c r="C64" i="15"/>
  <c r="C37" i="15"/>
  <c r="C56" i="15"/>
  <c r="C65" i="15" s="1"/>
  <c r="Q70" i="15"/>
  <c r="C75" i="15"/>
  <c r="AC11" i="21"/>
  <c r="V48" i="21" s="1"/>
  <c r="I48" i="21" s="1"/>
  <c r="W11" i="21"/>
  <c r="AA11" i="21"/>
  <c r="R48" i="21" s="1"/>
  <c r="S11" i="21"/>
  <c r="C64" i="81"/>
  <c r="C61" i="81"/>
  <c r="C59" i="81" s="1"/>
  <c r="C56" i="81"/>
  <c r="C65" i="81" s="1"/>
  <c r="C37" i="81"/>
  <c r="C30" i="81" s="1"/>
  <c r="C39" i="81" s="1"/>
  <c r="Q70" i="81"/>
  <c r="C75" i="81"/>
  <c r="U11" i="21"/>
  <c r="AB11" i="21"/>
  <c r="T48" i="21" s="1"/>
  <c r="G48" i="21" s="1"/>
  <c r="L51" i="81"/>
  <c r="M70" i="39" l="1"/>
  <c r="N68" i="39"/>
  <c r="M65" i="40"/>
  <c r="N63" i="40"/>
  <c r="I42" i="35"/>
  <c r="J42" i="35" s="1"/>
  <c r="S7" i="34"/>
  <c r="AA7" i="34"/>
  <c r="R49" i="34" s="1"/>
  <c r="AC7" i="34"/>
  <c r="V49" i="34" s="1"/>
  <c r="I49" i="34" s="1"/>
  <c r="W7" i="34"/>
  <c r="J7" i="37"/>
  <c r="F7" i="37"/>
  <c r="U7" i="35"/>
  <c r="AB7" i="35"/>
  <c r="T38" i="35" s="1"/>
  <c r="G38" i="35" s="1"/>
  <c r="U7" i="34"/>
  <c r="AB7" i="34"/>
  <c r="T49" i="34" s="1"/>
  <c r="G49" i="34" s="1"/>
  <c r="U7" i="37"/>
  <c r="AB7" i="37"/>
  <c r="T42" i="37" s="1"/>
  <c r="G42" i="37" s="1"/>
  <c r="S7" i="35"/>
  <c r="AA7" i="35"/>
  <c r="R38" i="35" s="1"/>
  <c r="C42" i="11"/>
  <c r="C30" i="15"/>
  <c r="C39" i="15" s="1"/>
  <c r="C80" i="15" s="1"/>
  <c r="C79" i="15" s="1"/>
  <c r="C42" i="68"/>
  <c r="C41" i="68" s="1"/>
  <c r="C46" i="68"/>
  <c r="C45" i="68" s="1"/>
  <c r="C43" i="11"/>
  <c r="C41" i="11" s="1"/>
  <c r="C46" i="11"/>
  <c r="C45" i="11" s="1"/>
  <c r="J16" i="15"/>
  <c r="J25" i="15" s="1"/>
  <c r="C57" i="69"/>
  <c r="C56" i="69" s="1"/>
  <c r="Q67" i="81"/>
  <c r="I52" i="21"/>
  <c r="J52" i="21" s="1"/>
  <c r="C58" i="15"/>
  <c r="C67" i="15" s="1"/>
  <c r="C68" i="15" s="1"/>
  <c r="Q69" i="81"/>
  <c r="Q68" i="81" s="1"/>
  <c r="C40" i="81"/>
  <c r="G53" i="21"/>
  <c r="H53" i="21" s="1"/>
  <c r="G52" i="21"/>
  <c r="H52" i="21" s="1"/>
  <c r="C80" i="81"/>
  <c r="C79" i="81" s="1"/>
  <c r="C58" i="81"/>
  <c r="C67" i="81" s="1"/>
  <c r="C68" i="81" s="1"/>
  <c r="J16" i="81"/>
  <c r="J25" i="81" s="1"/>
  <c r="E48" i="21"/>
  <c r="R49" i="21"/>
  <c r="N65" i="40" l="1"/>
  <c r="O63" i="40"/>
  <c r="O65" i="40" s="1"/>
  <c r="N70" i="39"/>
  <c r="O68" i="39"/>
  <c r="O70" i="39" s="1"/>
  <c r="E38" i="35"/>
  <c r="R39" i="35"/>
  <c r="G46" i="37"/>
  <c r="H46" i="37" s="1"/>
  <c r="G53" i="34"/>
  <c r="H53" i="34" s="1"/>
  <c r="G54" i="34"/>
  <c r="H54" i="34" s="1"/>
  <c r="G42" i="35"/>
  <c r="H42" i="35" s="1"/>
  <c r="G43" i="35"/>
  <c r="H43" i="35" s="1"/>
  <c r="AA7" i="37"/>
  <c r="R42" i="37" s="1"/>
  <c r="S7" i="37"/>
  <c r="E49" i="34"/>
  <c r="I54" i="34" s="1"/>
  <c r="J54" i="34" s="1"/>
  <c r="R50" i="34"/>
  <c r="AC7" i="37"/>
  <c r="V42" i="37" s="1"/>
  <c r="I42" i="37" s="1"/>
  <c r="G47" i="37" s="1"/>
  <c r="H47" i="37" s="1"/>
  <c r="W7" i="37"/>
  <c r="I53" i="34"/>
  <c r="J53" i="34" s="1"/>
  <c r="Q69" i="15"/>
  <c r="Q68" i="15" s="1"/>
  <c r="C40" i="15"/>
  <c r="B2" i="15" s="1"/>
  <c r="C49" i="68"/>
  <c r="C51" i="68" s="1"/>
  <c r="C49" i="11"/>
  <c r="C51" i="11" s="1"/>
  <c r="C52" i="11" s="1"/>
  <c r="B2" i="11" s="1"/>
  <c r="B3" i="11" s="1"/>
  <c r="E53" i="21"/>
  <c r="F53" i="21" s="1"/>
  <c r="E52" i="21"/>
  <c r="F52" i="21" s="1"/>
  <c r="C71" i="81"/>
  <c r="C46" i="81"/>
  <c r="B2" i="81"/>
  <c r="Q65" i="81"/>
  <c r="Q75" i="81" s="1"/>
  <c r="Q47" i="81"/>
  <c r="Q53" i="81" s="1"/>
  <c r="Q56" i="81"/>
  <c r="Q62" i="81" s="1"/>
  <c r="C43" i="81"/>
  <c r="C83" i="81"/>
  <c r="C82" i="81" s="1"/>
  <c r="C49" i="21"/>
  <c r="C48" i="21"/>
  <c r="I53" i="21"/>
  <c r="J53" i="21" s="1"/>
  <c r="C71" i="15"/>
  <c r="L51" i="15"/>
  <c r="AO7" i="1"/>
  <c r="AO8" i="1"/>
  <c r="J7" i="39" l="1"/>
  <c r="F7" i="39"/>
  <c r="H7" i="39"/>
  <c r="J7" i="40"/>
  <c r="H7" i="40"/>
  <c r="F7" i="40"/>
  <c r="C50" i="34"/>
  <c r="B2" i="34" s="1"/>
  <c r="B3" i="34" s="1"/>
  <c r="C49" i="34"/>
  <c r="C38" i="35"/>
  <c r="C39" i="35"/>
  <c r="B2" i="35" s="1"/>
  <c r="B3" i="35" s="1"/>
  <c r="I46" i="37"/>
  <c r="J46" i="37" s="1"/>
  <c r="E54" i="34"/>
  <c r="F54" i="34" s="1"/>
  <c r="E53" i="34"/>
  <c r="F53" i="34" s="1"/>
  <c r="E42" i="37"/>
  <c r="R43" i="37"/>
  <c r="E43" i="35"/>
  <c r="F43" i="35" s="1"/>
  <c r="E42" i="35"/>
  <c r="F42" i="35" s="1"/>
  <c r="I43" i="35"/>
  <c r="J43" i="35" s="1"/>
  <c r="Q67" i="15"/>
  <c r="C43" i="15"/>
  <c r="C46" i="15"/>
  <c r="C83" i="15"/>
  <c r="C82" i="15" s="1"/>
  <c r="Q65" i="15"/>
  <c r="Q75" i="15" s="1"/>
  <c r="Q47" i="15"/>
  <c r="Q53" i="15" s="1"/>
  <c r="Q56" i="15"/>
  <c r="Q62" i="15" s="1"/>
  <c r="C56" i="11"/>
  <c r="C57" i="11" s="1"/>
  <c r="B7" i="70"/>
  <c r="B8" i="70"/>
  <c r="D8" i="12"/>
  <c r="B3" i="15"/>
  <c r="D6" i="12" s="1"/>
  <c r="B2" i="21"/>
  <c r="C8" i="12" s="1"/>
  <c r="B3" i="21"/>
  <c r="C6" i="12" s="1"/>
  <c r="E8" i="12"/>
  <c r="B3" i="81"/>
  <c r="E6" i="12" s="1"/>
  <c r="AA7" i="40" l="1"/>
  <c r="R42" i="40" s="1"/>
  <c r="S7" i="40"/>
  <c r="AC7" i="40"/>
  <c r="V42" i="40" s="1"/>
  <c r="I42" i="40" s="1"/>
  <c r="W7" i="40"/>
  <c r="AA7" i="39"/>
  <c r="S7" i="39"/>
  <c r="U7" i="40"/>
  <c r="AB7" i="40"/>
  <c r="T42" i="40" s="1"/>
  <c r="G42" i="40" s="1"/>
  <c r="U7" i="39"/>
  <c r="AB7" i="39"/>
  <c r="W7" i="39"/>
  <c r="AC7" i="39"/>
  <c r="E47" i="37"/>
  <c r="F47" i="37" s="1"/>
  <c r="E46" i="37"/>
  <c r="F46" i="37" s="1"/>
  <c r="I47" i="37"/>
  <c r="J47" i="37" s="1"/>
  <c r="C42" i="37"/>
  <c r="C43" i="37"/>
  <c r="B2" i="37" s="1"/>
  <c r="B3" i="37" s="1"/>
  <c r="B2" i="70"/>
  <c r="B3" i="70" s="1"/>
  <c r="C4" i="12"/>
  <c r="I47" i="40" l="1"/>
  <c r="J47" i="40" s="1"/>
  <c r="I46" i="40"/>
  <c r="J46" i="40" s="1"/>
  <c r="R43" i="40"/>
  <c r="E42" i="40"/>
  <c r="G46" i="40"/>
  <c r="H46" i="40" s="1"/>
  <c r="G47" i="40"/>
  <c r="H47" i="40" s="1"/>
  <c r="C31" i="12"/>
  <c r="C23" i="12"/>
  <c r="C43" i="40" l="1"/>
  <c r="C42" i="40"/>
  <c r="E47" i="40"/>
  <c r="F47" i="40" s="1"/>
  <c r="E46" i="40"/>
  <c r="F46" i="40" s="1"/>
  <c r="C30" i="12"/>
  <c r="C28" i="12" s="1"/>
  <c r="C27" i="12"/>
  <c r="C25" i="12" s="1"/>
  <c r="B57" i="40" l="1"/>
  <c r="F57" i="40" s="1"/>
  <c r="B60" i="40"/>
  <c r="F60" i="40" s="1"/>
  <c r="B53" i="40"/>
  <c r="F53" i="40" s="1"/>
  <c r="B54" i="40"/>
  <c r="F54" i="40" s="1"/>
  <c r="B51" i="40"/>
  <c r="F51" i="40" s="1"/>
  <c r="B56" i="40"/>
  <c r="F56" i="40" s="1"/>
  <c r="B52" i="40"/>
  <c r="F52" i="40" s="1"/>
  <c r="B59" i="40"/>
  <c r="F59" i="40" s="1"/>
  <c r="B58" i="40"/>
  <c r="F58" i="40" s="1"/>
  <c r="B55" i="40"/>
  <c r="F55" i="40" s="1"/>
  <c r="F61" i="40"/>
  <c r="B2" i="40" s="1"/>
  <c r="B3" i="40" s="1"/>
  <c r="C32" i="12"/>
  <c r="B2" i="12" s="1"/>
  <c r="D19" i="9"/>
  <c r="D102" i="9" l="1"/>
  <c r="D21" i="9"/>
  <c r="B3" i="12"/>
  <c r="D20" i="9"/>
  <c r="D103" i="9" l="1"/>
  <c r="C79" i="39"/>
  <c r="H11" i="39"/>
  <c r="U11" i="39" s="1"/>
  <c r="J11" i="39"/>
  <c r="W11" i="39" s="1"/>
  <c r="AC11" i="39" l="1"/>
  <c r="V47" i="39" s="1"/>
  <c r="I47" i="39" s="1"/>
  <c r="I51" i="39" s="1"/>
  <c r="J51" i="39" s="1"/>
  <c r="AB11" i="39"/>
  <c r="T47" i="39" s="1"/>
  <c r="G47" i="39" s="1"/>
  <c r="G51" i="39" l="1"/>
  <c r="H51" i="39" s="1"/>
  <c r="G52" i="39"/>
  <c r="H52" i="39" s="1"/>
  <c r="F11" i="39" l="1"/>
  <c r="S11" i="39" s="1"/>
  <c r="AA11" i="39" l="1"/>
  <c r="R47" i="39" s="1"/>
  <c r="E47" i="39" l="1"/>
  <c r="R48" i="39"/>
  <c r="E52" i="39" l="1"/>
  <c r="F52" i="39" s="1"/>
  <c r="E51" i="39"/>
  <c r="F51" i="39" s="1"/>
  <c r="I52" i="39"/>
  <c r="J52" i="39" s="1"/>
  <c r="C47" i="39"/>
  <c r="C48" i="39"/>
  <c r="B64" i="39" l="1"/>
  <c r="F64" i="39" s="1"/>
  <c r="B61" i="39"/>
  <c r="F61" i="39" s="1"/>
  <c r="B60" i="39"/>
  <c r="F60" i="39" s="1"/>
  <c r="B62" i="39"/>
  <c r="F62" i="39" s="1"/>
  <c r="B63" i="39"/>
  <c r="F63" i="39" s="1"/>
  <c r="B59" i="39"/>
  <c r="F59" i="39" s="1"/>
  <c r="B58" i="39"/>
  <c r="F58" i="39" s="1"/>
  <c r="B57" i="39"/>
  <c r="F57" i="39" s="1"/>
  <c r="B65" i="39"/>
  <c r="F65" i="39" s="1"/>
  <c r="B56" i="39"/>
  <c r="F56" i="39" s="1"/>
  <c r="F66" i="39" l="1"/>
  <c r="B2" i="39" s="1"/>
  <c r="B3" i="39" l="1"/>
  <c r="C6" i="68"/>
  <c r="C7" i="68" l="1"/>
  <c r="C5" i="68" s="1"/>
  <c r="C23" i="68" l="1"/>
  <c r="C20" i="68"/>
  <c r="C25" i="68" s="1"/>
  <c r="D15" i="74"/>
  <c r="C28" i="68" l="1"/>
  <c r="C27" i="68" s="1"/>
  <c r="F15" i="74"/>
  <c r="E15" i="74"/>
  <c r="G15" i="74"/>
  <c r="C22" i="68"/>
  <c r="C31" i="68" l="1"/>
  <c r="C52" i="68" s="1"/>
  <c r="B2" i="68" s="1"/>
  <c r="D16" i="74"/>
  <c r="C19" i="9"/>
  <c r="C57" i="68" l="1"/>
  <c r="C56" i="68" s="1"/>
  <c r="D22" i="9"/>
  <c r="C21" i="9"/>
  <c r="C102" i="9"/>
  <c r="G19" i="9"/>
  <c r="F16" i="74"/>
  <c r="E16" i="74"/>
  <c r="B3" i="68"/>
  <c r="D35" i="9"/>
  <c r="D34" i="9"/>
  <c r="C20" i="9"/>
  <c r="C103" i="9" l="1"/>
  <c r="G20" i="9"/>
  <c r="G21" i="9"/>
  <c r="J20" i="9"/>
  <c r="C32" i="9"/>
  <c r="C35" i="9" l="1"/>
  <c r="F118" i="9" s="1"/>
  <c r="H118" i="9"/>
  <c r="C104" i="9" l="1"/>
  <c r="H119" i="9"/>
  <c r="H5" i="52" s="1"/>
  <c r="H4" i="52"/>
  <c r="D14" i="74"/>
  <c r="I118" i="9"/>
  <c r="H101" i="9"/>
  <c r="C34" i="9"/>
  <c r="D118" i="9" s="1"/>
  <c r="G118" i="9"/>
  <c r="G4" i="52" s="1"/>
  <c r="F4" i="52"/>
  <c r="F119" i="9"/>
  <c r="F5" i="52" s="1"/>
  <c r="B53" i="72" l="1"/>
  <c r="B52" i="72"/>
  <c r="B51" i="72"/>
  <c r="M48" i="9"/>
  <c r="D5" i="53"/>
  <c r="H107" i="9"/>
  <c r="D45" i="9"/>
  <c r="F14" i="74"/>
  <c r="B5" i="74"/>
  <c r="E14" i="74"/>
  <c r="D4" i="52"/>
  <c r="D119" i="9"/>
  <c r="D5" i="52" s="1"/>
  <c r="I4" i="52"/>
  <c r="C105" i="9"/>
  <c r="E118" i="9"/>
  <c r="E4" i="52" s="1"/>
  <c r="H102" i="9"/>
  <c r="D7" i="53" s="1"/>
  <c r="B49" i="72" l="1"/>
  <c r="B21" i="72"/>
  <c r="B48" i="72"/>
  <c r="B47" i="72"/>
  <c r="D5" i="74"/>
  <c r="C5" i="74"/>
  <c r="D53" i="9"/>
  <c r="C78" i="9"/>
  <c r="C73" i="9" s="1"/>
  <c r="D52" i="9"/>
  <c r="C93" i="9"/>
  <c r="C86" i="9" s="1"/>
  <c r="C64" i="9"/>
  <c r="C63" i="9" s="1"/>
  <c r="C67" i="9" s="1"/>
  <c r="C68" i="9" s="1"/>
  <c r="D54" i="9" s="1"/>
  <c r="C72" i="9"/>
  <c r="C79" i="9" s="1"/>
  <c r="C85" i="9"/>
  <c r="D55" i="9"/>
  <c r="M53" i="9" s="1"/>
  <c r="D6" i="53"/>
  <c r="B20" i="72"/>
  <c r="H108" i="9"/>
  <c r="D15" i="53" s="1"/>
  <c r="D13" i="53"/>
  <c r="D122" i="9"/>
  <c r="M49" i="9"/>
  <c r="B31" i="72" l="1"/>
  <c r="B22" i="72"/>
  <c r="L67" i="9"/>
  <c r="M67" i="9" s="1"/>
  <c r="L66" i="9"/>
  <c r="M66" i="9" s="1"/>
  <c r="L64" i="9"/>
  <c r="M64" i="9" s="1"/>
  <c r="L63" i="9"/>
  <c r="M63" i="9" s="1"/>
  <c r="L68" i="9"/>
  <c r="M68" i="9" s="1"/>
  <c r="L65" i="9"/>
  <c r="M65" i="9" s="1"/>
  <c r="B30" i="72"/>
  <c r="D14" i="53"/>
  <c r="C80" i="9"/>
  <c r="E80" i="9" s="1"/>
  <c r="E81" i="9" s="1"/>
  <c r="D123" i="9"/>
  <c r="D9" i="52" s="1"/>
  <c r="G14" i="74"/>
  <c r="B6" i="74" s="1"/>
  <c r="D8" i="52"/>
  <c r="C95" i="9"/>
  <c r="B32" i="72" l="1"/>
  <c r="C96" i="9"/>
  <c r="E96" i="9" s="1"/>
  <c r="E97" i="9" s="1"/>
  <c r="C6" i="74"/>
  <c r="D6" i="74"/>
  <c r="C81" i="9"/>
  <c r="M69" i="9"/>
  <c r="N69"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XM Ning</author>
  </authors>
  <commentList>
    <comment ref="G3" authorId="0">
      <text>
        <r>
          <rPr>
            <b/>
            <sz val="9"/>
            <color indexed="81"/>
            <rFont val="宋体"/>
            <family val="3"/>
            <charset val="134"/>
          </rPr>
          <t>USER:</t>
        </r>
        <r>
          <rPr>
            <sz val="9"/>
            <color indexed="81"/>
            <rFont val="宋体"/>
            <family val="3"/>
            <charset val="134"/>
          </rPr>
          <t xml:space="preserve">
依据：7期总投则算</t>
        </r>
      </text>
    </comment>
    <comment ref="E7" authorId="1">
      <text>
        <r>
          <rPr>
            <b/>
            <sz val="10"/>
            <color indexed="81"/>
            <rFont val="宋体"/>
            <family val="2"/>
            <charset val="134"/>
          </rPr>
          <t>XM Ning:</t>
        </r>
        <r>
          <rPr>
            <sz val="10"/>
            <color indexed="81"/>
            <rFont val="宋体"/>
            <family val="3"/>
            <charset val="134"/>
          </rPr>
          <t xml:space="preserve">
物管用房（含业主委员会活动室）</t>
        </r>
      </text>
    </comment>
    <comment ref="E8" authorId="1">
      <text>
        <r>
          <rPr>
            <b/>
            <sz val="10"/>
            <color indexed="81"/>
            <rFont val="宋体"/>
            <family val="2"/>
            <charset val="134"/>
          </rPr>
          <t>XM Ning:</t>
        </r>
        <r>
          <rPr>
            <sz val="10"/>
            <color indexed="81"/>
            <rFont val="宋体"/>
            <family val="3"/>
            <charset val="134"/>
          </rPr>
          <t xml:space="preserve">
设备房、门卫</t>
        </r>
      </text>
    </comment>
    <comment ref="E10" authorId="1">
      <text>
        <r>
          <rPr>
            <b/>
            <sz val="10"/>
            <color indexed="81"/>
            <rFont val="宋体"/>
            <family val="2"/>
            <charset val="134"/>
          </rPr>
          <t>XM Ning:</t>
        </r>
        <r>
          <rPr>
            <sz val="10"/>
            <color indexed="81"/>
            <rFont val="宋体"/>
            <family val="3"/>
            <charset val="134"/>
          </rPr>
          <t xml:space="preserve">
1.首层架空部分（作为绿化、停车、公共活动使用）；
2.首层架空（作为绿化、公共活动使用）
3.避难层；
4.设备平台
5.外保温面积</t>
        </r>
      </text>
    </comment>
    <comment ref="F14" authorId="1">
      <text>
        <r>
          <rPr>
            <b/>
            <sz val="10"/>
            <color indexed="81"/>
            <rFont val="宋体"/>
            <family val="2"/>
            <charset val="134"/>
          </rPr>
          <t>XM Ning:</t>
        </r>
        <r>
          <rPr>
            <sz val="10"/>
            <color indexed="81"/>
            <rFont val="宋体"/>
            <family val="3"/>
            <charset val="134"/>
          </rPr>
          <t xml:space="preserve">
地下2层
</t>
        </r>
      </text>
    </comment>
    <comment ref="G14" authorId="1">
      <text>
        <r>
          <rPr>
            <b/>
            <sz val="10"/>
            <color indexed="81"/>
            <rFont val="宋体"/>
            <family val="2"/>
            <charset val="134"/>
          </rPr>
          <t>XM Ning:</t>
        </r>
        <r>
          <rPr>
            <sz val="10"/>
            <color indexed="81"/>
            <rFont val="宋体"/>
            <family val="3"/>
            <charset val="134"/>
          </rPr>
          <t xml:space="preserve">
地下3层</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<sst xmlns="http://schemas.openxmlformats.org/spreadsheetml/2006/main" count="8563" uniqueCount="3482">
  <si>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</si>
  <si>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</si>
  <si>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</si>
  <si>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</si>
  <si>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</si>
  <si>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</si>
  <si>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</si>
  <si>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</si>
  <si>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</si>
  <si>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</si>
  <si>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</si>
  <si>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</si>
  <si>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</si>
  <si>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</si>
  <si>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</si>
  <si>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</si>
  <si>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</si>
  <si>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</si>
  <si>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</si>
  <si>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</si>
  <si>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</si>
  <si>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</si>
  <si>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</si>
  <si>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</si>
  <si>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</si>
  <si>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</si>
  <si>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</si>
  <si>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</si>
  <si>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</si>
  <si>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</si>
  <si>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</si>
  <si>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</si>
  <si>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</si>
  <si>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</si>
  <si>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</si>
  <si>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</si>
  <si>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</si>
  <si>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</si>
  <si>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</si>
  <si>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</si>
  <si>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</si>
  <si>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</si>
  <si>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</si>
  <si>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</si>
  <si>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</si>
  <si>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</si>
  <si>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</si>
  <si>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</si>
  <si>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</si>
  <si>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</si>
  <si>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</si>
  <si>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</si>
  <si>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</si>
  <si>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</si>
  <si>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</si>
  <si>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</si>
  <si>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</si>
  <si>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</si>
  <si>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</si>
  <si>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</si>
  <si>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</si>
  <si>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</si>
  <si>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</si>
  <si>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</si>
  <si>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</si>
  <si>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</si>
  <si>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</si>
  <si>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</si>
  <si>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</si>
  <si>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</si>
  <si>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</si>
  <si>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</si>
  <si>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</si>
  <si>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</si>
  <si>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</si>
  <si>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</si>
  <si>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</si>
  <si>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</si>
  <si>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</si>
  <si>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</si>
  <si>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</si>
  <si>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</si>
  <si>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</si>
  <si>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</si>
  <si>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</si>
  <si>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</si>
  <si>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</si>
  <si>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</si>
  <si>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</si>
  <si>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</si>
  <si>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</si>
  <si>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</si>
  <si>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</si>
  <si>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</si>
  <si>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</si>
  <si>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</si>
  <si>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</si>
  <si>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</si>
  <si>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</si>
  <si>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</si>
  <si>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</si>
  <si>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</si>
  <si>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</si>
  <si>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</si>
  <si>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</si>
  <si>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</si>
  <si>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</si>
  <si>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</si>
  <si>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</si>
  <si>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</si>
  <si>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</si>
  <si>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</si>
  <si>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</si>
  <si>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</si>
  <si>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</si>
  <si>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</si>
  <si>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</si>
  <si>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</si>
  <si>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</si>
  <si>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</si>
  <si>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</si>
  <si>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</si>
  <si>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</si>
  <si>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</si>
  <si>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</si>
  <si>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</si>
  <si>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</si>
  <si>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</si>
  <si>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</si>
  <si>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</si>
  <si>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</si>
  <si>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</si>
  <si>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</si>
  <si>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</si>
  <si>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</si>
  <si>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</si>
  <si>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</si>
  <si>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</si>
  <si>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</si>
  <si>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</si>
  <si>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</si>
  <si>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</si>
  <si>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</si>
  <si>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</si>
  <si>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</si>
  <si>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</si>
  <si>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</si>
  <si>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</si>
  <si>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</si>
  <si>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</si>
  <si>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</si>
  <si>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</si>
  <si>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</si>
  <si>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</si>
  <si>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</si>
  <si>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</si>
  <si>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</si>
  <si>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</si>
  <si>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</si>
  <si>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</si>
  <si>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</si>
  <si>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</si>
  <si>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</si>
  <si>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</si>
  <si>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</si>
  <si>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</si>
  <si>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</si>
  <si>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</si>
  <si>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</si>
  <si>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</si>
  <si>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</si>
  <si>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</si>
  <si>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</si>
  <si>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</si>
  <si>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</si>
  <si>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</si>
  <si>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</si>
  <si>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</si>
  <si>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</si>
  <si>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</si>
  <si>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</si>
  <si>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</si>
  <si>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</si>
  <si>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</si>
  <si>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</si>
  <si>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</si>
  <si>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</si>
  <si>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</si>
  <si>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</si>
  <si>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</si>
  <si>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</si>
  <si>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</si>
  <si>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</si>
  <si>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</si>
  <si>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</si>
  <si>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</si>
  <si>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</si>
  <si>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</si>
  <si>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</si>
  <si>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</si>
  <si>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</si>
  <si>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</si>
  <si>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</si>
  <si>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</si>
  <si>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</si>
  <si>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</si>
  <si>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</si>
  <si>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</si>
  <si>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</si>
  <si>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</si>
  <si>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</si>
  <si>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</si>
  <si>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</si>
  <si>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</si>
  <si>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</si>
  <si>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</si>
  <si>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</si>
  <si>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</si>
  <si>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</si>
  <si>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</si>
  <si>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</si>
  <si>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</si>
  <si>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</si>
  <si>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</si>
  <si>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</si>
  <si>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</si>
  <si>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</si>
  <si>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</si>
  <si>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</si>
  <si>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</si>
  <si>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</si>
  <si>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</si>
  <si>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</si>
  <si>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</si>
  <si>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</si>
  <si>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</si>
  <si>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</si>
  <si>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</si>
  <si>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</si>
  <si>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</si>
  <si>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</si>
  <si>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</si>
  <si>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</si>
  <si>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</si>
  <si>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</si>
  <si>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</si>
  <si>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</si>
  <si>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</si>
  <si>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</si>
  <si>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</si>
  <si>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</si>
  <si>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</si>
  <si>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</si>
  <si>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</si>
  <si>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</si>
  <si>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</si>
  <si>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</si>
  <si>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</si>
  <si>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</si>
  <si>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</si>
  <si>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</si>
  <si>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</si>
  <si>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</si>
  <si>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</si>
  <si>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</si>
  <si>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</si>
  <si>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</si>
  <si>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</si>
  <si>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</si>
  <si>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</si>
  <si>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</si>
  <si>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</si>
  <si>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</si>
  <si>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</si>
  <si>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</si>
  <si>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</si>
  <si>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</si>
  <si>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</si>
  <si>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</si>
  <si>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</si>
  <si>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</si>
  <si>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</si>
  <si>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</si>
  <si>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</si>
  <si>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</si>
  <si>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</si>
  <si>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</si>
  <si>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</si>
  <si>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</si>
  <si>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</si>
  <si>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</si>
  <si>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</si>
  <si>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</si>
  <si>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</si>
  <si>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</si>
  <si>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</si>
  <si>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</si>
  <si>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</si>
  <si>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</si>
  <si>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</si>
  <si>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</si>
  <si>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</si>
  <si>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</si>
  <si>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</si>
  <si>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</si>
  <si>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</si>
  <si>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</si>
  <si>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</si>
  <si>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</si>
  <si>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</si>
  <si>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</si>
  <si>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</si>
  <si>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</si>
  <si>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</si>
  <si>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</si>
  <si>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</si>
  <si>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</si>
  <si>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</si>
  <si>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</si>
  <si>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</si>
  <si>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</si>
  <si>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</si>
  <si>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</si>
  <si>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</si>
  <si>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</si>
  <si>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</si>
  <si>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</si>
  <si>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</si>
  <si>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</si>
  <si>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</si>
  <si>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</si>
  <si>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</si>
  <si>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</si>
  <si>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</si>
  <si>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</si>
  <si>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</si>
  <si>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</si>
  <si>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</si>
  <si>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</si>
  <si>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</si>
  <si>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</si>
  <si>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</si>
  <si>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</si>
  <si>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</si>
  <si>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</si>
  <si>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</si>
  <si>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</si>
  <si>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</si>
  <si>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</si>
  <si>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</si>
  <si>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</si>
  <si>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</si>
  <si>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</si>
  <si>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</si>
  <si>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</si>
  <si>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</si>
  <si>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</si>
  <si>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</si>
  <si>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</si>
  <si>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</si>
  <si>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</si>
  <si>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</si>
  <si>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</si>
  <si>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</si>
  <si>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</si>
  <si>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</si>
  <si>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</si>
  <si>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</si>
  <si>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</si>
  <si>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</si>
  <si>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</si>
  <si>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</si>
  <si>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</si>
  <si>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</si>
  <si>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</si>
  <si>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</si>
  <si>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</si>
  <si>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</si>
  <si>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</si>
  <si>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</si>
  <si>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</si>
  <si>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</si>
  <si>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</si>
  <si>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</si>
  <si>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</si>
  <si>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</si>
  <si>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</si>
  <si>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</si>
  <si>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</si>
  <si>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</si>
  <si>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</si>
  <si>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</si>
  <si>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</si>
  <si>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</si>
  <si>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</si>
  <si>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</si>
  <si>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</si>
  <si>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</si>
  <si>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</si>
  <si>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</si>
  <si>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</si>
  <si>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</si>
  <si>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</si>
  <si>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</si>
  <si>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</si>
  <si>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</si>
  <si>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</si>
  <si>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</si>
  <si>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</si>
  <si>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</si>
  <si>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</si>
  <si>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</si>
  <si>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</si>
  <si>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</si>
  <si>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</si>
  <si>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</si>
  <si>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</si>
  <si>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</si>
  <si>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</si>
  <si>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</si>
  <si>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</si>
  <si>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</si>
  <si>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</si>
  <si>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</si>
  <si>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</si>
  <si>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</si>
  <si>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</si>
  <si>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</si>
  <si>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</si>
  <si>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</si>
  <si>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</si>
  <si>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</si>
  <si>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</si>
  <si>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</si>
  <si>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</si>
  <si>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</si>
  <si>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</si>
  <si>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</si>
  <si>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</si>
  <si>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</si>
  <si>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</si>
  <si>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</si>
  <si>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</si>
  <si>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</si>
  <si>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</si>
  <si>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</si>
  <si>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</si>
  <si>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</si>
  <si>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</si>
  <si>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</si>
  <si>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</si>
  <si>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</si>
  <si>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</si>
  <si>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</si>
  <si>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</si>
  <si>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</si>
  <si>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</si>
  <si>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</si>
  <si>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</si>
  <si>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</si>
  <si>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</si>
  <si>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</si>
  <si>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</si>
  <si>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</si>
  <si>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</si>
  <si>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</si>
  <si>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</si>
  <si>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</si>
  <si>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</si>
  <si>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</si>
  <si>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</si>
  <si>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</si>
  <si>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</si>
  <si>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</si>
  <si>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</si>
  <si>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</si>
  <si>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</si>
  <si>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</si>
  <si>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</si>
  <si>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</si>
  <si>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</si>
  <si>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</si>
  <si>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</si>
  <si>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</si>
  <si>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</si>
  <si>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</si>
  <si>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</si>
  <si>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</si>
  <si>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</si>
  <si>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</si>
  <si>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</si>
  <si>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</si>
  <si>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</si>
  <si>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</si>
  <si>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</si>
  <si>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</si>
  <si>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</si>
  <si>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</si>
  <si>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</si>
  <si>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</si>
  <si>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</si>
  <si>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</si>
  <si>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</si>
  <si>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</si>
  <si>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</si>
  <si>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</si>
  <si>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</si>
  <si>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</si>
  <si>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</si>
  <si>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</si>
  <si>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</si>
  <si>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</si>
  <si>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</si>
  <si>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</si>
  <si>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</si>
  <si>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</si>
  <si>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</si>
  <si>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</si>
  <si>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</si>
  <si>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</si>
  <si>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</si>
  <si>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</si>
  <si>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</si>
  <si>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</si>
  <si>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</si>
  <si>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</si>
  <si>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</si>
  <si>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</si>
  <si>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</si>
  <si>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</si>
  <si>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</si>
  <si>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</si>
  <si>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</si>
  <si>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</si>
  <si>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</si>
  <si>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</si>
  <si>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</si>
  <si>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</si>
  <si>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</si>
  <si>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</si>
  <si>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</si>
  <si>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</si>
  <si>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</si>
  <si>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</si>
  <si>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</si>
  <si>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</si>
  <si>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</si>
  <si>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</si>
  <si>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</si>
  <si>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</si>
  <si>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</si>
  <si>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</si>
  <si>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</si>
  <si>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</si>
  <si>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</si>
  <si>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</si>
  <si>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</si>
  <si>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</si>
  <si>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</si>
  <si>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</si>
  <si>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</si>
  <si>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</si>
  <si>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</si>
  <si>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</si>
  <si>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</si>
  <si>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</si>
  <si>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</si>
  <si>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</si>
  <si>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</si>
  <si>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</si>
  <si>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</si>
  <si>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</si>
  <si>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</si>
  <si>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</si>
  <si>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</si>
  <si>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</si>
  <si>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</si>
  <si>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</si>
  <si>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</si>
  <si>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</si>
  <si>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</si>
  <si>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</si>
  <si>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</si>
  <si>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</si>
  <si>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</si>
  <si>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</si>
  <si>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</si>
  <si>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</si>
  <si>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</si>
  <si>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</si>
  <si>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</si>
  <si>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</si>
  <si>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</si>
  <si>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</si>
  <si>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</si>
  <si>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</si>
  <si>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</si>
  <si>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</si>
  <si>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</si>
  <si>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</si>
  <si>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</si>
  <si>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</si>
  <si>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</si>
  <si>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</si>
  <si>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</si>
  <si>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</si>
  <si>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</si>
  <si>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</si>
  <si>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</si>
  <si>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</si>
  <si>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</si>
  <si>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</si>
  <si>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</si>
  <si>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</si>
  <si>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</si>
  <si>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</si>
  <si>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</si>
  <si>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</si>
  <si>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</si>
  <si>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</si>
  <si>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</si>
  <si>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</si>
  <si>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</si>
  <si>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</si>
  <si>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</si>
  <si>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</si>
  <si>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</si>
  <si>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</si>
  <si>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</si>
  <si>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</si>
  <si>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</si>
  <si>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</si>
  <si>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</si>
  <si>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</si>
  <si>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</si>
  <si>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</si>
  <si>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</si>
  <si>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</si>
  <si>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</si>
  <si>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</si>
  <si>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</si>
  <si>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</si>
  <si>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</si>
  <si>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</si>
  <si>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</si>
  <si>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</si>
  <si>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</si>
  <si>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</si>
  <si>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</si>
  <si>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</si>
  <si>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</si>
  <si>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</si>
  <si>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</si>
  <si>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</si>
  <si>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</si>
  <si>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</si>
  <si>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</si>
  <si>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</si>
  <si>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</si>
  <si>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</si>
  <si>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</si>
  <si>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</si>
  <si>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</si>
  <si>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</si>
  <si>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</si>
  <si>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</si>
  <si>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</si>
  <si>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</si>
  <si>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</si>
  <si>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</si>
  <si>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</si>
  <si>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</si>
  <si>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</si>
  <si>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</si>
  <si>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</si>
  <si>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</si>
  <si>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</si>
  <si>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</si>
  <si>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</si>
  <si>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</si>
  <si>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</si>
  <si>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</si>
  <si>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</si>
  <si>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</si>
  <si>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</si>
  <si>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</si>
  <si>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</si>
  <si>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</si>
  <si>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</si>
  <si>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</si>
  <si>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</si>
  <si>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</si>
  <si>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</si>
  <si>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</si>
  <si>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</si>
  <si>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</si>
  <si>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</si>
  <si>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</si>
  <si>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</si>
  <si>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</si>
  <si>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</si>
  <si>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</si>
  <si>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</si>
  <si>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</si>
  <si>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</si>
  <si>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</si>
  <si>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</si>
  <si>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</si>
  <si>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</si>
  <si>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</si>
  <si>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</si>
  <si>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</si>
  <si>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</si>
  <si>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</si>
  <si>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</si>
  <si>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</si>
  <si>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</si>
  <si>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</si>
  <si>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</si>
  <si>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</si>
  <si>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</si>
  <si>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</si>
  <si>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</si>
  <si>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</si>
  <si>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</si>
  <si>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</si>
  <si>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</si>
  <si>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</si>
  <si>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</si>
  <si>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</si>
  <si>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</si>
  <si>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</si>
  <si>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</si>
  <si>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</si>
  <si>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</si>
  <si>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</si>
  <si>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</si>
  <si>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</si>
  <si>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</si>
  <si>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</si>
  <si>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</si>
  <si>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</si>
  <si>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</si>
  <si>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</si>
  <si>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</si>
  <si>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</si>
  <si>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</si>
  <si>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</si>
  <si>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</si>
  <si>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</si>
  <si>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</si>
  <si>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</si>
  <si>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</si>
  <si>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</si>
  <si>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</si>
  <si>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</si>
  <si>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</si>
  <si>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</si>
  <si>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</si>
  <si>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</si>
  <si>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</si>
  <si>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</si>
  <si>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</si>
  <si>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</si>
  <si>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</si>
  <si>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</si>
  <si>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</si>
  <si>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</si>
  <si>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</si>
  <si>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</si>
  <si>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</si>
  <si>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</si>
  <si>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</si>
  <si>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</si>
  <si>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</si>
  <si>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</si>
  <si>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</si>
  <si>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</si>
  <si>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</si>
  <si>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</si>
  <si>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</si>
  <si>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</si>
  <si>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</si>
  <si>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</si>
  <si>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</si>
  <si>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</si>
  <si>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</si>
  <si>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</si>
  <si>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</si>
  <si>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</si>
  <si>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</si>
  <si>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</si>
  <si>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</si>
  <si>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</si>
  <si>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</si>
  <si>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</si>
  <si>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</si>
  <si>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</si>
  <si>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</si>
  <si>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</si>
  <si>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</si>
  <si>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</si>
  <si>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</si>
  <si>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</si>
  <si>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</si>
  <si>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</si>
  <si>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</si>
  <si>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</si>
  <si>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</si>
  <si>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</si>
  <si>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</si>
  <si>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</si>
  <si>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</si>
  <si>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</si>
  <si>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</si>
  <si>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</si>
  <si>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</si>
  <si>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</si>
  <si>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</si>
  <si>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</si>
  <si>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</si>
  <si>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</si>
  <si>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</si>
  <si>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</si>
  <si>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</si>
  <si>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</si>
  <si>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</si>
  <si>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</si>
  <si>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</si>
  <si>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</si>
  <si>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</si>
  <si>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</si>
  <si>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</si>
  <si>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</si>
  <si>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</si>
  <si>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</si>
  <si>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</si>
  <si>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</si>
  <si>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</si>
  <si>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</si>
  <si>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</si>
  <si>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</si>
  <si>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</si>
  <si>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</si>
  <si>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</si>
  <si>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</si>
  <si>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</si>
  <si>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</si>
  <si>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</si>
  <si>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</si>
  <si>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</si>
  <si>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</si>
  <si>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</si>
  <si>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</si>
  <si>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</si>
  <si>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</si>
  <si>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</si>
  <si>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</si>
  <si>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</si>
  <si>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</si>
  <si>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</si>
  <si>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</si>
  <si>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</si>
  <si>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</si>
  <si>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</si>
  <si>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</si>
  <si>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</si>
  <si>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</si>
  <si>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</si>
  <si>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</si>
  <si>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</si>
  <si>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</si>
  <si>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</si>
  <si>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</si>
  <si>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</si>
  <si>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</si>
  <si>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</si>
  <si>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</si>
  <si>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</si>
  <si>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</si>
  <si>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</si>
  <si>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</si>
  <si>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</si>
  <si>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</si>
  <si>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</si>
  <si>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</si>
  <si>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</si>
  <si>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</si>
  <si>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</si>
  <si>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</si>
  <si>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</si>
  <si>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</si>
  <si>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</si>
  <si>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</si>
  <si>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</si>
  <si>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</si>
  <si>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</si>
  <si>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</si>
  <si>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</si>
  <si>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</si>
  <si>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</si>
  <si>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</si>
  <si>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</si>
  <si>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</si>
  <si>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</si>
  <si>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</si>
  <si>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</si>
  <si>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</si>
  <si>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</si>
  <si>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</si>
  <si>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</si>
  <si>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</si>
  <si>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</si>
  <si>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</si>
  <si>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</si>
  <si>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</si>
  <si>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</si>
  <si>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</si>
  <si>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</si>
  <si>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</si>
  <si>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</si>
  <si>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</si>
  <si>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</si>
  <si>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</si>
  <si>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</si>
  <si>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</si>
  <si>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</si>
  <si>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</si>
  <si>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</si>
  <si>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</si>
  <si>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</si>
  <si>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</si>
  <si>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</si>
  <si>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</si>
  <si>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</si>
  <si>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</si>
  <si>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</si>
  <si>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</si>
  <si>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</si>
  <si>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</si>
  <si>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</si>
  <si>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</si>
  <si>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</si>
  <si>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</si>
  <si>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</si>
  <si>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</si>
  <si>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</si>
  <si>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</si>
  <si>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</si>
  <si>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</si>
  <si>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</si>
  <si>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</si>
  <si>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</si>
  <si>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</si>
  <si>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</si>
  <si>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</si>
  <si>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</si>
  <si>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</si>
  <si>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</si>
  <si>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</si>
  <si>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</si>
  <si>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</si>
  <si>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</si>
  <si>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</si>
  <si>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</si>
  <si>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</si>
  <si>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</si>
  <si>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</si>
  <si>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</si>
  <si>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</si>
  <si>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</si>
  <si>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</si>
  <si>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</si>
  <si>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</si>
  <si>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</si>
  <si>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</si>
  <si>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</si>
  <si>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</si>
  <si>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</si>
  <si>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</si>
  <si>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</si>
  <si>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</si>
  <si>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</si>
  <si>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</si>
  <si>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</si>
  <si>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</si>
  <si>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</si>
  <si>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</si>
  <si>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</si>
  <si>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</si>
  <si>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</si>
  <si>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</si>
  <si>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</si>
  <si>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</si>
  <si>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</si>
  <si>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</si>
  <si>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</si>
  <si>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</si>
  <si>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</si>
  <si>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</si>
  <si>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</si>
  <si>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</si>
  <si>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</si>
  <si>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</si>
  <si>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</si>
  <si>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</si>
  <si>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</si>
  <si>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</si>
  <si>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</si>
  <si>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</si>
  <si>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</si>
  <si>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</si>
  <si>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</si>
  <si>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</si>
  <si>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</si>
  <si>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</si>
  <si>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</si>
  <si>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</si>
  <si>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</si>
  <si>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</si>
  <si>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</si>
  <si>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</si>
  <si>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</si>
  <si>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</si>
  <si>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</si>
  <si>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</si>
  <si>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</si>
  <si>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</si>
  <si>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</si>
  <si>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</si>
  <si>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</si>
  <si>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</si>
  <si>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</si>
  <si>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</si>
  <si>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</si>
  <si>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</si>
  <si>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</si>
  <si>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</si>
  <si>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</si>
  <si>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</si>
  <si>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</si>
  <si>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</si>
  <si>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</si>
  <si>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</si>
  <si>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</si>
  <si>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</si>
  <si>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</si>
  <si>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</si>
  <si>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</si>
  <si>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</si>
  <si>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</si>
  <si>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</si>
  <si>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</si>
  <si>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</si>
  <si>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</si>
  <si>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</si>
  <si>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</si>
  <si>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</si>
  <si>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</si>
  <si>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</si>
  <si>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</si>
  <si>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</si>
  <si>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</si>
  <si>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</si>
  <si>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</si>
  <si>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</si>
  <si>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</si>
  <si>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</si>
  <si>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</si>
  <si>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</si>
  <si>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</si>
  <si>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</si>
  <si>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</si>
  <si>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</si>
  <si>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</si>
  <si>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</si>
  <si>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</si>
  <si>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</si>
  <si>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</si>
  <si>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</si>
  <si>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</si>
  <si>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</si>
  <si>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</si>
  <si>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</si>
  <si>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</si>
  <si>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</si>
  <si>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</si>
  <si>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</si>
  <si>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</si>
  <si>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</si>
  <si>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</si>
  <si>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</si>
  <si>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</si>
  <si>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</si>
  <si>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</si>
  <si>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</si>
  <si>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</si>
  <si>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</si>
  <si>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</si>
  <si>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</si>
  <si>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</si>
  <si>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</si>
  <si>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</si>
  <si>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</si>
  <si>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</si>
  <si>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</si>
  <si>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</si>
  <si>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</si>
  <si>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</si>
  <si>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</si>
  <si>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</si>
  <si>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</si>
  <si>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</si>
  <si>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</si>
  <si>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</si>
  <si>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</si>
  <si>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</si>
  <si>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</si>
  <si>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</si>
  <si>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</si>
  <si>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</si>
  <si>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</si>
  <si>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</si>
  <si>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</si>
  <si>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</si>
  <si>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</si>
  <si>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</si>
  <si>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</si>
  <si>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</si>
  <si>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</si>
  <si>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</si>
  <si>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</si>
  <si>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</si>
  <si>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</si>
  <si>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</si>
  <si>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</si>
  <si>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</si>
  <si>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</si>
  <si>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</si>
  <si>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</si>
  <si>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</si>
  <si>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</si>
  <si>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</si>
  <si>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</si>
  <si>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</si>
  <si>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</si>
  <si>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</si>
  <si>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</si>
  <si>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</si>
  <si>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</si>
  <si>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</si>
  <si>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</si>
  <si>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</si>
  <si>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</si>
  <si>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</si>
  <si>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</si>
  <si>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</si>
  <si>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</si>
  <si>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</si>
  <si>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</si>
  <si>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</si>
  <si>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</si>
  <si>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</si>
  <si>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</si>
  <si>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</si>
  <si>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</si>
  <si>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</si>
  <si>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</si>
  <si>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</si>
  <si>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</si>
  <si>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</si>
  <si>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</si>
  <si>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</si>
  <si>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</si>
  <si>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</si>
  <si>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</si>
  <si>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</si>
  <si>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</si>
  <si>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</si>
  <si>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</si>
  <si>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</si>
  <si>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</si>
  <si>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</si>
  <si>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</si>
  <si>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</si>
  <si>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</si>
  <si>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</si>
  <si>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</si>
  <si>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</si>
  <si>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</si>
  <si>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</si>
  <si>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</si>
  <si>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</si>
  <si>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</si>
  <si>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</si>
  <si>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</si>
  <si>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</si>
  <si>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</si>
  <si>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</si>
  <si>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</si>
  <si>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</si>
  <si>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</si>
  <si>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</si>
  <si>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</si>
  <si>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</si>
  <si>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</si>
  <si>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</si>
  <si>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</si>
  <si>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</si>
  <si>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</si>
  <si>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</si>
  <si>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</si>
  <si>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</si>
  <si>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</si>
  <si>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</si>
  <si>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</si>
  <si>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</si>
  <si>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</si>
  <si>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</si>
  <si>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</si>
  <si>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</si>
  <si>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</si>
  <si>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</si>
  <si>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</si>
  <si>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</si>
  <si>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</si>
  <si>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</si>
  <si>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</si>
  <si>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</si>
  <si>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</si>
  <si>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</si>
  <si>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</si>
  <si>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</si>
  <si>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</si>
  <si>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</si>
  <si>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</si>
  <si>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</si>
  <si>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</si>
  <si>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</si>
  <si>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</si>
  <si>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</si>
  <si>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</si>
  <si>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</si>
  <si>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</si>
  <si>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</si>
  <si>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</si>
  <si>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</si>
  <si>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</si>
  <si>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</si>
  <si>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</si>
  <si>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</si>
  <si>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</si>
  <si>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</si>
  <si>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</si>
  <si>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</si>
  <si>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</si>
  <si>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</si>
  <si>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</si>
  <si>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</si>
  <si>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</si>
  <si>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</si>
  <si>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</si>
  <si>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</si>
  <si>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</si>
  <si>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</si>
  <si>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</si>
  <si>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</si>
  <si>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</si>
  <si>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</si>
  <si>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</si>
  <si>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</si>
  <si>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</si>
  <si>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</si>
  <si>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</si>
  <si>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</si>
  <si>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</si>
  <si>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</si>
  <si>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</si>
  <si>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</si>
  <si>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</si>
  <si>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</si>
  <si>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</si>
  <si>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</si>
  <si>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</si>
  <si>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</si>
  <si>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</si>
  <si>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</si>
  <si>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</si>
  <si>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</si>
  <si>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</si>
  <si>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</si>
  <si>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</si>
  <si>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</si>
  <si>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</si>
  <si>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</si>
  <si>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</si>
  <si>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</si>
  <si>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</si>
  <si>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</si>
  <si>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</si>
  <si>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</si>
  <si>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</si>
  <si>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</si>
  <si>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</si>
  <si>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</si>
  <si>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</si>
  <si>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</si>
  <si>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</si>
  <si>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</si>
  <si>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</si>
  <si>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</si>
  <si>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</si>
  <si>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</si>
  <si>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</si>
  <si>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</si>
  <si>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</si>
  <si>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</si>
  <si>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</si>
  <si>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</si>
  <si>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</si>
  <si>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</si>
  <si>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</si>
  <si>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</si>
  <si>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</si>
  <si>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</si>
  <si>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</si>
  <si>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</si>
  <si>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</si>
  <si>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</si>
  <si>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</si>
  <si>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</si>
  <si>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</si>
  <si>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</si>
  <si>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</si>
  <si>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</si>
  <si>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</si>
  <si>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</si>
  <si>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</si>
  <si>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</si>
  <si>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</si>
  <si>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</si>
  <si>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</si>
  <si>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</si>
  <si>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</si>
  <si>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</si>
  <si>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</si>
  <si>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</si>
  <si>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</si>
  <si>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</si>
  <si>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</si>
  <si>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</si>
  <si>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</si>
  <si>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</si>
  <si>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</si>
  <si>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</si>
  <si>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</si>
  <si>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</si>
  <si>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</si>
  <si>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</si>
  <si>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</si>
  <si>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</si>
  <si>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</si>
  <si>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</si>
  <si>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</si>
  <si>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</si>
  <si>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</si>
  <si>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</si>
  <si>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</si>
  <si>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</si>
  <si>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</si>
  <si>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</si>
  <si>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</si>
  <si>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</si>
  <si>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</si>
  <si>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</si>
  <si>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</si>
  <si>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</si>
  <si>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</si>
  <si>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</si>
  <si>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</si>
  <si>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</si>
  <si>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</si>
  <si>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</si>
  <si>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</si>
  <si>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</si>
  <si>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</si>
  <si>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</si>
  <si>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</si>
  <si>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</si>
  <si>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</si>
  <si>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</si>
  <si>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</si>
  <si>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</si>
  <si>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</si>
  <si>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</si>
  <si>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</si>
  <si>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</si>
  <si>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</si>
  <si>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</si>
  <si>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</si>
  <si>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</si>
  <si>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</si>
  <si>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</si>
  <si>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</si>
  <si>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</si>
  <si>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</si>
  <si>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</si>
  <si>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</si>
  <si>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</si>
  <si>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</si>
  <si>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</si>
  <si>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</si>
  <si>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</si>
  <si>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</si>
  <si>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</si>
  <si>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</si>
  <si>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</si>
  <si>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</si>
  <si>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</si>
  <si>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</si>
  <si>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</si>
  <si>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</si>
  <si>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</si>
  <si>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</si>
  <si>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</si>
  <si>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</si>
  <si>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</si>
  <si>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</si>
  <si>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</si>
  <si>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</si>
  <si>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</si>
  <si>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</si>
  <si>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</si>
  <si>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</si>
  <si>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</si>
  <si>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</si>
  <si>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</si>
  <si>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</si>
  <si>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</si>
  <si>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</si>
  <si>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</si>
  <si>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</si>
  <si>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</si>
  <si>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</si>
  <si>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</si>
  <si>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</si>
  <si>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</si>
  <si>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</si>
  <si>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</si>
  <si>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</si>
  <si>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</si>
  <si>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</si>
  <si>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</si>
  <si>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</si>
  <si>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</si>
  <si>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</si>
  <si>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</si>
  <si>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</si>
  <si>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</si>
  <si>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</si>
  <si>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</si>
  <si>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</si>
  <si>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</si>
  <si>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</si>
  <si>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</si>
  <si>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</si>
  <si>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</si>
  <si>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</si>
  <si>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</si>
  <si>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</si>
  <si>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</si>
  <si>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</si>
  <si>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</si>
  <si>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</si>
  <si>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</si>
  <si>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</si>
  <si>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</si>
  <si>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</si>
  <si>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</si>
  <si>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</si>
  <si>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</si>
  <si>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</si>
  <si>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</si>
  <si>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</si>
  <si>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</si>
  <si>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</si>
  <si>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</si>
  <si>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</si>
  <si>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</si>
  <si>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</si>
  <si>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</si>
  <si>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</si>
  <si>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</si>
  <si>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</si>
  <si>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</si>
  <si>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</si>
  <si>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</si>
  <si>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</si>
  <si>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</si>
  <si>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</si>
  <si>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</si>
  <si>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</si>
  <si>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</si>
  <si>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</si>
  <si>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</si>
  <si>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</si>
  <si>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</si>
  <si>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</si>
  <si>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</si>
  <si>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</si>
  <si>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</si>
  <si>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</si>
  <si>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</si>
  <si>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</si>
  <si>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</si>
  <si>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</si>
  <si>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</si>
  <si>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</si>
  <si>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</si>
  <si>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</si>
  <si>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</si>
  <si>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</si>
  <si>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</si>
  <si>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</si>
  <si>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</si>
  <si>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</si>
  <si>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</si>
  <si>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</si>
  <si>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</si>
  <si>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</si>
  <si>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</si>
  <si>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</si>
  <si>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</si>
  <si>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</si>
  <si>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</si>
  <si>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</si>
  <si>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</si>
  <si>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</si>
  <si>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</si>
  <si>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</si>
  <si>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</si>
  <si>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</si>
  <si>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</si>
  <si>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</si>
  <si>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</si>
  <si>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</si>
  <si>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</si>
  <si>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</si>
  <si>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</si>
  <si>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</si>
  <si>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</si>
  <si>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</si>
  <si>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</si>
  <si>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</si>
  <si>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</si>
  <si>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</si>
  <si>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</si>
  <si>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</si>
  <si>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</si>
  <si>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</si>
  <si>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</si>
  <si>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</si>
  <si>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</si>
  <si>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</si>
  <si>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</si>
  <si>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</si>
  <si>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</si>
  <si>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</si>
  <si>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</si>
  <si>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</si>
  <si>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</si>
  <si>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</si>
  <si>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</si>
  <si>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</si>
  <si>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</si>
  <si>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</si>
  <si>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</si>
  <si>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</si>
  <si>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</si>
  <si>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</si>
  <si>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</si>
  <si>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</si>
  <si>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</si>
  <si>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</si>
  <si>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</si>
  <si>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</si>
  <si>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</si>
  <si>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</si>
  <si>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</si>
  <si>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</si>
  <si>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</si>
  <si>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</si>
  <si>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</si>
  <si>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</si>
  <si>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</si>
  <si>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</si>
  <si>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</si>
  <si>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</si>
  <si>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</si>
  <si>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</si>
  <si>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</si>
  <si>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</si>
  <si>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</si>
  <si>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</si>
  <si>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</si>
  <si>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</si>
  <si>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</si>
  <si>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</si>
  <si>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</si>
  <si>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</si>
  <si>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</si>
  <si>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</si>
  <si>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</si>
  <si>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</si>
  <si>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</si>
  <si>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</si>
  <si>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</si>
  <si>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</si>
  <si>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</si>
  <si>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</si>
  <si>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</si>
  <si>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</si>
  <si>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</si>
  <si>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</si>
  <si>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</si>
  <si>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</si>
  <si>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</si>
  <si>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</si>
  <si>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</si>
  <si>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</si>
  <si>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</si>
  <si>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</si>
  <si>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</si>
  <si>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</si>
  <si>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</si>
  <si>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</si>
  <si>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</si>
  <si>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</si>
  <si>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</si>
  <si>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</si>
  <si>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</si>
  <si>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</si>
  <si>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</si>
  <si>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</si>
  <si>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</si>
  <si>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</si>
  <si>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</si>
  <si>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</si>
  <si>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</si>
  <si>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</si>
  <si>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</si>
  <si>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</si>
  <si>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</si>
  <si>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</si>
  <si>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</si>
  <si>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</si>
  <si>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</si>
  <si>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</si>
  <si>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</si>
  <si>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</si>
  <si>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</si>
  <si>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</si>
  <si>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</si>
  <si>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</si>
  <si>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</si>
  <si>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</si>
  <si>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</si>
  <si>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</si>
  <si>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</si>
  <si>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</si>
  <si>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</si>
  <si>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</si>
  <si>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</si>
  <si>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</si>
  <si>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</si>
  <si>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</si>
  <si>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</si>
  <si>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</si>
  <si>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</si>
  <si>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</si>
  <si>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</si>
  <si>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</si>
  <si>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</si>
  <si>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</si>
  <si>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</si>
  <si>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</si>
  <si>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</si>
  <si>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</si>
  <si>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</si>
  <si>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</si>
  <si>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</si>
  <si>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</si>
  <si>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</si>
  <si>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</si>
  <si>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</si>
  <si>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</si>
  <si>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</si>
  <si>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</si>
  <si>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</si>
  <si>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</si>
  <si>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</si>
  <si>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</si>
  <si>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</si>
  <si>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</si>
  <si>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</si>
  <si>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</si>
  <si>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</si>
  <si>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</si>
  <si>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</si>
  <si>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</si>
  <si>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</si>
  <si>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</si>
  <si>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</si>
  <si>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</si>
  <si>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</si>
  <si>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</si>
  <si>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</si>
  <si>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</si>
  <si>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</si>
  <si>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</si>
  <si>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</si>
  <si>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</si>
  <si>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</si>
  <si>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</si>
  <si>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</si>
  <si>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</si>
  <si>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</si>
  <si>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</si>
  <si>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</si>
  <si>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</si>
  <si>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</si>
  <si>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</si>
  <si>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</si>
  <si>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</si>
  <si>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</si>
  <si>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</si>
  <si>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</si>
  <si>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</si>
  <si>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</si>
  <si>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</si>
  <si>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</si>
  <si>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</si>
  <si>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</si>
  <si>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</si>
  <si>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</si>
  <si>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</si>
  <si>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</si>
  <si>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</si>
  <si>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</si>
  <si>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</si>
  <si>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</si>
  <si>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</si>
  <si>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</si>
  <si>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</si>
  <si>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</si>
  <si>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</si>
  <si>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</si>
  <si>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</si>
  <si>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</si>
  <si>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</si>
  <si>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</si>
  <si>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</si>
  <si>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</si>
  <si>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</si>
  <si>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</si>
  <si>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</si>
  <si>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</si>
  <si>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</si>
  <si>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</si>
  <si>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</si>
  <si>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</si>
  <si>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</si>
  <si>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</si>
  <si>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</si>
  <si>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</si>
  <si>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</si>
  <si>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</si>
  <si>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</si>
  <si>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</si>
  <si>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</si>
  <si>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</si>
  <si>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</si>
  <si>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</si>
  <si>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</si>
  <si>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</si>
  <si>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</si>
  <si>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</si>
  <si>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</si>
  <si>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</si>
  <si>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</si>
  <si>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</si>
  <si>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</si>
  <si>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</si>
  <si>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</si>
  <si>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</si>
  <si>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</si>
  <si>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</si>
  <si>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</si>
  <si>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</si>
  <si>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</si>
  <si>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</si>
  <si>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</si>
  <si>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</si>
  <si>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</si>
  <si>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</si>
  <si>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</si>
  <si>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</si>
  <si>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</si>
  <si>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</si>
  <si>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</si>
  <si>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</si>
  <si>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</si>
  <si>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</si>
  <si>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</si>
  <si>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</si>
  <si>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</si>
  <si>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</si>
  <si>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</si>
  <si>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</si>
  <si>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</si>
  <si>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</si>
  <si>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</si>
  <si>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</si>
  <si>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</si>
  <si>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</si>
  <si>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</si>
  <si>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</si>
  <si>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</si>
  <si>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</si>
  <si>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</si>
  <si>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</si>
  <si>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</si>
  <si>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</si>
  <si>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</si>
  <si>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</si>
  <si>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</si>
  <si>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</si>
  <si>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</si>
  <si>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</si>
  <si>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</si>
  <si>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</si>
  <si>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</si>
  <si>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</si>
  <si>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</si>
  <si>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</si>
  <si>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</si>
  <si>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</si>
  <si>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</si>
  <si>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</si>
  <si>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</si>
  <si>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</si>
  <si>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</si>
  <si>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</si>
  <si>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</si>
  <si>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</si>
  <si>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</si>
  <si>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</si>
  <si>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</si>
  <si>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</si>
  <si>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</si>
  <si>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</si>
  <si>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</si>
  <si>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</si>
  <si>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</si>
  <si>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</si>
  <si>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</si>
  <si>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</si>
  <si>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</si>
  <si>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</si>
  <si>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</si>
  <si>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</si>
  <si>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</si>
  <si>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</si>
  <si>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</si>
  <si>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</si>
  <si>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</si>
  <si>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</si>
  <si>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</si>
  <si>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</si>
  <si>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</si>
  <si>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</si>
  <si>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</si>
  <si>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</si>
  <si>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</si>
  <si>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</si>
  <si>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</si>
  <si>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</si>
  <si>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</si>
  <si>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</si>
  <si>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</si>
  <si>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</si>
  <si>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</si>
  <si>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</si>
  <si>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</si>
  <si>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</si>
  <si>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</si>
  <si>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</si>
  <si>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</si>
  <si>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</si>
  <si>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</si>
  <si>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</si>
  <si>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</si>
  <si>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</si>
  <si>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</si>
  <si>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</si>
  <si>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</si>
  <si>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</si>
  <si>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</si>
  <si>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</si>
  <si>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</si>
  <si>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</si>
  <si>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</si>
  <si>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</si>
  <si>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</si>
  <si>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</si>
  <si>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</si>
  <si>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</si>
  <si>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</si>
  <si>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</si>
  <si>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</si>
  <si>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</si>
  <si>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</si>
  <si>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</si>
  <si>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</si>
  <si>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</si>
  <si>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</si>
  <si>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</si>
  <si>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</si>
  <si>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</si>
  <si>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</si>
  <si>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</si>
  <si>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</si>
  <si>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</si>
  <si>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</si>
  <si>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</si>
  <si>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</si>
  <si>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</si>
  <si>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</si>
  <si>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</si>
  <si>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</si>
  <si>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</si>
  <si>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</si>
  <si>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</si>
  <si>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</si>
  <si>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</si>
  <si>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</si>
  <si>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</si>
  <si>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</si>
  <si>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</si>
  <si>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</si>
  <si>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</si>
  <si>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</si>
  <si>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</si>
  <si>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</si>
  <si>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</si>
  <si>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</si>
  <si>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</si>
  <si>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</si>
  <si>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</si>
  <si>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</si>
  <si>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</si>
  <si>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</si>
  <si>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</si>
  <si>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</si>
  <si>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</si>
  <si>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</si>
  <si>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</si>
  <si>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</si>
  <si>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</si>
  <si>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</si>
  <si>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</si>
  <si>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</si>
  <si>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</si>
  <si>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</si>
  <si>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</si>
  <si>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</si>
  <si>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</si>
  <si>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</si>
  <si>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</si>
  <si>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</si>
  <si>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</si>
  <si>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</si>
  <si>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</si>
  <si>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</si>
  <si>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</si>
  <si>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</si>
  <si>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</si>
  <si>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</si>
  <si>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</si>
  <si>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</si>
  <si>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</si>
  <si>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</si>
  <si>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</si>
  <si>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</si>
  <si>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</si>
  <si>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</si>
  <si>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</si>
  <si>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</si>
  <si>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</si>
  <si>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</si>
  <si>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</si>
  <si>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</si>
  <si>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</si>
  <si>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</si>
  <si>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</si>
  <si>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</si>
  <si>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</si>
  <si>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</si>
  <si>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</si>
  <si>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</si>
  <si>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</si>
  <si>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</si>
  <si>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</si>
  <si>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</si>
  <si>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</si>
  <si>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</si>
  <si>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</si>
  <si>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</si>
  <si>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</si>
  <si>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</si>
  <si>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</si>
  <si>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</si>
  <si>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</si>
  <si>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</si>
  <si>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</si>
  <si>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</si>
  <si>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</si>
  <si>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</si>
  <si>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</si>
  <si>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</si>
  <si>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</si>
  <si>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</si>
  <si>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</si>
  <si>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</si>
  <si>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</si>
  <si>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</si>
  <si>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</si>
  <si>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</si>
  <si>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</si>
  <si>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</si>
  <si>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</si>
  <si>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</si>
  <si>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</si>
  <si>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</si>
  <si>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</si>
  <si>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</si>
  <si>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</si>
  <si>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</si>
  <si>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</si>
  <si>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</si>
  <si>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</si>
  <si>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</si>
  <si>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</si>
  <si>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</si>
  <si>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</si>
  <si>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</si>
  <si>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</si>
  <si>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</si>
  <si>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</si>
  <si>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</si>
  <si>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</si>
  <si>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</si>
  <si>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</si>
  <si>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</si>
  <si>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</si>
  <si>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</si>
  <si>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</si>
  <si>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</si>
  <si>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</si>
  <si>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</si>
  <si>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</si>
  <si>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</si>
  <si>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</si>
  <si>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</si>
  <si>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</si>
  <si>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</si>
  <si>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</si>
  <si>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</si>
  <si>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</si>
  <si>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</si>
  <si>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</si>
  <si>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</si>
  <si>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</si>
  <si>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</si>
  <si>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</si>
  <si>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</si>
  <si>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</si>
  <si>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</si>
  <si>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</si>
  <si>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</si>
  <si>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</si>
  <si>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</si>
  <si>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</si>
  <si>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</si>
  <si>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</si>
  <si>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</si>
  <si>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</si>
  <si>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</si>
  <si>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</si>
  <si>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</si>
  <si>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</si>
  <si>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</si>
  <si>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</si>
  <si>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</si>
  <si>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</si>
  <si>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</si>
  <si>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</si>
  <si>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</si>
  <si>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</si>
  <si>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</si>
  <si>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</si>
  <si>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</si>
  <si>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</si>
  <si>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</si>
  <si>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</si>
  <si>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</si>
  <si>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</si>
  <si>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</si>
  <si>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</si>
  <si>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</si>
  <si>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</si>
  <si>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</si>
  <si>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</si>
  <si>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</si>
  <si>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</si>
  <si>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</si>
  <si>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</si>
  <si>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</si>
  <si>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</si>
  <si>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</si>
  <si>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</si>
  <si>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</si>
  <si>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</si>
  <si>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</si>
  <si>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</si>
  <si>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</si>
  <si>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</si>
  <si>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</si>
  <si>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</si>
  <si>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</si>
  <si>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</si>
  <si>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</si>
  <si>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</si>
  <si>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</si>
  <si>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</si>
  <si>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</si>
  <si>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</si>
  <si>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</si>
  <si>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</si>
  <si>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</si>
  <si>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</si>
  <si>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</si>
  <si>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</si>
  <si>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</si>
  <si>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</si>
  <si>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</si>
  <si>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</si>
  <si>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</si>
  <si>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</si>
  <si>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</si>
  <si>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</si>
  <si>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</si>
  <si>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</si>
  <si>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</si>
  <si>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</si>
  <si>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</si>
  <si>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</si>
  <si>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</si>
  <si>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</si>
  <si>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</si>
  <si>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</si>
  <si>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</si>
  <si>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</si>
  <si>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</si>
  <si>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</si>
  <si>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</si>
  <si>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</si>
  <si>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</si>
  <si>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</si>
  <si>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</si>
  <si>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</si>
  <si>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</si>
  <si>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</si>
  <si>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</si>
  <si>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</si>
  <si>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</si>
  <si>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</si>
  <si>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</si>
  <si>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</si>
  <si>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</si>
  <si>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</si>
  <si>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</si>
  <si>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</si>
  <si>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</si>
  <si>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</si>
  <si>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</si>
  <si>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</si>
  <si>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</si>
  <si>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</si>
  <si>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</si>
  <si>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</si>
  <si>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</si>
  <si>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</si>
  <si>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</si>
  <si>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</si>
  <si>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</si>
  <si>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</si>
  <si>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</si>
  <si>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</si>
  <si>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</si>
  <si>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</si>
  <si>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</si>
  <si>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</si>
  <si>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</si>
  <si>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</si>
  <si>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</si>
  <si>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</si>
  <si>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</si>
  <si>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</si>
  <si>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</si>
  <si>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</si>
  <si>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</si>
  <si>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</si>
  <si>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</si>
  <si>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</si>
  <si>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</si>
  <si>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</si>
  <si>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</si>
  <si>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</si>
  <si>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</si>
  <si>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</si>
  <si>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</si>
  <si>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</si>
  <si>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</si>
  <si>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</si>
  <si>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</si>
  <si>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</si>
  <si>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</si>
  <si>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</si>
  <si>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</si>
  <si>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</si>
  <si>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</si>
  <si>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</si>
  <si>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</si>
  <si>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</si>
  <si>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</si>
  <si>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</si>
  <si>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</si>
  <si>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</si>
  <si>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</si>
  <si>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</si>
  <si>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</si>
  <si>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</si>
  <si>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</si>
  <si>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</si>
  <si>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</si>
  <si>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</si>
  <si>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</si>
  <si>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</si>
  <si>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</si>
  <si>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</si>
  <si>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</si>
  <si>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</si>
  <si>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</si>
  <si>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</si>
  <si>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</si>
  <si>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</si>
  <si>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</si>
  <si>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</si>
  <si>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</si>
  <si>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</si>
  <si>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</si>
  <si>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</si>
  <si>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</si>
  <si>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</si>
  <si>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</si>
  <si>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</si>
  <si>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</si>
  <si>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</si>
  <si>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</si>
  <si>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</si>
  <si>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</si>
  <si>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</si>
  <si>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</si>
  <si>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</si>
  <si>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</si>
  <si>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</si>
  <si>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</si>
  <si>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</si>
  <si>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</si>
  <si>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</si>
  <si>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</si>
  <si>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</si>
  <si>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</si>
  <si>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</si>
  <si>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</si>
  <si>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</si>
  <si>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</si>
  <si>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</si>
  <si>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</si>
  <si>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</si>
  <si>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</si>
  <si>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</si>
  <si>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</si>
  <si>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</si>
  <si>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</si>
  <si>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</si>
  <si>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</si>
  <si>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</si>
  <si>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</si>
  <si>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</si>
  <si>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</si>
  <si>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</si>
  <si>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</si>
  <si>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</si>
  <si>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</si>
  <si>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</si>
  <si>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</si>
  <si>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</si>
  <si>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</si>
  <si>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</si>
  <si>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</si>
  <si>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</si>
  <si>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</si>
  <si>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</si>
  <si>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</si>
  <si>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</si>
  <si>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</si>
  <si>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</si>
  <si>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</si>
  <si>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</si>
  <si>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</si>
  <si>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</si>
  <si>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</si>
  <si>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</si>
  <si>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</si>
  <si>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</si>
  <si>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</si>
  <si>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</si>
  <si>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</si>
  <si>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</si>
  <si>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</si>
  <si>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</si>
  <si>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</si>
  <si>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</si>
  <si>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</si>
  <si>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</si>
  <si>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</si>
  <si>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</si>
  <si>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</si>
  <si>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</si>
  <si>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</si>
  <si>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</si>
  <si>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</si>
  <si>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</si>
  <si>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</si>
  <si>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</si>
  <si>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</si>
  <si>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</si>
  <si>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</si>
  <si>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</si>
  <si>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</si>
  <si>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</si>
  <si>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</si>
  <si>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</si>
  <si>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</si>
  <si>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</si>
  <si>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</si>
  <si>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</si>
  <si>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</si>
  <si>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</si>
  <si>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</si>
  <si>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</si>
  <si>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</si>
  <si>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</si>
  <si>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</si>
  <si>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</si>
  <si>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</si>
  <si>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</si>
  <si>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</si>
  <si>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</si>
  <si>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</si>
  <si>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</si>
  <si>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</si>
  <si>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</si>
  <si>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</si>
  <si>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</si>
  <si>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</si>
  <si>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</si>
  <si>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</si>
  <si>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</si>
  <si>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</si>
  <si>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</si>
  <si>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</si>
  <si>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</si>
  <si>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</si>
  <si>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</si>
  <si>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</si>
  <si>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</si>
  <si>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</si>
  <si>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</si>
  <si>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</si>
  <si>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</si>
  <si>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</si>
  <si>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</si>
  <si>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</si>
  <si>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</si>
  <si>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</si>
  <si>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</si>
  <si>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</si>
  <si>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</si>
  <si>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</si>
  <si>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</si>
  <si>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</si>
  <si>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</si>
  <si>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</si>
  <si>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</si>
  <si>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</si>
  <si>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</si>
  <si>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</si>
  <si>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</si>
  <si>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</si>
  <si>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</si>
  <si>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</si>
  <si>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</si>
  <si>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</si>
  <si>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</si>
  <si>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</si>
  <si>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</si>
  <si>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</si>
  <si>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</si>
  <si>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</si>
  <si>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</si>
  <si>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</si>
  <si>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</si>
  <si>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</si>
  <si>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</si>
  <si>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</si>
  <si>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</si>
  <si>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</si>
  <si>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</si>
  <si>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</si>
  <si>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</si>
  <si>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</si>
  <si>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</si>
  <si>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</si>
  <si>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</si>
  <si>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</si>
  <si>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</si>
  <si>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</si>
  <si>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</si>
  <si>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</si>
  <si>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</si>
  <si>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</si>
  <si>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</si>
  <si>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</si>
  <si>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</si>
  <si>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</si>
  <si>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</si>
  <si>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</si>
  <si>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</si>
  <si>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</si>
  <si>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</si>
  <si>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</si>
  <si>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</si>
  <si>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</si>
  <si>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</si>
  <si>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</si>
  <si>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</si>
  <si>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</si>
  <si>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</si>
  <si>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</si>
  <si>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</si>
  <si>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</si>
  <si>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</si>
  <si>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</si>
  <si>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</si>
  <si>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</si>
  <si>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</si>
  <si>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</si>
  <si>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</si>
  <si>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</si>
  <si>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</si>
  <si>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</si>
  <si>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</si>
  <si>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</si>
  <si>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</si>
  <si>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</si>
  <si>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</si>
  <si>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</si>
  <si>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</si>
  <si>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</si>
  <si>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</si>
  <si>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</si>
  <si>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</si>
  <si>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</si>
  <si>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</si>
  <si>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</si>
  <si>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</si>
  <si>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</si>
  <si>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</si>
  <si>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</si>
  <si>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</si>
  <si>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</si>
  <si>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</si>
  <si>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</si>
  <si>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</si>
  <si>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</si>
  <si>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</si>
  <si>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</si>
  <si>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</si>
  <si>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</si>
  <si>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</si>
  <si>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</si>
  <si>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</si>
  <si>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</si>
  <si>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</si>
  <si>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</si>
  <si>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</si>
  <si>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</si>
  <si>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</si>
  <si>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</si>
  <si>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</si>
  <si>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</si>
  <si>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</si>
  <si>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</si>
  <si>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</si>
  <si>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</si>
  <si>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</si>
  <si>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</si>
  <si>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</si>
  <si>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</si>
  <si>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</si>
  <si>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</si>
  <si>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</si>
  <si>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</si>
  <si>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</si>
  <si>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</si>
  <si>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</si>
  <si>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</si>
  <si>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</si>
  <si>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</si>
  <si>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</si>
  <si>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</si>
  <si>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</si>
  <si>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</si>
  <si>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</si>
  <si>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</si>
  <si>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</si>
  <si>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</si>
  <si>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</si>
  <si>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</si>
  <si>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</si>
  <si>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</si>
  <si>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</si>
  <si>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</si>
  <si>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</si>
  <si>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</si>
  <si>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</si>
  <si>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</si>
  <si>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</si>
  <si>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</si>
  <si>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</si>
  <si>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</si>
  <si>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</si>
  <si>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</si>
  <si>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</si>
  <si>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</si>
  <si>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</si>
  <si>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</si>
  <si>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</si>
  <si>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</si>
  <si>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</si>
  <si>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</si>
  <si>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</si>
  <si>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</si>
  <si>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</si>
  <si>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</si>
  <si>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</si>
  <si>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</si>
  <si>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</si>
  <si>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</si>
  <si>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</si>
  <si>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</si>
  <si>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</si>
  <si>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</si>
  <si>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</si>
  <si>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</si>
  <si>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</si>
  <si>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</si>
  <si>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</si>
  <si>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</si>
  <si>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</si>
  <si>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</si>
  <si>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</si>
  <si>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</si>
  <si>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</si>
  <si>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</si>
  <si>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</si>
  <si>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</si>
  <si>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</si>
  <si>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</si>
  <si>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</si>
  <si>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</si>
  <si>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</si>
  <si>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</si>
  <si>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</si>
  <si>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</si>
  <si>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</si>
  <si>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</si>
  <si>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</si>
  <si>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</si>
  <si>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</si>
  <si>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</si>
  <si>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</si>
  <si>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</si>
  <si>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</si>
  <si>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</si>
  <si>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</si>
  <si>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</si>
  <si>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</si>
  <si>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</si>
  <si>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</si>
  <si>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</si>
  <si>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</si>
  <si>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</si>
  <si>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</si>
  <si>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</si>
  <si>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</si>
  <si>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</si>
  <si>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</si>
  <si>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</si>
  <si>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</si>
  <si>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</si>
  <si>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</si>
  <si>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</si>
  <si>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</si>
  <si>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</si>
  <si>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</si>
  <si>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</si>
  <si>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</si>
  <si>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</si>
  <si>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</si>
  <si>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</si>
  <si>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</si>
  <si>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</si>
  <si>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</si>
  <si>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</si>
  <si>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</si>
  <si>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</si>
  <si>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</si>
  <si>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</si>
  <si>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</si>
  <si>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</si>
  <si>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</si>
  <si>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</si>
  <si>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</si>
  <si>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</si>
  <si>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</si>
  <si>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</si>
  <si>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</si>
  <si>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</si>
  <si>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</si>
  <si>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</si>
  <si>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</si>
  <si>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</si>
  <si>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</si>
  <si>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</si>
  <si>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</si>
  <si>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</si>
  <si>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</si>
  <si>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</si>
  <si>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</si>
  <si>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</si>
  <si>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</si>
  <si>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</si>
  <si>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</si>
  <si>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</si>
  <si>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</si>
  <si>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</si>
  <si>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</si>
  <si>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</si>
  <si>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</si>
  <si>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</si>
  <si>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</si>
  <si>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</si>
  <si>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</si>
  <si>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</si>
  <si>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</si>
  <si>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</si>
  <si>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</si>
  <si>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</si>
  <si>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</si>
  <si>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</si>
  <si>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</si>
  <si>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</si>
  <si>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</si>
  <si>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</si>
  <si>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</si>
  <si>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</si>
  <si>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</si>
  <si>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</si>
  <si>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</si>
  <si>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</si>
  <si>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</si>
  <si>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</si>
  <si>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</si>
  <si>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</si>
  <si>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</si>
  <si>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</si>
  <si>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</si>
  <si>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</si>
  <si>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</si>
  <si>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</si>
  <si>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</si>
  <si>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</si>
  <si>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</si>
  <si>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</si>
  <si>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</si>
  <si>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</si>
  <si>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</si>
  <si>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</si>
  <si>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</si>
  <si>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</si>
  <si>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</si>
  <si>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</si>
  <si>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</si>
  <si>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</si>
  <si>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</si>
  <si>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</si>
  <si>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</si>
  <si>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</si>
  <si>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</si>
  <si>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</si>
  <si>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</si>
  <si>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</si>
  <si>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</si>
  <si>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</si>
  <si>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</si>
  <si>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</si>
  <si>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</si>
  <si>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</si>
  <si>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</si>
  <si>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</si>
  <si>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</si>
  <si>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</si>
  <si>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</si>
  <si>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</si>
  <si>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</si>
  <si>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</si>
  <si>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</si>
  <si>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</si>
  <si>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</si>
  <si>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</si>
  <si>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</si>
  <si>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</si>
  <si>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</si>
  <si>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</si>
  <si>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</si>
  <si>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</si>
  <si>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</si>
  <si>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</si>
  <si>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</si>
  <si>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</si>
  <si>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</si>
  <si>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</si>
  <si>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</si>
  <si>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</si>
  <si>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</si>
  <si>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</si>
  <si>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</si>
  <si>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</si>
  <si>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</si>
  <si>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</si>
  <si>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</si>
  <si>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</si>
  <si>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</si>
  <si>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</si>
  <si>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</si>
  <si>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</si>
  <si>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</si>
  <si>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</si>
  <si>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</si>
  <si>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</si>
  <si>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</si>
  <si>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</si>
  <si>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</si>
  <si>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</si>
  <si>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</si>
  <si>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</si>
  <si>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</si>
  <si>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</si>
  <si>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</si>
  <si>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</si>
  <si>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</si>
  <si>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</si>
  <si>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</si>
  <si>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</si>
  <si>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</si>
  <si>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</si>
  <si>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</si>
  <si>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</si>
  <si>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</si>
  <si>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</si>
  <si>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</si>
  <si>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</si>
  <si>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</si>
  <si>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</si>
  <si>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</si>
  <si>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</si>
  <si>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</si>
  <si>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</si>
  <si>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</si>
  <si>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</si>
  <si>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</si>
  <si>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</si>
  <si>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</si>
  <si>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</si>
  <si>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</si>
  <si>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</si>
  <si>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</si>
  <si>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</si>
  <si>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</si>
  <si>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</si>
  <si>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</si>
  <si>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</si>
  <si>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</si>
  <si>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</si>
  <si>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</si>
  <si>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</si>
  <si>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</si>
  <si>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</si>
  <si>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</si>
  <si>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</si>
  <si>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</si>
  <si>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</si>
  <si>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</si>
  <si>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</si>
  <si>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</si>
  <si>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</si>
  <si>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</si>
  <si>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</si>
  <si>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</si>
  <si>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</si>
  <si>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</si>
  <si>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</si>
  <si>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</si>
  <si>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</si>
  <si>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</si>
  <si>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</si>
  <si>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</si>
  <si>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</si>
  <si>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</si>
  <si>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</si>
  <si>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</si>
  <si>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</si>
  <si>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</si>
  <si>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</si>
  <si>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</si>
  <si>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</si>
  <si>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</si>
  <si>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</si>
  <si>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</si>
  <si>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</si>
  <si>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</si>
  <si>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</si>
  <si>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</si>
  <si>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</si>
  <si>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</si>
  <si>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</si>
  <si>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</si>
  <si>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</si>
  <si>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</si>
  <si>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</si>
  <si>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</si>
  <si>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</si>
  <si>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</si>
  <si>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</si>
  <si>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</si>
  <si>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</si>
  <si>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</si>
  <si>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</si>
  <si>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</si>
  <si>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</si>
  <si>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</si>
  <si>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</si>
  <si>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</si>
  <si>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</si>
  <si>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</si>
  <si>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</si>
  <si>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</si>
  <si>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</si>
  <si>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</si>
  <si>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</si>
  <si>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</si>
  <si>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</si>
  <si>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</si>
  <si>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</si>
  <si>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</si>
  <si>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</si>
  <si>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</si>
  <si>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</si>
  <si>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</si>
  <si>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</si>
  <si>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</si>
  <si>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</si>
  <si>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</si>
  <si>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</si>
  <si>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</si>
  <si>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</si>
  <si>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</si>
  <si>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</si>
  <si>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</si>
  <si>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</si>
  <si>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</si>
  <si>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</si>
  <si>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</si>
  <si>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</si>
  <si>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</si>
  <si>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</si>
  <si>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</si>
  <si>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</si>
  <si>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</si>
  <si>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</si>
  <si>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</si>
  <si>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</si>
  <si>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</si>
  <si>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</si>
  <si>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</si>
  <si>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</si>
  <si>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</si>
  <si>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</si>
  <si>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</si>
  <si>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</si>
  <si>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</si>
  <si>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</si>
  <si>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</si>
  <si>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</si>
  <si>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</si>
  <si>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</si>
  <si>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</si>
  <si>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</si>
  <si>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</si>
  <si>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</si>
  <si>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</si>
  <si>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</si>
  <si>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</si>
  <si>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</si>
  <si>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</si>
  <si>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</si>
  <si>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</si>
  <si>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</si>
  <si>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</si>
  <si>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</si>
  <si>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</si>
  <si>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</si>
  <si>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</si>
  <si>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</si>
  <si>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</si>
  <si>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</si>
  <si>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</si>
  <si>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</si>
  <si>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</si>
  <si>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</si>
  <si>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</si>
  <si>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</si>
  <si>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</si>
  <si>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</si>
  <si>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</si>
  <si>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</si>
  <si>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</si>
  <si>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</si>
  <si>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</si>
  <si>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</si>
  <si>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</si>
  <si>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</si>
  <si>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</si>
  <si>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</si>
  <si>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</si>
  <si>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</si>
  <si>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</si>
  <si>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</si>
  <si>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</si>
  <si>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</si>
  <si>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</si>
  <si>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</si>
  <si>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</si>
  <si>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</si>
  <si>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</si>
  <si>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</si>
  <si>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</si>
  <si>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</si>
  <si>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</si>
  <si>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</si>
  <si>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</si>
  <si>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</si>
  <si>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</si>
  <si>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</si>
  <si>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</si>
  <si>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</si>
  <si>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</si>
  <si>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</si>
  <si>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</si>
  <si>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</si>
  <si>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</si>
  <si>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</si>
  <si>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</si>
  <si>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</si>
  <si>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</si>
  <si>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</si>
  <si>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</si>
  <si>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</si>
  <si>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</si>
  <si>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</si>
  <si>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</si>
  <si>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</si>
  <si>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</si>
  <si>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</si>
  <si>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</si>
  <si>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</si>
  <si>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</si>
  <si>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</si>
  <si>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</si>
  <si>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</si>
  <si>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</si>
  <si>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</si>
  <si>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</si>
  <si>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</si>
  <si>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</si>
  <si>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</si>
  <si>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</si>
  <si>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</si>
  <si>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</si>
  <si>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</si>
  <si>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</si>
  <si>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</si>
  <si>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</si>
  <si>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</si>
  <si>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</si>
  <si>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2018-4</t>
    <phoneticPr fontId="4" type="noConversion"/>
  </si>
  <si>
    <t>2019-2</t>
    <phoneticPr fontId="144" type="noConversion"/>
  </si>
  <si>
    <t>2019-1</t>
    <phoneticPr fontId="4" type="noConversion"/>
  </si>
  <si>
    <t>级别开发程度</t>
    <phoneticPr fontId="4" type="noConversion"/>
  </si>
  <si>
    <t>王鹏</t>
  </si>
  <si>
    <t>郑燚</t>
  </si>
  <si>
    <t>房地产抵押价值</t>
  </si>
  <si>
    <t>抵押</t>
  </si>
  <si>
    <t>其他：</t>
  </si>
  <si>
    <t>企业</t>
  </si>
  <si>
    <t>出让</t>
  </si>
  <si>
    <t>六期</t>
    <phoneticPr fontId="144" type="noConversion"/>
  </si>
  <si>
    <t>七期</t>
    <phoneticPr fontId="144" type="noConversion"/>
  </si>
  <si>
    <t>净用地面积</t>
    <phoneticPr fontId="144" type="noConversion"/>
  </si>
  <si>
    <t>规划建筑面积</t>
    <phoneticPr fontId="144" type="noConversion"/>
  </si>
  <si>
    <t>地上</t>
    <phoneticPr fontId="144" type="noConversion"/>
  </si>
  <si>
    <t>计容</t>
    <phoneticPr fontId="144" type="noConversion"/>
  </si>
  <si>
    <t>高层</t>
    <phoneticPr fontId="144" type="noConversion"/>
  </si>
  <si>
    <t>公寓</t>
    <phoneticPr fontId="144" type="noConversion"/>
  </si>
  <si>
    <t>商业</t>
    <phoneticPr fontId="144" type="noConversion"/>
  </si>
  <si>
    <t>配套设施</t>
    <phoneticPr fontId="144" type="noConversion"/>
  </si>
  <si>
    <t>设备及其他</t>
    <phoneticPr fontId="144" type="noConversion"/>
  </si>
  <si>
    <t>小计</t>
    <phoneticPr fontId="144" type="noConversion"/>
  </si>
  <si>
    <t>不计容</t>
    <phoneticPr fontId="144" type="noConversion"/>
  </si>
  <si>
    <t>设备及其他</t>
    <phoneticPr fontId="144" type="noConversion"/>
  </si>
  <si>
    <t>地下</t>
    <phoneticPr fontId="144" type="noConversion"/>
  </si>
  <si>
    <t>地下车库</t>
    <phoneticPr fontId="144" type="noConversion"/>
  </si>
  <si>
    <t>设备及其他</t>
    <phoneticPr fontId="144" type="noConversion"/>
  </si>
  <si>
    <t>小计</t>
    <phoneticPr fontId="144" type="noConversion"/>
  </si>
  <si>
    <t>合计</t>
    <phoneticPr fontId="144" type="noConversion"/>
  </si>
  <si>
    <t>人防</t>
    <phoneticPr fontId="144"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</si>
  <si>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</si>
  <si>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</si>
  <si>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</si>
  <si>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</si>
  <si>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</si>
  <si>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</si>
  <si>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</si>
  <si>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</si>
  <si>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</si>
  <si>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</si>
  <si>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</si>
  <si>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</si>
  <si>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</si>
  <si>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</si>
  <si>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</si>
  <si>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</si>
  <si>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</si>
  <si>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</si>
  <si>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</si>
  <si>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</si>
  <si>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天府新区华阳街道香山村二组(天府中心天府大道以东范围内,梓州大道西侧,武汉路北侧)</t>
  </si>
  <si>
    <t>成都市</t>
  </si>
  <si>
    <t>综合用地(含住宅)</t>
  </si>
  <si>
    <t>拍卖</t>
  </si>
  <si>
    <t>TF(07/05):2018-32</t>
  </si>
  <si>
    <t>住宅兼容商业服务业设施用地</t>
  </si>
  <si>
    <t>≥1.0且≤2.0</t>
  </si>
  <si>
    <t>2018-12-27</t>
  </si>
  <si>
    <t>成公资土拍告(2018)59号</t>
  </si>
  <si>
    <t>中海佳隆成都房地产开发有限公司</t>
  </si>
  <si>
    <t>住宅用地70年商服用地40年</t>
  </si>
  <si>
    <t>4星</t>
  </si>
  <si>
    <t>天府新区正兴街道田家寺村四、五组(天府中心天府大道以西范围内,武汉路南侧,杭州路北侧,嘉州路西侧)</t>
  </si>
  <si>
    <t>TF(07/05):2018-30</t>
  </si>
  <si>
    <t>≥1.0且≤3.0</t>
  </si>
  <si>
    <t>北京首都开发股份有限公司</t>
  </si>
  <si>
    <t>天府新区华阳街道香山村二、四组(天府中心天府大道以东范围内,梓州大道西侧,武汉路北侧)</t>
  </si>
  <si>
    <t>TF(07/05):2018-31</t>
  </si>
  <si>
    <t>住宅兼容商业服务业设施用地、服务设施用地(幼儿园)</t>
  </si>
  <si>
    <t>地块二、三:≥1.0且≤2.0</t>
  </si>
  <si>
    <t>成都希瑞房地产开发有限公司</t>
  </si>
  <si>
    <t>3星</t>
  </si>
  <si>
    <t>天府新区正兴街道秦皇寺村五组,兴隆街道罗家店村二、三组(夔州路东侧,兴康二街北侧)</t>
  </si>
  <si>
    <t>TF(05/07):2018-27</t>
  </si>
  <si>
    <t>商业服务业设施兼容住宅用地、幼儿园用地</t>
  </si>
  <si>
    <t>≥0.93且≤4.12</t>
  </si>
  <si>
    <t>2018-12-14</t>
  </si>
  <si>
    <t>成公资土拍告(2018)54号</t>
  </si>
  <si>
    <t>CHARMING*LAND*LIMITED</t>
  </si>
  <si>
    <t>2星</t>
  </si>
  <si>
    <t>天府新区煎茶街道五里村一、二、六、八组,茶林村二组(科学城中路南侧,天府大道西侧)</t>
  </si>
  <si>
    <t>TF(05/07):2018-20</t>
  </si>
  <si>
    <t>住宅用地、商服用地</t>
  </si>
  <si>
    <t>详见规划条件</t>
  </si>
  <si>
    <t>2018-09-14</t>
  </si>
  <si>
    <t>成公资土拍告(2018)42号</t>
  </si>
  <si>
    <t>成都紫光锦润置业有限公司</t>
  </si>
  <si>
    <t>1星</t>
  </si>
  <si>
    <t>天府新区煎茶街道五里村六、八组,茶林村二组(科学城中路南侧,天府大道西侧)</t>
  </si>
  <si>
    <t>TF(05/07):2018-21</t>
  </si>
  <si>
    <t>成都紫光芯源科技服务有限公司</t>
  </si>
  <si>
    <t>天府新区煎茶街道茶林村二、三、四、五组、村集体(科学城中路南侧,天府大道西侧)</t>
  </si>
  <si>
    <t>TF(07/05):2018-23</t>
  </si>
  <si>
    <t>天府新区煎茶街道茶林村二、三、五、八组、村集体(科学城中路南侧,天府大道西侧)</t>
  </si>
  <si>
    <t>TF(05/07):2018-22</t>
  </si>
  <si>
    <t>天府新区煎茶街道茶林村四、五组,鹿溪河村五组(科学城中路南侧,天府大道西侧)</t>
  </si>
  <si>
    <t>TF(07/05):2018-18</t>
  </si>
  <si>
    <t>综合容积率2.49</t>
  </si>
  <si>
    <t>2018-08-21</t>
  </si>
  <si>
    <t>成公资土拍告(2018)34号</t>
  </si>
  <si>
    <t>成都紫光诚润置业有限公司</t>
  </si>
  <si>
    <t>住宅用地70年、商服用地40年</t>
  </si>
  <si>
    <t>天府新区煎茶街道茶林村四、六、七组,鹿溪河村五组(科学城中路南侧,天府大道西侧)</t>
  </si>
  <si>
    <t>TF(07/05):2018-19</t>
  </si>
  <si>
    <t>综合容积率2.35</t>
  </si>
  <si>
    <t>成都紫光芯悦科技服务有限公司</t>
  </si>
  <si>
    <t>天府新区煎茶街道茶林村四组、五组,鹿溪河村五组(科学城中路南侧,天府大道西侧)</t>
  </si>
  <si>
    <t>TF(07/05):2018-17</t>
  </si>
  <si>
    <t>计算容积率*1.4915</t>
  </si>
  <si>
    <t>天府新区华阳街道鹤林村三、五组(剑南大道东侧、沈阳路北侧)</t>
  </si>
  <si>
    <t>TF(07/05):2018-11</t>
  </si>
  <si>
    <t>2018-07-24</t>
  </si>
  <si>
    <t>成公资土拍告(2018)30号</t>
  </si>
  <si>
    <t>成都德商达置业有限公司</t>
  </si>
  <si>
    <t>5星</t>
  </si>
  <si>
    <t>TF(07/05):2018-12</t>
  </si>
  <si>
    <t>①住宅兼容商业用地≥1.0且≤2.0</t>
  </si>
  <si>
    <t>首创置业成都有限公司</t>
  </si>
  <si>
    <t>天府新区正兴街道秦皇寺村五组(天府中心范围内,宁波路以北,杭州路以南)</t>
  </si>
  <si>
    <t>TF(05/07):2018-14</t>
  </si>
  <si>
    <t>商业服务业设施兼容住宅用地</t>
  </si>
  <si>
    <t>2018-06-28</t>
  </si>
  <si>
    <t>成公资土拍告(2018)26号</t>
  </si>
  <si>
    <t>四川天府携创房地产开发有限责任公司</t>
  </si>
  <si>
    <t>商服用地40年住宅用地70年</t>
  </si>
  <si>
    <t>天府新区万安街道高饭店村二、三组(天府新城范围内,梓州大道东侧,武汉路北侧)</t>
  </si>
  <si>
    <t>TF(07/05):2018-10</t>
  </si>
  <si>
    <t>二类住宅兼容商业用地、幼儿园用地</t>
  </si>
  <si>
    <t>2018-06-14</t>
  </si>
  <si>
    <t>成公资土拍告(2018)23号</t>
  </si>
  <si>
    <t>成都航逸置业有限公司</t>
  </si>
  <si>
    <t>天府新区兴隆街道跑马梗村三、四组(科学城范围内,梓州大道以东、科学城中路以北)</t>
  </si>
  <si>
    <t>TF(05/07)2017-41</t>
  </si>
  <si>
    <t>2018-02-08</t>
  </si>
  <si>
    <t>成公资土拍告(2018)4号</t>
  </si>
  <si>
    <t>成都天府新区投资集团有限公司</t>
  </si>
  <si>
    <t>商服用地40年、住宅用地70年</t>
  </si>
  <si>
    <t>天府新区华阳街道鹤林村五组(剑南大道东侧、沈阳路南侧)</t>
  </si>
  <si>
    <t>住宅用地</t>
  </si>
  <si>
    <t>TF(07):2017-36</t>
  </si>
  <si>
    <t>住宅</t>
  </si>
  <si>
    <t>≥1.0且≤2.5</t>
  </si>
  <si>
    <t>2017-12-28</t>
  </si>
  <si>
    <t>成公资土拍告[2017]49号</t>
  </si>
  <si>
    <t>北京首钢房地产开发有限公司</t>
  </si>
  <si>
    <t>住宅70年</t>
  </si>
  <si>
    <t>天府新区华阳街道香山村六组、八组、九组(天府大道西侧、梓州大道南侧)</t>
  </si>
  <si>
    <t>TF(07):2017-38</t>
  </si>
  <si>
    <t>住宅兼容商业;商业服务业设施兼容住宅;服务设施;幼儿园</t>
  </si>
  <si>
    <t>综合2.69</t>
  </si>
  <si>
    <t>东莞市中天程锦实业投资有限公司</t>
  </si>
  <si>
    <t>住宅70年商业40年</t>
  </si>
  <si>
    <t>天府新区华阳街道一心村九组、鹤林村五组(剑南大道东侧、沈阳路南侧)</t>
  </si>
  <si>
    <t>TF(07):2017-37</t>
  </si>
  <si>
    <t>住宅兼容商业;幼儿园</t>
  </si>
  <si>
    <t>综合2.11</t>
  </si>
  <si>
    <t>成都保利天新房地产开发有限公司</t>
  </si>
  <si>
    <t>天府新区兴隆街道保水村四组(成都科学城范围内,梓州大道西侧、科学城北路南侧)</t>
  </si>
  <si>
    <t>TF(05/07):2017-32</t>
  </si>
  <si>
    <t>综合容积率≤2.91</t>
  </si>
  <si>
    <t>2017-11-29</t>
  </si>
  <si>
    <t>成公资土拍告(2017)37号</t>
  </si>
  <si>
    <t>中核和品成都地产有限公司</t>
  </si>
  <si>
    <t>天府新区兴隆街道罗家店村一、二、三组,正兴街道凉风顶村五、六组,秦皇寺村五组(天府中心范围内,通州路以西、福州路以东)</t>
  </si>
  <si>
    <t>TF(07/05):2017-21</t>
  </si>
  <si>
    <t>详见标书</t>
  </si>
  <si>
    <t>2017-11-28</t>
  </si>
  <si>
    <t>成公资土拍告[2017]36号</t>
  </si>
  <si>
    <t>中海地产集团有限公司</t>
  </si>
  <si>
    <t>天府新区正兴街道田家寺村四、五组,大安桥村一组</t>
  </si>
  <si>
    <t>TF(07/05):2017-19</t>
  </si>
  <si>
    <t>住宅兼容商业用地、服务设施用地</t>
  </si>
  <si>
    <t>≤2.34</t>
  </si>
  <si>
    <t>2017-09-21</t>
  </si>
  <si>
    <t>成公资土拍告[2017]22号</t>
  </si>
  <si>
    <t>成都万润锦置业有限公司</t>
  </si>
  <si>
    <t>天府新区华阳街道办事处一心村六组,鹤林村四组</t>
  </si>
  <si>
    <t>TF(07/05):2017-17</t>
  </si>
  <si>
    <t>住宅兼容商业用地</t>
  </si>
  <si>
    <t>成都金色华府置业有限公司</t>
  </si>
  <si>
    <t>天府新区正兴街道田家寺村三、四组,田家寺村集体</t>
  </si>
  <si>
    <t>TF(07/05):2017-18</t>
  </si>
  <si>
    <t>①≤2.40</t>
  </si>
  <si>
    <t>天府新区兴隆街道保水村四、五、六组(成都科学城范围内,梓州大道西侧、科学城北路北侧)</t>
  </si>
  <si>
    <t>TF(05/07):2016-27</t>
  </si>
  <si>
    <t>商服用地、住宅用地</t>
  </si>
  <si>
    <t>≤2.4</t>
  </si>
  <si>
    <t>2017-01-10</t>
  </si>
  <si>
    <t>成公资土拍告[2016]44号-1</t>
  </si>
  <si>
    <t>中建材料技术研究成都有限公司,成都华府锦城中建房地产开发有限公司</t>
  </si>
  <si>
    <t>天府新区兴隆街道宝塘村三组,煎茶街道五里村五组(成都科学城范围内,天府大道东侧、环湖路西侧)</t>
  </si>
  <si>
    <t>TF(05/07):2016-37</t>
  </si>
  <si>
    <t>≥1且≤5.5</t>
  </si>
  <si>
    <t>2016-12-29</t>
  </si>
  <si>
    <t>成公资土拍告[2016]42号-4</t>
  </si>
  <si>
    <t>成都天投地产开发有限公司,成都天府新区投资集团有限公司</t>
  </si>
  <si>
    <t>天府新区正兴街道凉风顶村三、四组,兴隆街道宝塘村六组(成都科学城范围内,环湖路北侧、科学城北路南侧)</t>
  </si>
  <si>
    <t>TF(07/05):2016-39</t>
  </si>
  <si>
    <t>≥1且≤2.8</t>
  </si>
  <si>
    <t>成公资土拍告[2016]42号-9</t>
  </si>
  <si>
    <t>天府新区兴隆街道跑马埂村一组、宝塘村二组,煎茶街道青松村一组(成都科学城范围内,科学城中路北侧、环湖路南侧)</t>
  </si>
  <si>
    <t>TF(07/05):2016-44</t>
  </si>
  <si>
    <t>≥1且≤3.5</t>
  </si>
  <si>
    <t>成公资土拍告[2016]42号-7</t>
  </si>
  <si>
    <t>天府新区煎茶街道五里村六组(成都科学城范围内,天府大道东侧、科学城中路北侧)</t>
  </si>
  <si>
    <t>TF(07/05):2016-38</t>
  </si>
  <si>
    <t>≥1且≤4</t>
  </si>
  <si>
    <t>成公资土拍告[2016]42号-8</t>
  </si>
  <si>
    <t>天府新区煎茶街道五里村五组(成都科学城范围内,天府大道西侧、鹿溪河东侧)</t>
  </si>
  <si>
    <t>TF(07/05):2016-40</t>
  </si>
  <si>
    <t>≥1且≤3</t>
  </si>
  <si>
    <t>成公资土拍告[2016]42号-3</t>
  </si>
  <si>
    <t>天府新区煎茶街道青松村一组、五里村七组(成都科学城范围内,科学城中路北侧、环湖路南侧)</t>
  </si>
  <si>
    <t>TF(07/05):2016-45</t>
  </si>
  <si>
    <t>成公资土拍告[2016]42号-2</t>
  </si>
  <si>
    <t>天府新区兴隆街道三根松村二、三、五组(成都科学城范围内,绵州路西侧、海口路北侧)</t>
  </si>
  <si>
    <t>TF(07/05):2016-42</t>
  </si>
  <si>
    <t>≥1且≤2.3</t>
  </si>
  <si>
    <t>成公资土拍告[2016]42号-6</t>
  </si>
  <si>
    <t>天府新区兴隆街道保水村五、七组(成都科学城范围内,梓州大道西侧、科学城北路北侧)</t>
  </si>
  <si>
    <t>TF(07/05):2016-41</t>
  </si>
  <si>
    <t>成公资土拍告[2016]42号-5</t>
  </si>
  <si>
    <t>天府新区兴隆街道三根松村三组,跑马埂村三组(成都科学城范围内,绵州路西侧、海口路南侧)</t>
  </si>
  <si>
    <t>TF(07/05):2016-43</t>
  </si>
  <si>
    <t>≥1且≤2.4</t>
  </si>
  <si>
    <t>成公资土拍告[2016]42号-1</t>
  </si>
  <si>
    <t>天府新区兴隆街道罗家店村四、五组(天府商务区范围内,武汉路南侧、夔州大道东侧)</t>
  </si>
  <si>
    <t>TF(07/05):2016-17</t>
  </si>
  <si>
    <t>2016-07-21</t>
  </si>
  <si>
    <t>成公资土拍告[2016]23号-2</t>
  </si>
  <si>
    <t>天府新区华阳街道一心村六、八组,鹤林村四组(锦江生态带范围内,剑南大道东侧、沈阳路北侧)</t>
  </si>
  <si>
    <t>TF(07/05):2016-16</t>
  </si>
  <si>
    <t>≥1且≤2.2</t>
  </si>
  <si>
    <t>成公资土拍告[2016]23号-3</t>
  </si>
  <si>
    <t>成都优品道置地有限公司</t>
  </si>
  <si>
    <t>天府新区兴隆街道罗家店村三、四组,罗家店村集体(天府商务区,武汉路南侧、夔州大道东侧)</t>
  </si>
  <si>
    <t>TF(07/05):2016-18</t>
  </si>
  <si>
    <t>≥1且≤3.37</t>
  </si>
  <si>
    <t>成公资土拍告[2016]23号-1</t>
  </si>
  <si>
    <t>成都天投地产开发有限公司</t>
  </si>
  <si>
    <t>地上</t>
  </si>
  <si>
    <t>地上</t>
    <phoneticPr fontId="144" type="noConversion"/>
  </si>
  <si>
    <t>61#</t>
    <phoneticPr fontId="144" type="noConversion"/>
  </si>
  <si>
    <t>62#</t>
  </si>
  <si>
    <t>63#</t>
  </si>
  <si>
    <t>64#</t>
  </si>
  <si>
    <t>65#</t>
  </si>
  <si>
    <t>66#</t>
  </si>
  <si>
    <t>67#</t>
  </si>
  <si>
    <t>68#</t>
  </si>
  <si>
    <t>69#</t>
  </si>
  <si>
    <t>地下</t>
  </si>
  <si>
    <t>地下</t>
    <phoneticPr fontId="144" type="noConversion"/>
  </si>
  <si>
    <t>规划</t>
    <phoneticPr fontId="144" type="noConversion"/>
  </si>
  <si>
    <t>现状</t>
    <phoneticPr fontId="144" type="noConversion"/>
  </si>
  <si>
    <t>六期</t>
    <phoneticPr fontId="144" type="noConversion"/>
  </si>
  <si>
    <t>七期</t>
    <phoneticPr fontId="144" type="noConversion"/>
  </si>
  <si>
    <t>证号</t>
    <phoneticPr fontId="144" type="noConversion"/>
  </si>
  <si>
    <t>土地使用权人</t>
    <phoneticPr fontId="144" type="noConversion"/>
  </si>
  <si>
    <t>坐落</t>
    <phoneticPr fontId="144" type="noConversion"/>
  </si>
  <si>
    <t>地号</t>
    <phoneticPr fontId="144" type="noConversion"/>
  </si>
  <si>
    <t>用途</t>
    <phoneticPr fontId="144" type="noConversion"/>
  </si>
  <si>
    <t>终止日期</t>
    <phoneticPr fontId="144" type="noConversion"/>
  </si>
  <si>
    <t>土地面积</t>
    <phoneticPr fontId="144" type="noConversion"/>
  </si>
  <si>
    <t>一期</t>
    <phoneticPr fontId="144" type="noConversion"/>
  </si>
  <si>
    <t>双国用（2006）第01024号</t>
    <phoneticPr fontId="144" type="noConversion"/>
  </si>
  <si>
    <t>成都心怡房地产开发有限公司</t>
    <phoneticPr fontId="144" type="noConversion"/>
  </si>
  <si>
    <t>双流县华阳镇广福社区</t>
    <phoneticPr fontId="144" type="noConversion"/>
  </si>
  <si>
    <t>2/7/80</t>
    <phoneticPr fontId="144" type="noConversion"/>
  </si>
  <si>
    <t>住宅2076年1月26日；商业2046年1月26日</t>
    <phoneticPr fontId="144" type="noConversion"/>
  </si>
  <si>
    <t>二期</t>
    <phoneticPr fontId="144" type="noConversion"/>
  </si>
  <si>
    <t>成天国用（2014）第1945号</t>
    <phoneticPr fontId="144" type="noConversion"/>
  </si>
  <si>
    <t>成都市天府新区华阳街道广福社区</t>
    <phoneticPr fontId="144" type="noConversion"/>
  </si>
  <si>
    <t>510122051000GB01035</t>
    <phoneticPr fontId="144" type="noConversion"/>
  </si>
  <si>
    <t>地上</t>
    <phoneticPr fontId="4" type="noConversion"/>
  </si>
  <si>
    <t>车库</t>
  </si>
  <si>
    <t>是</t>
  </si>
  <si>
    <t>住宅</t>
    <phoneticPr fontId="8" type="noConversion"/>
  </si>
  <si>
    <t>商业</t>
    <phoneticPr fontId="8" type="noConversion"/>
  </si>
  <si>
    <t>地下车库</t>
    <phoneticPr fontId="8" type="noConversion"/>
  </si>
  <si>
    <t>在建（套用方法）</t>
  </si>
  <si>
    <t>按租金收入计税</t>
  </si>
  <si>
    <t>钢混</t>
  </si>
  <si>
    <t>非生产用房</t>
  </si>
  <si>
    <t>专业</t>
  </si>
  <si>
    <t>专业</t>
    <phoneticPr fontId="26" type="noConversion"/>
  </si>
  <si>
    <t>六通</t>
  </si>
  <si>
    <t>六通</t>
    <phoneticPr fontId="26" type="noConversion"/>
  </si>
  <si>
    <t>平层</t>
  </si>
  <si>
    <t>平层</t>
    <phoneticPr fontId="26" type="noConversion"/>
  </si>
  <si>
    <t>精装</t>
  </si>
  <si>
    <t>精装</t>
    <phoneticPr fontId="26" type="noConversion"/>
  </si>
  <si>
    <t>简装</t>
    <phoneticPr fontId="26" type="noConversion"/>
  </si>
  <si>
    <t>毛坯</t>
  </si>
  <si>
    <t>毛坯</t>
    <phoneticPr fontId="26" type="noConversion"/>
  </si>
  <si>
    <t>中档</t>
  </si>
  <si>
    <t>中档</t>
    <phoneticPr fontId="26" type="noConversion"/>
  </si>
  <si>
    <t>钢混</t>
    <phoneticPr fontId="26" type="noConversion"/>
  </si>
  <si>
    <t>高层</t>
  </si>
  <si>
    <t>高层</t>
    <phoneticPr fontId="26" type="noConversion"/>
  </si>
  <si>
    <t>正常</t>
  </si>
  <si>
    <t>住宅</t>
    <phoneticPr fontId="26" type="noConversion"/>
  </si>
  <si>
    <t>60-70（含）</t>
  </si>
  <si>
    <t>较好</t>
  </si>
  <si>
    <t>收益法（商业）</t>
  </si>
  <si>
    <t>收益法（地下车库）</t>
  </si>
  <si>
    <t>光大兴陇有限责任公司</t>
    <phoneticPr fontId="7" type="noConversion"/>
  </si>
  <si>
    <t>四川省</t>
    <phoneticPr fontId="7" type="noConversion"/>
  </si>
  <si>
    <t>成都市天府新区华阳街道广福社区“恒大天府半岛”居住项目六期</t>
    <phoneticPr fontId="7" type="noConversion"/>
  </si>
  <si>
    <t>成都心怡房地产开发有限公司</t>
    <phoneticPr fontId="7" type="noConversion"/>
  </si>
  <si>
    <t>50-60（含）</t>
  </si>
  <si>
    <t>住宅、商业及地下车库</t>
    <phoneticPr fontId="7" type="noConversion"/>
  </si>
  <si>
    <t>住宅56.6年、商业23.6年及地下车库33.6年</t>
    <phoneticPr fontId="7" type="noConversion"/>
  </si>
  <si>
    <r>
      <rPr>
        <sz val="12"/>
        <color theme="9" tint="-0.249977111117893"/>
        <rFont val="宋体"/>
        <family val="3"/>
        <charset val="134"/>
      </rPr>
      <t>《恒大天府半岛六期综合技术经济指标表》</t>
    </r>
    <r>
      <rPr>
        <sz val="12"/>
        <color theme="9" tint="-0.249977111117893"/>
        <rFont val="Arial"/>
        <family val="2"/>
      </rPr>
      <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</si>
  <si>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成天国用（2014）第1945号</t>
    </r>
    <r>
      <rPr>
        <sz val="12"/>
        <color theme="9" tint="-0.249977111117893"/>
        <rFont val="Arial"/>
        <family val="2"/>
      </rPr>
      <t>]</t>
    </r>
    <phoneticPr fontId="7" type="noConversion"/>
  </si>
  <si>
    <t>否</t>
  </si>
  <si>
    <t>《国有土地使用证》</t>
  </si>
  <si>
    <t>复印件</t>
  </si>
  <si>
    <t>居住项目</t>
  </si>
  <si>
    <t>在建</t>
  </si>
  <si>
    <t>正在进行主体结构施工</t>
    <phoneticPr fontId="7" type="noConversion"/>
  </si>
  <si>
    <t>通路</t>
  </si>
  <si>
    <t>通电</t>
  </si>
  <si>
    <t>通讯</t>
  </si>
  <si>
    <t>通上水</t>
  </si>
  <si>
    <t>通下水</t>
  </si>
  <si>
    <t>燃气</t>
  </si>
  <si>
    <r>
      <rPr>
        <sz val="11"/>
        <color indexed="10"/>
        <rFont val="宋体"/>
        <family val="3"/>
        <charset val="134"/>
      </rPr>
      <t>其他省市请录依据文件名称：http://gk.chengdu.gov.cn/govInfoPub/detail.action?id=75782&amp;tn=6</t>
    </r>
    <phoneticPr fontId="4" type="noConversion"/>
  </si>
  <si>
    <r>
      <rPr>
        <sz val="11"/>
        <color theme="1"/>
        <rFont val="宋体"/>
        <family val="3"/>
        <charset val="134"/>
      </rPr>
      <t>请录依据文件名称：http://gk.chengdu.gov.cn/govInfoPub/detail.action?id=781462&amp;tn=2</t>
    </r>
    <phoneticPr fontId="4" type="noConversion"/>
  </si>
  <si>
    <t>省会市名称</t>
  </si>
  <si>
    <t>建筑型式</t>
  </si>
  <si>
    <t>说明</t>
  </si>
  <si>
    <t>多层</t>
  </si>
  <si>
    <t>小高层</t>
  </si>
  <si>
    <t>成都</t>
  </si>
  <si>
    <t>1.本指标为清水房，含土建和一般水电安装。不含土方、地基处理、门窗、精装修、消防弱电、总平绿化等
2.本指标较上半年分别上涨了3.8%、3.5%、3.2%，原因主要是钢材上涨了4.42%，商砼上涨16%、预拌砂浆上涨了2.7%。</t>
  </si>
  <si>
    <t>成本法</t>
  </si>
  <si>
    <t>假设开发法</t>
  </si>
  <si>
    <t>项目局部</t>
  </si>
  <si>
    <t>成本比率</t>
  </si>
  <si>
    <t>未包含在土地购买价格中</t>
  </si>
  <si>
    <t>已包含在土地取得成本中</t>
  </si>
  <si>
    <t>成都市监测指标情况一览表</t>
  </si>
  <si>
    <t>时间</t>
  </si>
  <si>
    <t>水平值</t>
  </si>
  <si>
    <t>环比增长率</t>
  </si>
  <si>
    <t>住宅</t>
    <phoneticPr fontId="144" type="noConversion"/>
  </si>
  <si>
    <t>商服</t>
    <phoneticPr fontId="144" type="noConversion"/>
  </si>
  <si>
    <t>一般</t>
  </si>
  <si>
    <t>规划建筑面积</t>
  </si>
  <si>
    <t>分摊土地面积</t>
  </si>
  <si>
    <t>住宅、商业及地下车库</t>
  </si>
  <si>
    <t>配建</t>
    <phoneticPr fontId="32" type="noConversion"/>
  </si>
  <si>
    <t>0-10%</t>
    <phoneticPr fontId="32" type="noConversion"/>
  </si>
  <si>
    <t>0-10%</t>
    <phoneticPr fontId="32" type="noConversion"/>
  </si>
  <si>
    <t>http://www.sohu.com/a/213382389_667312</t>
    <phoneticPr fontId="144" type="noConversion"/>
  </si>
  <si>
    <t>http://www.sohu.com/a/285135327_768654</t>
    <phoneticPr fontId="144" type="noConversion"/>
  </si>
  <si>
    <t>http://www.sohu.com/a/243140188_667312</t>
    <phoneticPr fontId="144" type="noConversion"/>
  </si>
  <si>
    <t>https://www.sohu.com/a/235740196_667312</t>
    <phoneticPr fontId="144" type="noConversion"/>
  </si>
  <si>
    <t>保利·万科保利翡翠和悦</t>
    <phoneticPr fontId="32" type="noConversion"/>
  </si>
  <si>
    <t>万科·公园传奇</t>
    <phoneticPr fontId="32" type="noConversion"/>
  </si>
  <si>
    <t>首钢·蓉璟台</t>
    <phoneticPr fontId="32" type="noConversion"/>
  </si>
  <si>
    <t>沈阳路</t>
    <phoneticPr fontId="32" type="noConversion"/>
  </si>
  <si>
    <t>梓州大道</t>
    <phoneticPr fontId="32" type="noConversion"/>
  </si>
  <si>
    <t>江畔路</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</si>
  <si>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</si>
  <si>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</si>
  <si>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</si>
  <si>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</si>
  <si>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</si>
  <si>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</si>
  <si>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较规则</t>
  </si>
  <si>
    <t>较规则</t>
    <phoneticPr fontId="32" type="noConversion"/>
  </si>
  <si>
    <t>较适宜</t>
  </si>
  <si>
    <t>较适宜</t>
    <phoneticPr fontId="32" type="noConversion"/>
  </si>
  <si>
    <t>六通一平</t>
    <phoneticPr fontId="32" type="noConversion"/>
  </si>
  <si>
    <t>较好</t>
    <phoneticPr fontId="32" type="noConversion"/>
  </si>
  <si>
    <t>建发中央湾区</t>
    <phoneticPr fontId="4" type="noConversion"/>
  </si>
  <si>
    <t>正公路88号</t>
    <phoneticPr fontId="4" type="noConversion"/>
  </si>
  <si>
    <t>阳光城半山悦</t>
    <phoneticPr fontId="4" type="noConversion"/>
  </si>
  <si>
    <t>麓山大道381号</t>
    <phoneticPr fontId="4" type="noConversion"/>
  </si>
  <si>
    <t>天府大道南段西侧</t>
    <phoneticPr fontId="4" type="noConversion"/>
  </si>
  <si>
    <t>远大中央公园</t>
    <phoneticPr fontId="4" type="noConversion"/>
  </si>
  <si>
    <t>好</t>
  </si>
  <si>
    <t>城镇混合住宅用地</t>
    <phoneticPr fontId="144" type="noConversion"/>
  </si>
  <si>
    <t>合计</t>
    <phoneticPr fontId="144" type="noConversion"/>
  </si>
  <si>
    <t>五期</t>
    <phoneticPr fontId="144" type="noConversion"/>
  </si>
  <si>
    <t>八期</t>
    <phoneticPr fontId="144" type="noConversion"/>
  </si>
  <si>
    <t>九期</t>
    <phoneticPr fontId="144" type="noConversion"/>
  </si>
  <si>
    <t>十期</t>
    <phoneticPr fontId="144" type="noConversion"/>
  </si>
  <si>
    <t>用地面积</t>
    <phoneticPr fontId="144" type="noConversion"/>
  </si>
  <si>
    <t>计容建筑面积</t>
    <phoneticPr fontId="144" type="noConversion"/>
  </si>
  <si>
    <t>其中兼容的商业建筑面积比例</t>
    <phoneticPr fontId="144" type="noConversion"/>
  </si>
  <si>
    <t>机动车位数量</t>
    <phoneticPr fontId="144" type="noConversion"/>
  </si>
  <si>
    <t>物管用房</t>
    <phoneticPr fontId="144" type="noConversion"/>
  </si>
  <si>
    <t>垃圾房</t>
    <phoneticPr fontId="144" type="noConversion"/>
  </si>
  <si>
    <t>个</t>
  </si>
  <si>
    <t>机动车位</t>
  </si>
  <si>
    <t>三</t>
  </si>
  <si>
    <t>㎡</t>
  </si>
  <si>
    <t>地下建筑面积</t>
  </si>
  <si>
    <t>（三）</t>
  </si>
  <si>
    <t>地上不计入容积率的建筑面积</t>
  </si>
  <si>
    <t>（二）</t>
  </si>
  <si>
    <t>商业用房建筑面积</t>
  </si>
  <si>
    <t>非住宅建筑面积</t>
  </si>
  <si>
    <t>住宅建筑面积</t>
  </si>
  <si>
    <t>价格（元）</t>
  </si>
  <si>
    <t>地上计入容积率的建筑面积</t>
  </si>
  <si>
    <t>（一）</t>
  </si>
  <si>
    <t>总建筑面积</t>
  </si>
  <si>
    <t>二</t>
  </si>
  <si>
    <t>净用地面积</t>
  </si>
  <si>
    <t>一</t>
  </si>
  <si>
    <t>单位</t>
  </si>
  <si>
    <t>数值</t>
  </si>
  <si>
    <t>项目</t>
  </si>
  <si>
    <t>序号</t>
  </si>
  <si>
    <t>土地面积</t>
    <phoneticPr fontId="144" type="noConversion"/>
  </si>
  <si>
    <t>五期</t>
    <phoneticPr fontId="144" type="noConversion"/>
  </si>
  <si>
    <t>八期</t>
    <phoneticPr fontId="144" type="noConversion"/>
  </si>
  <si>
    <t>地上</t>
    <phoneticPr fontId="144" type="noConversion"/>
  </si>
  <si>
    <t>住宅</t>
    <phoneticPr fontId="144" type="noConversion"/>
  </si>
  <si>
    <t>商业</t>
    <phoneticPr fontId="144" type="noConversion"/>
  </si>
  <si>
    <t>设备及其他</t>
    <phoneticPr fontId="144" type="noConversion"/>
  </si>
  <si>
    <t>小计</t>
    <phoneticPr fontId="144" type="noConversion"/>
  </si>
  <si>
    <t>地下</t>
    <phoneticPr fontId="144" type="noConversion"/>
  </si>
  <si>
    <t>机动车位数量</t>
    <phoneticPr fontId="144" type="noConversion"/>
  </si>
  <si>
    <t>地下车库</t>
    <phoneticPr fontId="144" type="noConversion"/>
  </si>
  <si>
    <t>合计</t>
    <phoneticPr fontId="144" type="noConversion"/>
  </si>
  <si>
    <t>计容建筑面积</t>
    <phoneticPr fontId="144" type="noConversion"/>
  </si>
  <si>
    <t>分期</t>
    <phoneticPr fontId="144" type="noConversion"/>
  </si>
  <si>
    <t>容积率</t>
    <phoneticPr fontId="144" type="noConversion"/>
  </si>
  <si>
    <t>计容容积率</t>
    <phoneticPr fontId="144" type="noConversion"/>
  </si>
  <si>
    <t>商业占比</t>
    <phoneticPr fontId="144" type="noConversion"/>
  </si>
  <si>
    <t>计容容积率</t>
    <phoneticPr fontId="144" type="noConversion"/>
  </si>
  <si>
    <t>商业占比</t>
    <phoneticPr fontId="144" type="noConversion"/>
  </si>
  <si>
    <t>商业占比</t>
    <phoneticPr fontId="32" type="noConversion"/>
  </si>
  <si>
    <r>
      <t>0-10%</t>
    </r>
    <r>
      <rPr>
        <sz val="11"/>
        <color indexed="8"/>
        <rFont val="宋体"/>
        <family val="3"/>
        <charset val="134"/>
      </rPr>
      <t>（含）</t>
    </r>
    <phoneticPr fontId="32" type="noConversion"/>
  </si>
  <si>
    <r>
      <t>10-30%</t>
    </r>
    <r>
      <rPr>
        <sz val="11"/>
        <color indexed="8"/>
        <rFont val="宋体"/>
        <family val="3"/>
        <charset val="134"/>
      </rPr>
      <t>（含）</t>
    </r>
    <phoneticPr fontId="32" type="noConversion"/>
  </si>
  <si>
    <t>单个车位个数</t>
    <phoneticPr fontId="144"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</si>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</sst>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1"/>
      <name val="宋体"/>
      <family val="2"/>
      <charset val="134"/>
    </font>
    <font>
      <u/>
      <sz val="11"/>
      <color theme="10"/>
      <name val="宋体"/>
      <family val="3"/>
      <charset val="134"/>
      <scheme val="minor"/>
    </font>
    <font>
      <u/>
      <sz val="11"/>
      <color theme="11"/>
      <name val="宋体"/>
      <family val="3"/>
      <charset val="134"/>
      <scheme val="minor"/>
    </font>
    <font>
      <sz val="11"/>
      <name val="宋体"/>
      <family val="3"/>
      <charset val="134"/>
      <scheme val="minor"/>
    </font>
    <font>
      <sz val="10"/>
      <color theme="1"/>
      <name val="微软雅黑"/>
      <family val="2"/>
      <charset val="134"/>
    </font>
    <font>
      <b/>
      <sz val="10"/>
      <color theme="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bgColor indexed="64"/>
      </patternFill>
    </fill>
    <fill>
      <patternFill patternType="solid">
        <fgColor theme="6"/>
        <bgColor indexed="64"/>
      </patternFill>
    </fill>
    <fill>
      <patternFill patternType="solid">
        <fgColor theme="2"/>
        <bgColor indexed="64"/>
      </patternFill>
    </fill>
    <fill>
      <patternFill patternType="solid">
        <fgColor theme="0" tint="-0.499984740745262"/>
        <bgColor indexed="64"/>
      </patternFill>
    </fill>
    <fill>
      <patternFill patternType="solid">
        <fgColor rgb="FFFFC00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3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 fillId="0" borderId="0"/>
    <xf numFmtId="0" fontId="57" fillId="0" borderId="0"/>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7" fillId="0" borderId="0" applyNumberFormat="0" applyFill="0" applyBorder="0" applyAlignment="0" applyProtection="0">
      <alignment vertical="center"/>
    </xf>
    <xf numFmtId="0" fontId="256" fillId="0" borderId="0" applyNumberFormat="0" applyFill="0" applyBorder="0" applyAlignment="0" applyProtection="0">
      <alignment vertical="center"/>
    </xf>
  </cellStyleXfs>
  <cellXfs count="338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 fillId="0" borderId="0" xfId="17"/>
    <xf numFmtId="0" fontId="57" fillId="0" borderId="0" xfId="18"/>
    <xf numFmtId="0" fontId="81" fillId="2" borderId="4" xfId="0" applyFont="1" applyFill="1" applyBorder="1" applyAlignment="1" applyProtection="1">
      <alignment horizontal="left" vertical="center"/>
      <protection locked="0"/>
    </xf>
    <xf numFmtId="177" fontId="81" fillId="0" borderId="1" xfId="1" applyNumberFormat="1" applyFont="1" applyFill="1" applyBorder="1" applyAlignment="1" applyProtection="1">
      <alignment vertical="center"/>
      <protection locked="0" hidden="1"/>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wrapText="1"/>
      <protection locked="0"/>
    </xf>
    <xf numFmtId="0" fontId="191" fillId="0" borderId="1" xfId="0" applyFont="1" applyBorder="1" applyAlignment="1" applyProtection="1">
      <alignment horizontal="left" vertical="center"/>
      <protection locked="0"/>
    </xf>
    <xf numFmtId="0" fontId="51" fillId="7" borderId="16" xfId="0" applyFont="1" applyFill="1" applyBorder="1" applyAlignment="1" applyProtection="1">
      <alignment horizontal="center" vertical="center"/>
      <protection locked="0"/>
    </xf>
    <xf numFmtId="0" fontId="51" fillId="7" borderId="19" xfId="0" applyFont="1" applyFill="1" applyBorder="1" applyAlignment="1" applyProtection="1">
      <alignment horizontal="center" vertical="center"/>
      <protection locked="0"/>
    </xf>
    <xf numFmtId="0" fontId="51" fillId="7" borderId="19" xfId="0" applyFont="1" applyFill="1" applyBorder="1" applyAlignment="1" applyProtection="1">
      <alignment vertical="center"/>
      <protection locked="0"/>
    </xf>
    <xf numFmtId="0" fontId="51" fillId="7" borderId="31" xfId="0" applyFont="1" applyFill="1" applyBorder="1" applyAlignment="1" applyProtection="1">
      <alignment vertical="center"/>
      <protection locked="0"/>
    </xf>
    <xf numFmtId="0" fontId="51" fillId="7" borderId="18" xfId="0" applyFont="1" applyFill="1" applyBorder="1" applyAlignment="1" applyProtection="1">
      <alignment horizontal="center" vertical="center"/>
      <protection locked="0"/>
    </xf>
    <xf numFmtId="0" fontId="51" fillId="7" borderId="0" xfId="0" applyFont="1" applyFill="1" applyBorder="1" applyAlignment="1" applyProtection="1">
      <alignment vertical="center"/>
      <protection locked="0"/>
    </xf>
    <xf numFmtId="0" fontId="51" fillId="7" borderId="56" xfId="0" applyFont="1" applyFill="1" applyBorder="1" applyAlignment="1" applyProtection="1">
      <alignment vertical="center"/>
      <protection locked="0"/>
    </xf>
    <xf numFmtId="0" fontId="51" fillId="7" borderId="42" xfId="0" applyFont="1" applyFill="1" applyBorder="1" applyAlignment="1" applyProtection="1">
      <alignment horizontal="center" vertical="center"/>
      <protection locked="0"/>
    </xf>
    <xf numFmtId="0" fontId="51" fillId="7" borderId="47" xfId="0" applyFont="1" applyFill="1" applyBorder="1" applyAlignment="1" applyProtection="1">
      <alignment horizontal="center" vertical="center"/>
      <protection locked="0"/>
    </xf>
    <xf numFmtId="0" fontId="51" fillId="7" borderId="47" xfId="0" applyFont="1" applyFill="1" applyBorder="1" applyAlignment="1" applyProtection="1">
      <alignment vertical="center"/>
      <protection locked="0"/>
    </xf>
    <xf numFmtId="0" fontId="51" fillId="7" borderId="43" xfId="0" applyFont="1" applyFill="1" applyBorder="1" applyAlignment="1" applyProtection="1">
      <alignment vertical="center"/>
      <protection locked="0"/>
    </xf>
    <xf numFmtId="0" fontId="0" fillId="0" borderId="0" xfId="0" applyAlignment="1">
      <alignment horizontal="left" vertical="center"/>
    </xf>
    <xf numFmtId="0" fontId="258" fillId="0" borderId="1" xfId="0" applyFont="1" applyBorder="1" applyAlignment="1">
      <alignment horizontal="left" vertical="center"/>
    </xf>
    <xf numFmtId="0" fontId="258" fillId="0" borderId="24" xfId="0" applyFont="1" applyBorder="1" applyAlignment="1">
      <alignment horizontal="left" vertical="center"/>
    </xf>
    <xf numFmtId="0" fontId="258" fillId="0" borderId="23" xfId="0" applyFont="1" applyBorder="1" applyAlignment="1">
      <alignment horizontal="left" vertical="center"/>
    </xf>
    <xf numFmtId="0" fontId="258" fillId="0" borderId="25" xfId="0" applyFont="1" applyBorder="1" applyAlignment="1">
      <alignment horizontal="left" vertical="center"/>
    </xf>
    <xf numFmtId="0" fontId="258" fillId="0" borderId="32" xfId="0" applyFont="1" applyBorder="1" applyAlignment="1">
      <alignment horizontal="left" vertical="center"/>
    </xf>
    <xf numFmtId="0" fontId="258" fillId="0" borderId="49" xfId="0" applyFont="1" applyBorder="1" applyAlignment="1">
      <alignment horizontal="left" vertical="center"/>
    </xf>
    <xf numFmtId="0" fontId="57" fillId="0" borderId="0" xfId="18" applyFill="1"/>
    <xf numFmtId="0" fontId="57" fillId="18" borderId="0" xfId="18" applyFill="1"/>
    <xf numFmtId="0" fontId="138" fillId="0" borderId="46" xfId="0" applyFont="1" applyFill="1" applyBorder="1" applyAlignment="1" applyProtection="1">
      <alignment horizontal="center" vertical="center" wrapText="1"/>
      <protection locked="0"/>
    </xf>
    <xf numFmtId="0" fontId="68" fillId="6" borderId="0" xfId="0" applyFont="1" applyFill="1" applyBorder="1" applyAlignment="1" applyProtection="1">
      <alignment vertical="center"/>
      <protection locked="0"/>
    </xf>
    <xf numFmtId="0" fontId="256" fillId="18" borderId="0" xfId="37" applyFill="1" applyAlignment="1"/>
    <xf numFmtId="0" fontId="256" fillId="0" borderId="0" xfId="37" applyFill="1" applyAlignment="1"/>
    <xf numFmtId="0" fontId="256" fillId="0" borderId="0" xfId="37" applyAlignment="1"/>
    <xf numFmtId="49" fontId="99" fillId="0" borderId="35"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55" fillId="8" borderId="7" xfId="0" applyNumberFormat="1" applyFont="1" applyFill="1" applyBorder="1" applyAlignment="1" applyProtection="1">
      <alignment horizontal="center" vertical="center" wrapText="1"/>
      <protection locked="0"/>
    </xf>
    <xf numFmtId="1" fontId="0" fillId="0" borderId="0" xfId="0" applyNumberFormat="1">
      <alignment vertical="center"/>
    </xf>
    <xf numFmtId="1" fontId="74" fillId="3" borderId="20" xfId="0" applyNumberFormat="1" applyFont="1" applyFill="1" applyBorder="1" applyAlignment="1" applyProtection="1">
      <alignment vertical="center" wrapText="1"/>
      <protection locked="0"/>
    </xf>
    <xf numFmtId="0" fontId="259" fillId="0" borderId="1" xfId="17" applyFont="1" applyBorder="1" applyAlignment="1">
      <alignment horizontal="left" vertical="center"/>
    </xf>
    <xf numFmtId="0" fontId="259" fillId="0" borderId="0" xfId="17" applyFont="1"/>
    <xf numFmtId="0" fontId="1" fillId="0" borderId="0" xfId="17" applyAlignment="1">
      <alignment wrapText="1"/>
    </xf>
    <xf numFmtId="0" fontId="259" fillId="0" borderId="1" xfId="17" applyFont="1" applyBorder="1" applyAlignment="1">
      <alignment horizontal="left" vertical="center" wrapText="1"/>
    </xf>
    <xf numFmtId="0" fontId="259" fillId="17" borderId="1" xfId="17" applyFont="1" applyFill="1" applyBorder="1" applyAlignment="1">
      <alignment horizontal="left" vertical="center" wrapText="1"/>
    </xf>
    <xf numFmtId="0" fontId="259" fillId="0" borderId="0" xfId="0" applyFont="1" applyAlignment="1">
      <alignment horizontal="left" vertical="center" wrapText="1"/>
    </xf>
    <xf numFmtId="0" fontId="259" fillId="0" borderId="1" xfId="0" applyFont="1" applyBorder="1" applyAlignment="1">
      <alignment horizontal="left" vertical="center" wrapText="1"/>
    </xf>
    <xf numFmtId="0" fontId="259" fillId="0" borderId="0" xfId="17" applyFont="1" applyAlignment="1">
      <alignment wrapText="1"/>
    </xf>
    <xf numFmtId="0" fontId="259" fillId="0" borderId="0" xfId="17" applyFont="1" applyAlignment="1">
      <alignment horizontal="left" wrapText="1"/>
    </xf>
    <xf numFmtId="0" fontId="259" fillId="0" borderId="0" xfId="17" applyFont="1" applyAlignment="1">
      <alignment horizontal="left" vertical="center"/>
    </xf>
    <xf numFmtId="14" fontId="259" fillId="0" borderId="1" xfId="17" applyNumberFormat="1" applyFont="1" applyBorder="1" applyAlignment="1">
      <alignment horizontal="left" vertical="center" wrapText="1"/>
    </xf>
    <xf numFmtId="0" fontId="100" fillId="0" borderId="0" xfId="0" applyFont="1">
      <alignment vertical="center"/>
    </xf>
    <xf numFmtId="10" fontId="0" fillId="0" borderId="0" xfId="0" applyNumberFormat="1">
      <alignment vertical="center"/>
    </xf>
    <xf numFmtId="0" fontId="20" fillId="0" borderId="1" xfId="0" applyFont="1" applyBorder="1" applyAlignment="1">
      <alignment horizontal="center" vertical="center"/>
    </xf>
    <xf numFmtId="0" fontId="20" fillId="19" borderId="1" xfId="0" applyFont="1" applyFill="1" applyBorder="1" applyAlignment="1">
      <alignment horizontal="center" vertical="center"/>
    </xf>
    <xf numFmtId="0" fontId="139" fillId="19" borderId="1" xfId="0" applyFont="1" applyFill="1" applyBorder="1" applyAlignment="1">
      <alignment horizontal="center" vertical="center"/>
    </xf>
    <xf numFmtId="0" fontId="20" fillId="0" borderId="1" xfId="0" applyFont="1" applyBorder="1" applyAlignment="1">
      <alignment vertical="center"/>
    </xf>
    <xf numFmtId="0" fontId="131" fillId="19" borderId="1" xfId="0" applyFont="1" applyFill="1" applyBorder="1" applyAlignment="1">
      <alignment horizontal="center" vertical="center"/>
    </xf>
    <xf numFmtId="0" fontId="20" fillId="0" borderId="1" xfId="0" applyNumberFormat="1" applyFont="1" applyBorder="1" applyAlignment="1">
      <alignment horizontal="center" vertical="center"/>
    </xf>
    <xf numFmtId="176" fontId="131" fillId="19" borderId="1" xfId="0" applyNumberFormat="1" applyFont="1" applyFill="1" applyBorder="1" applyAlignment="1">
      <alignment horizontal="center" vertical="center"/>
    </xf>
    <xf numFmtId="179" fontId="20" fillId="0" borderId="1" xfId="0" applyNumberFormat="1" applyFont="1" applyBorder="1" applyAlignment="1">
      <alignment horizontal="center" vertical="center"/>
    </xf>
    <xf numFmtId="0" fontId="259" fillId="0" borderId="1" xfId="0" applyFont="1" applyBorder="1" applyAlignment="1">
      <alignment horizontal="left" vertical="center"/>
    </xf>
    <xf numFmtId="0" fontId="259" fillId="20" borderId="1" xfId="0" applyFont="1" applyFill="1" applyBorder="1" applyAlignment="1">
      <alignment horizontal="left" vertical="center"/>
    </xf>
    <xf numFmtId="0" fontId="259" fillId="0" borderId="1" xfId="17" applyFont="1" applyBorder="1" applyAlignment="1">
      <alignment horizontal="left"/>
    </xf>
    <xf numFmtId="0" fontId="259" fillId="0" borderId="1" xfId="17" applyFont="1" applyBorder="1" applyAlignment="1">
      <alignment horizontal="left" wrapText="1"/>
    </xf>
    <xf numFmtId="0" fontId="260" fillId="0" borderId="1" xfId="17" applyFont="1" applyBorder="1" applyAlignment="1">
      <alignment horizontal="left" wrapText="1"/>
    </xf>
    <xf numFmtId="0" fontId="259" fillId="0" borderId="1" xfId="0" applyFont="1" applyBorder="1" applyAlignment="1">
      <alignment horizontal="left" vertical="center"/>
    </xf>
    <xf numFmtId="9" fontId="259" fillId="0" borderId="1" xfId="0" applyNumberFormat="1" applyFont="1" applyBorder="1" applyAlignment="1">
      <alignment horizontal="left" vertical="center"/>
    </xf>
    <xf numFmtId="9" fontId="259" fillId="0" borderId="1" xfId="17" applyNumberFormat="1" applyFont="1" applyBorder="1" applyAlignment="1">
      <alignment horizontal="left" vertical="center" wrapText="1"/>
    </xf>
    <xf numFmtId="0" fontId="259" fillId="17" borderId="1" xfId="17" applyFont="1" applyFill="1" applyBorder="1" applyAlignment="1">
      <alignment horizontal="left" wrapText="1"/>
    </xf>
    <xf numFmtId="0" fontId="259" fillId="0" borderId="1" xfId="17" applyFont="1" applyBorder="1" applyAlignment="1">
      <alignment horizontal="left" vertical="center" wrapText="1"/>
    </xf>
    <xf numFmtId="181" fontId="56" fillId="21" borderId="61" xfId="0" applyNumberFormat="1" applyFont="1" applyFill="1" applyBorder="1" applyAlignment="1" applyProtection="1">
      <alignment horizontal="center" vertical="center"/>
      <protection locked="0"/>
    </xf>
    <xf numFmtId="181" fontId="106" fillId="21" borderId="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9" fillId="0" borderId="1" xfId="17" applyFont="1" applyBorder="1" applyAlignment="1">
      <alignment horizontal="center" vertical="center" wrapText="1"/>
    </xf>
    <xf numFmtId="0" fontId="259" fillId="0" borderId="1" xfId="17" applyFont="1" applyBorder="1" applyAlignment="1">
      <alignment horizontal="left" vertical="center" wrapText="1"/>
    </xf>
    <xf numFmtId="0" fontId="259" fillId="0" borderId="1" xfId="0" applyFont="1" applyBorder="1" applyAlignment="1">
      <alignment horizontal="left" vertical="center" wrapText="1"/>
    </xf>
    <xf numFmtId="0" fontId="259" fillId="0" borderId="5" xfId="0" applyFont="1" applyBorder="1" applyAlignment="1">
      <alignment horizontal="left" vertical="center"/>
    </xf>
    <xf numFmtId="0" fontId="259" fillId="0" borderId="3" xfId="0" applyFont="1" applyBorder="1" applyAlignment="1">
      <alignment horizontal="left" vertical="center"/>
    </xf>
    <xf numFmtId="0" fontId="259" fillId="0" borderId="1" xfId="0" applyFont="1" applyBorder="1" applyAlignment="1">
      <alignment horizontal="left" vertical="center"/>
    </xf>
    <xf numFmtId="0" fontId="259" fillId="0" borderId="13" xfId="0" applyFont="1" applyBorder="1" applyAlignment="1">
      <alignment horizontal="left" vertical="center"/>
    </xf>
    <xf numFmtId="0" fontId="259" fillId="0" borderId="15" xfId="0" applyFont="1" applyBorder="1" applyAlignment="1">
      <alignment horizontal="left" vertical="center"/>
    </xf>
    <xf numFmtId="0" fontId="259" fillId="0" borderId="2" xfId="0" applyFont="1" applyBorder="1" applyAlignment="1">
      <alignment horizontal="left" vertical="center"/>
    </xf>
    <xf numFmtId="0" fontId="259" fillId="20" borderId="13" xfId="0" applyFont="1" applyFill="1" applyBorder="1" applyAlignment="1">
      <alignment horizontal="left" vertical="center"/>
    </xf>
    <xf numFmtId="0" fontId="259" fillId="20" borderId="2" xfId="0" applyFont="1" applyFill="1" applyBorder="1" applyAlignment="1">
      <alignment horizontal="left"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58" fillId="0" borderId="6" xfId="0" applyFont="1" applyBorder="1" applyAlignment="1">
      <alignment horizontal="left" vertical="center"/>
    </xf>
    <xf numFmtId="0" fontId="258" fillId="0" borderId="9" xfId="0" applyFont="1" applyBorder="1" applyAlignment="1">
      <alignment horizontal="left" vertical="center"/>
    </xf>
    <xf numFmtId="0" fontId="258" fillId="0" borderId="10" xfId="0" applyFont="1" applyBorder="1" applyAlignment="1">
      <alignment horizontal="left" vertical="center"/>
    </xf>
    <xf numFmtId="0" fontId="258" fillId="0" borderId="1" xfId="0" applyFont="1" applyBorder="1" applyAlignment="1">
      <alignment horizontal="left" vertical="center"/>
    </xf>
    <xf numFmtId="0" fontId="258" fillId="0" borderId="24" xfId="0" applyFont="1" applyBorder="1" applyAlignment="1">
      <alignment horizontal="left" vertical="center"/>
    </xf>
    <xf numFmtId="0" fontId="258" fillId="0" borderId="23" xfId="0" applyFont="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2" fontId="51" fillId="6" borderId="0" xfId="0" applyNumberFormat="1" applyFont="1" applyFill="1" applyAlignment="1" applyProtection="1">
      <alignment vertical="center"/>
      <protection locked="0"/>
    </xf>
  </cellXfs>
  <cellStyles count="3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hidden="1"/>
    <cellStyle name="超链接" xfId="21" builtinId="8" hidden="1"/>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cellStyle name="普通 2" xfId="17"/>
    <cellStyle name="普通 3" xfId="18"/>
    <cellStyle name="已访问的超链接" xfId="20" builtinId="9" hidden="1"/>
    <cellStyle name="已访问的超链接" xfId="22" builtinId="9" hidden="1"/>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104775</xdr:rowOff>
    </xdr:from>
    <xdr:to>
      <xdr:col>3</xdr:col>
      <xdr:colOff>1121031</xdr:colOff>
      <xdr:row>53</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619875"/>
          <a:ext cx="4483356" cy="2505075"/>
        </a:xfrm>
        <a:prstGeom prst="rect">
          <a:avLst/>
        </a:prstGeom>
      </xdr:spPr>
    </xdr:pic>
    <xdr:clientData/>
  </xdr:twoCellAnchor>
  <xdr:twoCellAnchor editAs="oneCell">
    <xdr:from>
      <xdr:col>0</xdr:col>
      <xdr:colOff>0</xdr:colOff>
      <xdr:row>53</xdr:row>
      <xdr:rowOff>102375</xdr:rowOff>
    </xdr:from>
    <xdr:to>
      <xdr:col>4</xdr:col>
      <xdr:colOff>333375</xdr:colOff>
      <xdr:row>70</xdr:row>
      <xdr:rowOff>111900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189225"/>
          <a:ext cx="4962525" cy="2924175"/>
        </a:xfrm>
        <a:prstGeom prst="rect">
          <a:avLst/>
        </a:prstGeom>
      </xdr:spPr>
    </xdr:pic>
    <xdr:clientData/>
  </xdr:twoCellAnchor>
  <xdr:twoCellAnchor editAs="oneCell">
    <xdr:from>
      <xdr:col>0</xdr:col>
      <xdr:colOff>0</xdr:colOff>
      <xdr:row>71</xdr:row>
      <xdr:rowOff>42826</xdr:rowOff>
    </xdr:from>
    <xdr:to>
      <xdr:col>4</xdr:col>
      <xdr:colOff>178210</xdr:colOff>
      <xdr:row>94</xdr:row>
      <xdr:rowOff>142876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215776"/>
          <a:ext cx="4807360" cy="4043400"/>
        </a:xfrm>
        <a:prstGeom prst="rect">
          <a:avLst/>
        </a:prstGeom>
      </xdr:spPr>
    </xdr:pic>
    <xdr:clientData/>
  </xdr:twoCellAnchor>
  <xdr:twoCellAnchor editAs="oneCell">
    <xdr:from>
      <xdr:col>0</xdr:col>
      <xdr:colOff>0</xdr:colOff>
      <xdr:row>95</xdr:row>
      <xdr:rowOff>107101</xdr:rowOff>
    </xdr:from>
    <xdr:to>
      <xdr:col>4</xdr:col>
      <xdr:colOff>166052</xdr:colOff>
      <xdr:row>117</xdr:row>
      <xdr:rowOff>9525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394851"/>
          <a:ext cx="4795202" cy="3674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407113</xdr:colOff>
      <xdr:row>55</xdr:row>
      <xdr:rowOff>66675</xdr:rowOff>
    </xdr:from>
    <xdr:to>
      <xdr:col>19</xdr:col>
      <xdr:colOff>209156</xdr:colOff>
      <xdr:row>90</xdr:row>
      <xdr:rowOff>76200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7888" y="9953625"/>
          <a:ext cx="5669443" cy="6010275"/>
        </a:xfrm>
        <a:prstGeom prst="rect">
          <a:avLst/>
        </a:prstGeom>
      </xdr:spPr>
    </xdr:pic>
    <xdr:clientData/>
  </xdr:twoCellAnchor>
  <xdr:twoCellAnchor editAs="oneCell">
    <xdr:from>
      <xdr:col>12</xdr:col>
      <xdr:colOff>635713</xdr:colOff>
      <xdr:row>89</xdr:row>
      <xdr:rowOff>37070</xdr:rowOff>
    </xdr:from>
    <xdr:to>
      <xdr:col>19</xdr:col>
      <xdr:colOff>138490</xdr:colOff>
      <xdr:row>127</xdr:row>
      <xdr:rowOff>64275</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46488" y="15753320"/>
          <a:ext cx="5370177" cy="6542305"/>
        </a:xfrm>
        <a:prstGeom prst="rect">
          <a:avLst/>
        </a:prstGeom>
      </xdr:spPr>
    </xdr:pic>
    <xdr:clientData/>
  </xdr:twoCellAnchor>
  <xdr:twoCellAnchor editAs="oneCell">
    <xdr:from>
      <xdr:col>13</xdr:col>
      <xdr:colOff>16588</xdr:colOff>
      <xdr:row>126</xdr:row>
      <xdr:rowOff>56302</xdr:rowOff>
    </xdr:from>
    <xdr:to>
      <xdr:col>19</xdr:col>
      <xdr:colOff>124802</xdr:colOff>
      <xdr:row>167</xdr:row>
      <xdr:rowOff>109500</xdr:rowOff>
    </xdr:to>
    <xdr:pic>
      <xdr:nvPicPr>
        <xdr:cNvPr id="6"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865563" y="22116202"/>
          <a:ext cx="5137414" cy="7082648"/>
        </a:xfrm>
        <a:prstGeom prst="rect">
          <a:avLst/>
        </a:prstGeom>
      </xdr:spPr>
    </xdr:pic>
    <xdr:clientData/>
  </xdr:twoCellAnchor>
  <xdr:twoCellAnchor editAs="oneCell">
    <xdr:from>
      <xdr:col>0</xdr:col>
      <xdr:colOff>0</xdr:colOff>
      <xdr:row>55</xdr:row>
      <xdr:rowOff>133350</xdr:rowOff>
    </xdr:from>
    <xdr:to>
      <xdr:col>5</xdr:col>
      <xdr:colOff>416638</xdr:colOff>
      <xdr:row>87</xdr:row>
      <xdr:rowOff>9525</xdr:rowOff>
    </xdr:to>
    <xdr:pic>
      <xdr:nvPicPr>
        <xdr:cNvPr id="8" name="图片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020300"/>
          <a:ext cx="4560013" cy="5362575"/>
        </a:xfrm>
        <a:prstGeom prst="rect">
          <a:avLst/>
        </a:prstGeom>
      </xdr:spPr>
    </xdr:pic>
    <xdr:clientData/>
  </xdr:twoCellAnchor>
  <xdr:twoCellAnchor editAs="oneCell">
    <xdr:from>
      <xdr:col>0</xdr:col>
      <xdr:colOff>130549</xdr:colOff>
      <xdr:row>86</xdr:row>
      <xdr:rowOff>169050</xdr:rowOff>
    </xdr:from>
    <xdr:to>
      <xdr:col>5</xdr:col>
      <xdr:colOff>452338</xdr:colOff>
      <xdr:row>118</xdr:row>
      <xdr:rowOff>45225</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0549" y="15370950"/>
          <a:ext cx="4465164" cy="5362575"/>
        </a:xfrm>
        <a:prstGeom prst="rect">
          <a:avLst/>
        </a:prstGeom>
      </xdr:spPr>
    </xdr:pic>
    <xdr:clientData/>
  </xdr:twoCellAnchor>
  <xdr:twoCellAnchor editAs="oneCell">
    <xdr:from>
      <xdr:col>0</xdr:col>
      <xdr:colOff>165238</xdr:colOff>
      <xdr:row>118</xdr:row>
      <xdr:rowOff>102177</xdr:rowOff>
    </xdr:from>
    <xdr:to>
      <xdr:col>5</xdr:col>
      <xdr:colOff>421363</xdr:colOff>
      <xdr:row>153</xdr:row>
      <xdr:rowOff>157124</xdr:rowOff>
    </xdr:to>
    <xdr:pic>
      <xdr:nvPicPr>
        <xdr:cNvPr id="10" name="图片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5238" y="20790477"/>
          <a:ext cx="4399500" cy="6055697"/>
        </a:xfrm>
        <a:prstGeom prst="rect">
          <a:avLst/>
        </a:prstGeom>
      </xdr:spPr>
    </xdr:pic>
    <xdr:clientData/>
  </xdr:twoCellAnchor>
  <xdr:twoCellAnchor editAs="oneCell">
    <xdr:from>
      <xdr:col>5</xdr:col>
      <xdr:colOff>744287</xdr:colOff>
      <xdr:row>55</xdr:row>
      <xdr:rowOff>47625</xdr:rowOff>
    </xdr:from>
    <xdr:to>
      <xdr:col>11</xdr:col>
      <xdr:colOff>788113</xdr:colOff>
      <xdr:row>89</xdr:row>
      <xdr:rowOff>38100</xdr:rowOff>
    </xdr:to>
    <xdr:pic>
      <xdr:nvPicPr>
        <xdr:cNvPr id="11" name="图片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87662" y="9934575"/>
          <a:ext cx="5073026" cy="5819775"/>
        </a:xfrm>
        <a:prstGeom prst="rect">
          <a:avLst/>
        </a:prstGeom>
      </xdr:spPr>
    </xdr:pic>
    <xdr:clientData/>
  </xdr:twoCellAnchor>
  <xdr:twoCellAnchor editAs="oneCell">
    <xdr:from>
      <xdr:col>5</xdr:col>
      <xdr:colOff>682585</xdr:colOff>
      <xdr:row>89</xdr:row>
      <xdr:rowOff>2077</xdr:rowOff>
    </xdr:from>
    <xdr:to>
      <xdr:col>11</xdr:col>
      <xdr:colOff>823813</xdr:colOff>
      <xdr:row>124</xdr:row>
      <xdr:rowOff>121425</xdr:rowOff>
    </xdr:to>
    <xdr:pic>
      <xdr:nvPicPr>
        <xdr:cNvPr id="12" name="图片 1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25960" y="15718327"/>
          <a:ext cx="5170428" cy="6120098"/>
        </a:xfrm>
        <a:prstGeom prst="rect">
          <a:avLst/>
        </a:prstGeom>
      </xdr:spPr>
    </xdr:pic>
    <xdr:clientData/>
  </xdr:twoCellAnchor>
  <xdr:twoCellAnchor editAs="oneCell">
    <xdr:from>
      <xdr:col>6</xdr:col>
      <xdr:colOff>34716</xdr:colOff>
      <xdr:row>123</xdr:row>
      <xdr:rowOff>87647</xdr:rowOff>
    </xdr:from>
    <xdr:to>
      <xdr:col>11</xdr:col>
      <xdr:colOff>697587</xdr:colOff>
      <xdr:row>162</xdr:row>
      <xdr:rowOff>138075</xdr:rowOff>
    </xdr:to>
    <xdr:pic>
      <xdr:nvPicPr>
        <xdr:cNvPr id="13" name="图片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016291" y="21633197"/>
          <a:ext cx="4853871" cy="6736978"/>
        </a:xfrm>
        <a:prstGeom prst="rect">
          <a:avLst/>
        </a:prstGeom>
      </xdr:spPr>
    </xdr:pic>
    <xdr:clientData/>
  </xdr:twoCellAnchor>
  <xdr:twoCellAnchor editAs="oneCell">
    <xdr:from>
      <xdr:col>0</xdr:col>
      <xdr:colOff>0</xdr:colOff>
      <xdr:row>13</xdr:row>
      <xdr:rowOff>28575</xdr:rowOff>
    </xdr:from>
    <xdr:to>
      <xdr:col>12</xdr:col>
      <xdr:colOff>47625</xdr:colOff>
      <xdr:row>54</xdr:row>
      <xdr:rowOff>52214</xdr:rowOff>
    </xdr:to>
    <xdr:pic>
      <xdr:nvPicPr>
        <xdr:cNvPr id="14" name="图片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2714625"/>
          <a:ext cx="10058400" cy="7053089"/>
        </a:xfrm>
        <a:prstGeom prst="rect">
          <a:avLst/>
        </a:prstGeom>
      </xdr:spPr>
    </xdr:pic>
    <xdr:clientData/>
  </xdr:twoCellAnchor>
  <xdr:twoCellAnchor>
    <xdr:from>
      <xdr:col>0</xdr:col>
      <xdr:colOff>47625</xdr:colOff>
      <xdr:row>37</xdr:row>
      <xdr:rowOff>161925</xdr:rowOff>
    </xdr:from>
    <xdr:to>
      <xdr:col>2</xdr:col>
      <xdr:colOff>685800</xdr:colOff>
      <xdr:row>44</xdr:row>
      <xdr:rowOff>9525</xdr:rowOff>
    </xdr:to>
    <xdr:sp macro="" textlink="">
      <xdr:nvSpPr>
        <xdr:cNvPr id="3" name="圆角矩形标注 2"/>
        <xdr:cNvSpPr/>
      </xdr:nvSpPr>
      <xdr:spPr>
        <a:xfrm>
          <a:off x="47625" y="6962775"/>
          <a:ext cx="2295525" cy="1047750"/>
        </a:xfrm>
        <a:prstGeom prst="wedgeRoundRectCallout">
          <a:avLst>
            <a:gd name="adj1" fmla="val 82432"/>
            <a:gd name="adj2" fmla="val -43387"/>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首钢   </a:t>
          </a:r>
          <a:r>
            <a:rPr lang="en-US" altLang="zh-CN" sz="1000">
              <a:solidFill>
                <a:sysClr val="windowText" lastClr="000000"/>
              </a:solidFill>
            </a:rPr>
            <a:t>2.5   </a:t>
          </a:r>
          <a:r>
            <a:rPr lang="en-US" altLang="zh-CN" sz="1000" b="0" i="0">
              <a:solidFill>
                <a:sysClr val="windowText" lastClr="000000"/>
              </a:solidFill>
              <a:effectLst/>
              <a:latin typeface="+mn-lt"/>
              <a:ea typeface="+mn-ea"/>
              <a:cs typeface="+mn-cs"/>
            </a:rPr>
            <a:t>1220   7329   </a:t>
          </a:r>
        </a:p>
        <a:p>
          <a:pPr algn="l"/>
          <a:r>
            <a:rPr lang="zh-CN" altLang="en-US" sz="1000" b="0" i="0">
              <a:solidFill>
                <a:sysClr val="windowText" lastClr="000000"/>
              </a:solidFill>
              <a:effectLst/>
              <a:latin typeface="+mn-lt"/>
              <a:ea typeface="+mn-ea"/>
              <a:cs typeface="+mn-cs"/>
            </a:rPr>
            <a:t>配建并无偿移交住房面积</a:t>
          </a:r>
          <a:r>
            <a:rPr lang="en-US" altLang="zh-CN" sz="1000" b="0" i="0">
              <a:solidFill>
                <a:sysClr val="windowText" lastClr="000000"/>
              </a:solidFill>
              <a:effectLst/>
              <a:latin typeface="+mn-lt"/>
              <a:ea typeface="+mn-ea"/>
              <a:cs typeface="+mn-cs"/>
            </a:rPr>
            <a:t>:10%</a:t>
          </a:r>
          <a:endParaRPr lang="en-US" altLang="zh-CN" sz="1000">
            <a:solidFill>
              <a:sysClr val="windowText" lastClr="000000"/>
            </a:solidFill>
          </a:endParaRPr>
        </a:p>
        <a:p>
          <a:pPr algn="l"/>
          <a:endParaRPr lang="en-US" altLang="zh-CN" sz="1000">
            <a:solidFill>
              <a:sysClr val="windowText" lastClr="000000"/>
            </a:solidFill>
          </a:endParaRPr>
        </a:p>
        <a:p>
          <a:pPr algn="l"/>
          <a:r>
            <a:rPr lang="zh-CN" altLang="en-US" sz="1000">
              <a:solidFill>
                <a:sysClr val="windowText" lastClr="000000"/>
              </a:solidFill>
            </a:rPr>
            <a:t>保利   </a:t>
          </a:r>
          <a:r>
            <a:rPr lang="en-US" altLang="zh-CN" sz="1000">
              <a:solidFill>
                <a:sysClr val="windowText" lastClr="000000"/>
              </a:solidFill>
            </a:rPr>
            <a:t>2.11</a:t>
          </a:r>
          <a:r>
            <a:rPr lang="zh-CN" altLang="en-US" sz="1000">
              <a:solidFill>
                <a:sysClr val="windowText" lastClr="000000"/>
              </a:solidFill>
            </a:rPr>
            <a:t>   </a:t>
          </a:r>
          <a:r>
            <a:rPr lang="en-US" altLang="zh-CN" sz="1000" b="0" i="0">
              <a:solidFill>
                <a:sysClr val="windowText" lastClr="000000"/>
              </a:solidFill>
              <a:effectLst/>
              <a:latin typeface="+mn-lt"/>
              <a:ea typeface="+mn-ea"/>
              <a:cs typeface="+mn-cs"/>
            </a:rPr>
            <a:t>1219   7324</a:t>
          </a:r>
        </a:p>
        <a:p>
          <a:pPr marL="0" marR="0" indent="0" algn="l" defTabSz="914400" eaLnBrk="1" fontAlgn="auto" latinLnBrk="0" hangingPunct="1">
            <a:lnSpc>
              <a:spcPct val="100000"/>
            </a:lnSpc>
            <a:spcBef>
              <a:spcPts val="0"/>
            </a:spcBef>
            <a:spcAft>
              <a:spcPts val="0"/>
            </a:spcAft>
            <a:buClrTx/>
            <a:buSzTx/>
            <a:buFontTx/>
            <a:buNone/>
            <a:tabLst/>
            <a:defRPr/>
          </a:pPr>
          <a:r>
            <a:rPr lang="zh-CN" altLang="zh-CN" sz="1000" b="0" i="0">
              <a:solidFill>
                <a:sysClr val="windowText" lastClr="000000"/>
              </a:solidFill>
              <a:effectLst/>
              <a:latin typeface="+mn-lt"/>
              <a:ea typeface="+mn-ea"/>
              <a:cs typeface="+mn-cs"/>
            </a:rPr>
            <a:t>配建并无偿移交住房面积</a:t>
          </a:r>
          <a:r>
            <a:rPr lang="en-US" altLang="zh-CN" sz="1000" b="0" i="0">
              <a:solidFill>
                <a:sysClr val="windowText" lastClr="000000"/>
              </a:solidFill>
              <a:effectLst/>
              <a:latin typeface="+mn-lt"/>
              <a:ea typeface="+mn-ea"/>
              <a:cs typeface="+mn-cs"/>
            </a:rPr>
            <a:t>:10%</a:t>
          </a:r>
          <a:endParaRPr lang="zh-CN" altLang="zh-CN" sz="1000">
            <a:solidFill>
              <a:sysClr val="windowText" lastClr="000000"/>
            </a:solidFill>
            <a:effectLst/>
          </a:endParaRPr>
        </a:p>
      </xdr:txBody>
    </xdr:sp>
    <xdr:clientData/>
  </xdr:twoCellAnchor>
  <xdr:twoCellAnchor>
    <xdr:from>
      <xdr:col>0</xdr:col>
      <xdr:colOff>57150</xdr:colOff>
      <xdr:row>33</xdr:row>
      <xdr:rowOff>76200</xdr:rowOff>
    </xdr:from>
    <xdr:to>
      <xdr:col>2</xdr:col>
      <xdr:colOff>695325</xdr:colOff>
      <xdr:row>36</xdr:row>
      <xdr:rowOff>114300</xdr:rowOff>
    </xdr:to>
    <xdr:sp macro="" textlink="">
      <xdr:nvSpPr>
        <xdr:cNvPr id="15" name="圆角矩形标注 14"/>
        <xdr:cNvSpPr/>
      </xdr:nvSpPr>
      <xdr:spPr>
        <a:xfrm>
          <a:off x="57150" y="6191250"/>
          <a:ext cx="2295525" cy="552450"/>
        </a:xfrm>
        <a:prstGeom prst="wedgeRoundRectCallout">
          <a:avLst>
            <a:gd name="adj1" fmla="val 99444"/>
            <a:gd name="adj2" fmla="val 2570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首创   </a:t>
          </a:r>
          <a:r>
            <a:rPr lang="en-US" altLang="zh-CN" sz="1000">
              <a:solidFill>
                <a:sysClr val="windowText" lastClr="000000"/>
              </a:solidFill>
            </a:rPr>
            <a:t>2   </a:t>
          </a:r>
          <a:r>
            <a:rPr lang="en-US" altLang="zh-CN" sz="1000" b="0" i="0">
              <a:solidFill>
                <a:sysClr val="windowText" lastClr="000000"/>
              </a:solidFill>
              <a:effectLst/>
              <a:latin typeface="+mn-lt"/>
              <a:ea typeface="+mn-ea"/>
              <a:cs typeface="+mn-cs"/>
            </a:rPr>
            <a:t>1489   11180  </a:t>
          </a:r>
          <a:endParaRPr lang="en-US" altLang="zh-CN" sz="1000">
            <a:solidFill>
              <a:sysClr val="windowText" lastClr="000000"/>
            </a:solidFill>
          </a:endParaRPr>
        </a:p>
        <a:p>
          <a:pPr algn="l"/>
          <a:r>
            <a:rPr lang="zh-CN" altLang="en-US" sz="1000">
              <a:solidFill>
                <a:sysClr val="windowText" lastClr="000000"/>
              </a:solidFill>
            </a:rPr>
            <a:t>德商   </a:t>
          </a:r>
          <a:r>
            <a:rPr lang="en-US" altLang="zh-CN" sz="1000">
              <a:solidFill>
                <a:sysClr val="windowText" lastClr="000000"/>
              </a:solidFill>
            </a:rPr>
            <a:t>2</a:t>
          </a:r>
          <a:r>
            <a:rPr lang="zh-CN" altLang="en-US" sz="1000">
              <a:solidFill>
                <a:sysClr val="windowText" lastClr="000000"/>
              </a:solidFill>
            </a:rPr>
            <a:t>   </a:t>
          </a:r>
          <a:r>
            <a:rPr lang="en-US" altLang="zh-CN" sz="1000" b="0" i="0">
              <a:solidFill>
                <a:sysClr val="windowText" lastClr="000000"/>
              </a:solidFill>
              <a:effectLst/>
              <a:latin typeface="+mn-lt"/>
              <a:ea typeface="+mn-ea"/>
              <a:cs typeface="+mn-cs"/>
            </a:rPr>
            <a:t>1460   10951</a:t>
          </a:r>
        </a:p>
      </xdr:txBody>
    </xdr:sp>
    <xdr:clientData/>
  </xdr:twoCellAnchor>
  <xdr:twoCellAnchor>
    <xdr:from>
      <xdr:col>0</xdr:col>
      <xdr:colOff>57150</xdr:colOff>
      <xdr:row>49</xdr:row>
      <xdr:rowOff>19050</xdr:rowOff>
    </xdr:from>
    <xdr:to>
      <xdr:col>2</xdr:col>
      <xdr:colOff>695325</xdr:colOff>
      <xdr:row>51</xdr:row>
      <xdr:rowOff>85725</xdr:rowOff>
    </xdr:to>
    <xdr:sp macro="" textlink="">
      <xdr:nvSpPr>
        <xdr:cNvPr id="17" name="圆角矩形标注 16"/>
        <xdr:cNvSpPr/>
      </xdr:nvSpPr>
      <xdr:spPr>
        <a:xfrm>
          <a:off x="57150" y="8877300"/>
          <a:ext cx="2295525" cy="409575"/>
        </a:xfrm>
        <a:prstGeom prst="wedgeRoundRectCallout">
          <a:avLst>
            <a:gd name="adj1" fmla="val 151726"/>
            <a:gd name="adj2" fmla="val 18126"/>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首开   </a:t>
          </a:r>
          <a:r>
            <a:rPr lang="en-US" altLang="zh-CN" sz="1000">
              <a:solidFill>
                <a:sysClr val="windowText" lastClr="000000"/>
              </a:solidFill>
            </a:rPr>
            <a:t>3   </a:t>
          </a:r>
          <a:r>
            <a:rPr lang="en-US" altLang="zh-CN" sz="1000" b="0" i="0">
              <a:solidFill>
                <a:sysClr val="windowText" lastClr="000000"/>
              </a:solidFill>
              <a:effectLst/>
              <a:latin typeface="+mn-lt"/>
              <a:ea typeface="+mn-ea"/>
              <a:cs typeface="+mn-cs"/>
            </a:rPr>
            <a:t>1980   9902  </a:t>
          </a:r>
          <a:endParaRPr lang="en-US" altLang="zh-CN" sz="1000">
            <a:solidFill>
              <a:sysClr val="windowText" lastClr="000000"/>
            </a:solidFill>
          </a:endParaRPr>
        </a:p>
      </xdr:txBody>
    </xdr:sp>
    <xdr:clientData/>
  </xdr:twoCellAnchor>
  <xdr:twoCellAnchor>
    <xdr:from>
      <xdr:col>9</xdr:col>
      <xdr:colOff>114300</xdr:colOff>
      <xdr:row>45</xdr:row>
      <xdr:rowOff>57149</xdr:rowOff>
    </xdr:from>
    <xdr:to>
      <xdr:col>11</xdr:col>
      <xdr:colOff>733425</xdr:colOff>
      <xdr:row>52</xdr:row>
      <xdr:rowOff>114300</xdr:rowOff>
    </xdr:to>
    <xdr:sp macro="" textlink="">
      <xdr:nvSpPr>
        <xdr:cNvPr id="18" name="圆角矩形标注 17"/>
        <xdr:cNvSpPr/>
      </xdr:nvSpPr>
      <xdr:spPr>
        <a:xfrm>
          <a:off x="7610475" y="8229599"/>
          <a:ext cx="2295525" cy="1257301"/>
        </a:xfrm>
        <a:prstGeom prst="wedgeRoundRectCallout">
          <a:avLst>
            <a:gd name="adj1" fmla="val -71096"/>
            <a:gd name="adj2" fmla="val -31328"/>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中海   </a:t>
          </a:r>
          <a:r>
            <a:rPr lang="en-US" altLang="zh-CN" sz="1000">
              <a:solidFill>
                <a:sysClr val="windowText" lastClr="000000"/>
              </a:solidFill>
            </a:rPr>
            <a:t>2   </a:t>
          </a:r>
          <a:r>
            <a:rPr lang="en-US" altLang="zh-CN" sz="1000" b="0" i="0">
              <a:solidFill>
                <a:sysClr val="windowText" lastClr="000000"/>
              </a:solidFill>
              <a:effectLst/>
              <a:latin typeface="+mn-lt"/>
              <a:ea typeface="+mn-ea"/>
              <a:cs typeface="+mn-cs"/>
            </a:rPr>
            <a:t>1510   11326</a:t>
          </a:r>
        </a:p>
        <a:p>
          <a:pPr algn="l"/>
          <a:endParaRPr lang="en-US" altLang="zh-CN" sz="1000" b="0" i="0">
            <a:solidFill>
              <a:sysClr val="windowText" lastClr="000000"/>
            </a:solidFill>
            <a:effectLst/>
            <a:latin typeface="+mn-lt"/>
            <a:ea typeface="+mn-ea"/>
            <a:cs typeface="+mn-cs"/>
          </a:endParaRPr>
        </a:p>
        <a:p>
          <a:pPr algn="l"/>
          <a:r>
            <a:rPr lang="zh-CN" altLang="en-US" sz="1000" b="0" i="0">
              <a:solidFill>
                <a:sysClr val="windowText" lastClr="000000"/>
              </a:solidFill>
              <a:effectLst/>
              <a:latin typeface="+mn-lt"/>
              <a:ea typeface="+mn-ea"/>
              <a:cs typeface="+mn-cs"/>
            </a:rPr>
            <a:t>希瑞   </a:t>
          </a:r>
          <a:r>
            <a:rPr lang="en-US" altLang="zh-CN" sz="1000" b="0" i="0">
              <a:solidFill>
                <a:sysClr val="windowText" lastClr="000000"/>
              </a:solidFill>
              <a:effectLst/>
              <a:latin typeface="+mn-lt"/>
              <a:ea typeface="+mn-ea"/>
              <a:cs typeface="+mn-cs"/>
            </a:rPr>
            <a:t>2   1427   10709</a:t>
          </a:r>
        </a:p>
        <a:p>
          <a:pPr algn="l"/>
          <a:endParaRPr lang="en-US" altLang="zh-CN" sz="1000" b="0" i="0">
            <a:solidFill>
              <a:sysClr val="windowText" lastClr="000000"/>
            </a:solidFill>
            <a:effectLst/>
            <a:latin typeface="+mn-lt"/>
            <a:ea typeface="+mn-ea"/>
            <a:cs typeface="+mn-cs"/>
          </a:endParaRPr>
        </a:p>
        <a:p>
          <a:r>
            <a:rPr lang="zh-CN" altLang="en-US" sz="1000" b="0" i="0">
              <a:solidFill>
                <a:sysClr val="windowText" lastClr="000000"/>
              </a:solidFill>
              <a:effectLst/>
              <a:latin typeface="+mn-lt"/>
              <a:ea typeface="+mn-ea"/>
              <a:cs typeface="+mn-cs"/>
            </a:rPr>
            <a:t>万科   </a:t>
          </a:r>
          <a:r>
            <a:rPr lang="en-US" altLang="zh-CN" sz="1000" b="0" i="0">
              <a:solidFill>
                <a:sysClr val="windowText" lastClr="000000"/>
              </a:solidFill>
              <a:effectLst/>
              <a:latin typeface="+mn-lt"/>
              <a:ea typeface="+mn-ea"/>
              <a:cs typeface="+mn-cs"/>
            </a:rPr>
            <a:t>2.69    1459</a:t>
          </a:r>
          <a:r>
            <a:rPr lang="en-US" altLang="zh-CN" sz="1000" b="0" i="0" baseline="0">
              <a:solidFill>
                <a:sysClr val="windowText" lastClr="000000"/>
              </a:solidFill>
              <a:effectLst/>
              <a:latin typeface="+mn-lt"/>
              <a:ea typeface="+mn-ea"/>
              <a:cs typeface="+mn-cs"/>
            </a:rPr>
            <a:t>    7162</a:t>
          </a:r>
          <a:endParaRPr lang="zh-CN" altLang="zh-CN" sz="1000">
            <a:solidFill>
              <a:sysClr val="windowText" lastClr="000000"/>
            </a:solidFill>
            <a:effectLst/>
          </a:endParaRPr>
        </a:p>
        <a:p>
          <a:pPr eaLnBrk="1" fontAlgn="auto" latinLnBrk="0" hangingPunct="1"/>
          <a:r>
            <a:rPr lang="zh-CN" altLang="zh-CN" sz="1000" b="0" i="0">
              <a:solidFill>
                <a:sysClr val="windowText" lastClr="000000"/>
              </a:solidFill>
              <a:effectLst/>
              <a:latin typeface="+mn-lt"/>
              <a:ea typeface="+mn-ea"/>
              <a:cs typeface="+mn-cs"/>
            </a:rPr>
            <a:t>配建并无偿移交住房面积</a:t>
          </a:r>
          <a:r>
            <a:rPr lang="en-US" altLang="zh-CN" sz="1000" b="0" i="0">
              <a:solidFill>
                <a:sysClr val="windowText" lastClr="000000"/>
              </a:solidFill>
              <a:effectLst/>
              <a:latin typeface="+mn-lt"/>
              <a:ea typeface="+mn-ea"/>
              <a:cs typeface="+mn-cs"/>
            </a:rPr>
            <a:t>:10%</a:t>
          </a:r>
          <a:endParaRPr lang="zh-CN" altLang="zh-CN" sz="1000">
            <a:solidFill>
              <a:sysClr val="windowText" lastClr="000000"/>
            </a:solidFill>
            <a:effectLst/>
          </a:endParaRPr>
        </a:p>
      </xdr:txBody>
    </xdr:sp>
    <xdr:clientData/>
  </xdr:twoCellAnchor>
  <xdr:twoCellAnchor>
    <xdr:from>
      <xdr:col>9</xdr:col>
      <xdr:colOff>180975</xdr:colOff>
      <xdr:row>33</xdr:row>
      <xdr:rowOff>95250</xdr:rowOff>
    </xdr:from>
    <xdr:to>
      <xdr:col>11</xdr:col>
      <xdr:colOff>800100</xdr:colOff>
      <xdr:row>37</xdr:row>
      <xdr:rowOff>76200</xdr:rowOff>
    </xdr:to>
    <xdr:sp macro="" textlink="">
      <xdr:nvSpPr>
        <xdr:cNvPr id="19" name="圆角矩形标注 18"/>
        <xdr:cNvSpPr/>
      </xdr:nvSpPr>
      <xdr:spPr>
        <a:xfrm>
          <a:off x="7677150" y="6210300"/>
          <a:ext cx="2295525" cy="666750"/>
        </a:xfrm>
        <a:prstGeom prst="wedgeRoundRectCallout">
          <a:avLst>
            <a:gd name="adj1" fmla="val -45784"/>
            <a:gd name="adj2" fmla="val 12025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000">
              <a:solidFill>
                <a:sysClr val="windowText" lastClr="000000"/>
              </a:solidFill>
            </a:rPr>
            <a:t>保利   </a:t>
          </a:r>
          <a:r>
            <a:rPr lang="en-US" altLang="zh-CN" sz="1000">
              <a:solidFill>
                <a:sysClr val="windowText" lastClr="000000"/>
              </a:solidFill>
            </a:rPr>
            <a:t>1265    </a:t>
          </a:r>
          <a:r>
            <a:rPr lang="en-US" altLang="zh-CN" sz="1100" b="0" i="0">
              <a:solidFill>
                <a:sysClr val="windowText" lastClr="000000"/>
              </a:solidFill>
              <a:effectLst/>
              <a:latin typeface="+mn-lt"/>
              <a:ea typeface="+mn-ea"/>
              <a:cs typeface="+mn-cs"/>
            </a:rPr>
            <a:t>12667</a:t>
          </a:r>
          <a:endParaRPr lang="en-US" altLang="zh-CN" sz="1000" b="0" i="0">
            <a:solidFill>
              <a:sysClr val="windowText" lastClr="000000"/>
            </a:solidFill>
            <a:effectLst/>
            <a:latin typeface="+mn-lt"/>
            <a:ea typeface="+mn-ea"/>
            <a:cs typeface="+mn-cs"/>
          </a:endParaRPr>
        </a:p>
      </xdr:txBody>
    </xdr:sp>
    <xdr:clientData/>
  </xdr:twoCellAnchor>
  <xdr:twoCellAnchor>
    <xdr:from>
      <xdr:col>3</xdr:col>
      <xdr:colOff>514350</xdr:colOff>
      <xdr:row>47</xdr:row>
      <xdr:rowOff>104775</xdr:rowOff>
    </xdr:from>
    <xdr:to>
      <xdr:col>3</xdr:col>
      <xdr:colOff>723900</xdr:colOff>
      <xdr:row>48</xdr:row>
      <xdr:rowOff>142875</xdr:rowOff>
    </xdr:to>
    <xdr:sp macro="" textlink="">
      <xdr:nvSpPr>
        <xdr:cNvPr id="2" name="椭圆 1"/>
        <xdr:cNvSpPr/>
      </xdr:nvSpPr>
      <xdr:spPr>
        <a:xfrm>
          <a:off x="3000375" y="8620125"/>
          <a:ext cx="209550" cy="2095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685800</xdr:colOff>
      <xdr:row>27</xdr:row>
      <xdr:rowOff>19050</xdr:rowOff>
    </xdr:from>
    <xdr:to>
      <xdr:col>5</xdr:col>
      <xdr:colOff>66675</xdr:colOff>
      <xdr:row>28</xdr:row>
      <xdr:rowOff>57150</xdr:rowOff>
    </xdr:to>
    <xdr:sp macro="" textlink="">
      <xdr:nvSpPr>
        <xdr:cNvPr id="20" name="椭圆 19"/>
        <xdr:cNvSpPr/>
      </xdr:nvSpPr>
      <xdr:spPr>
        <a:xfrm>
          <a:off x="4000500" y="5105400"/>
          <a:ext cx="209550" cy="2095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104775</xdr:colOff>
      <xdr:row>27</xdr:row>
      <xdr:rowOff>152400</xdr:rowOff>
    </xdr:from>
    <xdr:to>
      <xdr:col>7</xdr:col>
      <xdr:colOff>314325</xdr:colOff>
      <xdr:row>29</xdr:row>
      <xdr:rowOff>19050</xdr:rowOff>
    </xdr:to>
    <xdr:sp macro="" textlink="">
      <xdr:nvSpPr>
        <xdr:cNvPr id="21" name="椭圆 20"/>
        <xdr:cNvSpPr/>
      </xdr:nvSpPr>
      <xdr:spPr>
        <a:xfrm>
          <a:off x="5924550" y="5238750"/>
          <a:ext cx="209550" cy="2095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558800</xdr:colOff>
      <xdr:row>25</xdr:row>
      <xdr:rowOff>87369</xdr:rowOff>
    </xdr:to>
    <xdr:pic>
      <xdr:nvPicPr>
        <xdr:cNvPr id="2" name="图片 1" descr="屏幕快照 2019-06-14 下午11.17.36.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988300" cy="4532369"/>
        </a:xfrm>
        <a:prstGeom prst="rect">
          <a:avLst/>
        </a:prstGeom>
      </xdr:spPr>
    </xdr:pic>
    <xdr:clientData/>
  </xdr:twoCellAnchor>
  <xdr:twoCellAnchor editAs="oneCell">
    <xdr:from>
      <xdr:col>9</xdr:col>
      <xdr:colOff>787400</xdr:colOff>
      <xdr:row>0</xdr:row>
      <xdr:rowOff>88900</xdr:rowOff>
    </xdr:from>
    <xdr:to>
      <xdr:col>19</xdr:col>
      <xdr:colOff>63500</xdr:colOff>
      <xdr:row>14</xdr:row>
      <xdr:rowOff>143367</xdr:rowOff>
    </xdr:to>
    <xdr:pic>
      <xdr:nvPicPr>
        <xdr:cNvPr id="3" name="图片 2" descr="屏幕快照 2019-06-14 下午11.18.56.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16900" y="88900"/>
          <a:ext cx="7531100" cy="2543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5104;&#37117;&#24658;&#22823;&#22825;&#24220;&#21322;&#23707;&#19971;&#263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5104;&#37117;&#24658;&#22823;&#22825;&#24220;&#21322;&#23707;&#20116;&#20843;&#20061;&#21313;&#263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不动产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671633.22</v>
          </cell>
          <cell r="C14">
            <v>74104</v>
          </cell>
          <cell r="D14">
            <v>265650</v>
          </cell>
          <cell r="G14">
            <v>265650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不动产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939662.47000000009</v>
          </cell>
          <cell r="C14">
            <v>285760.2</v>
          </cell>
          <cell r="D14">
            <v>349624</v>
          </cell>
          <cell r="G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3" Type="http://schemas.openxmlformats.org/officeDocument/2006/relationships/hyperlink" Target="http://www.sohu.com/a/243140188_667312" TargetMode="External"/><Relationship Id="rId2" Type="http://schemas.openxmlformats.org/officeDocument/2006/relationships/hyperlink" Target="http://www.sohu.com/a/285135327_768654" TargetMode="External"/><Relationship Id="rId1" Type="http://schemas.openxmlformats.org/officeDocument/2006/relationships/hyperlink" Target="http://www.sohu.com/a/213382389_667312" TargetMode="External"/><Relationship Id="rId4" Type="http://schemas.openxmlformats.org/officeDocument/2006/relationships/hyperlink" Target="https://www.sohu.com/a/235740196_667312"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topLeftCell="A46" zoomScale="80" zoomScaleNormal="80" zoomScalePageLayoutView="80" workbookViewId="0">
      <selection sqref="A1:XFD74"/>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四川省成都市天府新区华阳街道广福社区“恒大天府半岛”居住项目六期出让国有建设用地使用权及在建建筑物房地产抵押价值预评估</v>
      </c>
    </row>
    <row r="3" spans="1:2" s="1592" customFormat="1">
      <c r="A3" s="1590" t="s">
        <v>1217</v>
      </c>
      <c r="B3" s="1591" t="str">
        <f>'预评函-封皮'!B40</f>
        <v>光大兴陇有限责任公司</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受贵公司委托，我公司对四川省成都市天府新区华阳街道广福社区“恒大天府半岛”居住项目六期出让国有建设用地使用权及在建建筑物房地产抵押价值进行了预评估。</v>
      </c>
    </row>
    <row r="7" spans="1:2" s="1592" customFormat="1">
      <c r="A7" s="1590" t="s">
        <v>1260</v>
      </c>
      <c r="B7" s="1591" t="str">
        <f>'预评函-1'!A7</f>
        <v>估价对象为四川省成都市天府新区华阳街道广福社区“恒大天府半岛”居住项目六期出让国有建设用地使用权及在建建筑物房地产，为成都心怡房地产开发有限公司所有。根据《国有土地使用证》[成天国用（2014）第1945号]，估价对象（分摊）出让国有建设用地使用权面积为72072.02平方米。根据《恒大天府半岛六期综合技术经济指标表》，估价对象建筑面积为405562.82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四川省成都市天府新区华阳街道广福社区“恒大天府半岛”居住项目六期出让国有建设用地使用权及在建建筑物房地产,属成都心怡房地产开发有限公司开发建设的居住项目，该项目尚在开发建设中。根据《国有土地使用证》[成天国用（2014）第1945号]，估价对象（分摊）出让国有建设用地使用权面积为72072.02平方米。根据《恒大天府半岛六期综合技术经济指标表》，估价对象规划建筑面积为405562.82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成都心怡房地产开发有限公司拟使用四川省成都市天府新区华阳街道广福社区“恒大天府半岛”居住项目六期出让国有建设用地使用权及在建建筑物房地产作为抵押担保物，向光大兴陇有限责任公司办理贷款手续。光大兴陇有限责任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2019年6月14日（评估专业人员实地查勘之日）</v>
      </c>
    </row>
    <row r="13" spans="1:2" s="1592" customFormat="1">
      <c r="A13" s="1590" t="s">
        <v>1223</v>
      </c>
      <c r="B13" s="1591" t="str">
        <f>'预评函-1'!A18</f>
        <v>本次估价的“房地产价值”是指在正常市场情况下，在价值时点2019年6月14日，估价对象规划用途为住宅、商业及地下车库，土地取得方式为出让，出让国有建设用地使用权剩余土地使用年限为住宅56.6年、商业23.6年及地下车库33.6年，假定未设立法定优先受偿款下的房地产市场价值。</v>
      </c>
    </row>
    <row r="14" spans="1:2" s="1592" customFormat="1">
      <c r="A14" s="1590" t="s">
        <v>1224</v>
      </c>
      <c r="B14" s="1591" t="str">
        <f>'预评函-1'!A19</f>
        <v>其中，“出让国有建设用地使用权价值”是指估价对象用途为住宅、商业及地下车库，实际开发程度为宗地红线外“六通”（即通路、通电、通讯、通上水、通下水、燃气）、红线内场地平整条件下，剩余土地使用年限为住宅56.6年、商业23.6年及地下车库33.6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222545</v>
      </c>
    </row>
    <row r="21" spans="1:2" s="1592" customFormat="1">
      <c r="A21" s="1590" t="s">
        <v>1231</v>
      </c>
      <c r="B21" s="1591">
        <f ca="1">'预评函-2'!D7</f>
        <v>5487</v>
      </c>
    </row>
    <row r="22" spans="1:2" s="1592" customFormat="1">
      <c r="A22" s="1590" t="s">
        <v>1232</v>
      </c>
      <c r="B22" s="1591" t="str">
        <f ca="1">'预评函-2'!D6</f>
        <v>贰拾贰亿贰仟伍佰肆拾伍万元整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222545</v>
      </c>
    </row>
    <row r="31" spans="1:2" s="1592" customFormat="1">
      <c r="A31" s="1590" t="s">
        <v>1270</v>
      </c>
      <c r="B31" s="1591">
        <f ca="1">'预评函-2'!D15</f>
        <v>5487</v>
      </c>
    </row>
    <row r="32" spans="1:2" s="1592" customFormat="1">
      <c r="A32" s="1590" t="s">
        <v>1237</v>
      </c>
      <c r="B32" s="1591" t="str">
        <f ca="1">'预评函-2'!D14</f>
        <v>贰拾贰亿贰仟伍佰肆拾伍万元整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四川省成都市天府新区华阳街道广福社区“恒大天府半岛”居住项目六期出让国有建设用地使用权及在建建筑物房地产</v>
      </c>
    </row>
    <row r="42" spans="1:2" s="1592" customFormat="1">
      <c r="A42" s="1590" t="s">
        <v>1284</v>
      </c>
      <c r="B42" s="1591" t="str">
        <f>'预评函-3'!B2</f>
        <v>建筑面积</v>
      </c>
    </row>
    <row r="43" spans="1:2" s="1592" customFormat="1">
      <c r="A43" s="1590" t="s">
        <v>1285</v>
      </c>
      <c r="B43" s="1591">
        <f>'预评函-3'!B4</f>
        <v>405562.81999999995</v>
      </c>
    </row>
    <row r="44" spans="1:2" s="1592" customFormat="1">
      <c r="A44" s="1590" t="s">
        <v>1269</v>
      </c>
      <c r="B44" s="1591" t="str">
        <f>'预评函-3'!C2</f>
        <v>(分摊)土地面积</v>
      </c>
    </row>
    <row r="45" spans="1:2" s="1592" customFormat="1">
      <c r="A45" s="1590" t="s">
        <v>1241</v>
      </c>
      <c r="B45" s="1591">
        <f>'预评函-3'!C4</f>
        <v>72072.02</v>
      </c>
    </row>
    <row r="46" spans="1:2" s="1592" customFormat="1">
      <c r="A46" s="1590" t="s">
        <v>1267</v>
      </c>
      <c r="B46" s="1591" t="str">
        <f>'预评函-3'!D2</f>
        <v>出让国有建设用地使用权价值</v>
      </c>
    </row>
    <row r="47" spans="1:2" s="1592" customFormat="1">
      <c r="A47" s="1590" t="s">
        <v>1242</v>
      </c>
      <c r="B47" s="1591">
        <f ca="1">'预评函-3'!D4</f>
        <v>187605</v>
      </c>
    </row>
    <row r="48" spans="1:2" s="1592" customFormat="1">
      <c r="A48" s="1590" t="s">
        <v>1243</v>
      </c>
      <c r="B48" s="1591">
        <f ca="1">'预评函-3'!E4</f>
        <v>4625</v>
      </c>
    </row>
    <row r="49" spans="1:2" s="1592" customFormat="1">
      <c r="A49" s="1590" t="s">
        <v>1244</v>
      </c>
      <c r="B49" s="1591" t="str">
        <f ca="1">'预评函-3'!D5</f>
        <v>壹拾捌亿柒仟陆佰零伍万元整</v>
      </c>
    </row>
    <row r="50" spans="1:2" s="1592" customFormat="1">
      <c r="A50" s="1590" t="s">
        <v>1268</v>
      </c>
      <c r="B50" s="1591" t="str">
        <f>'预评函-3'!F2</f>
        <v>在建建筑物价值</v>
      </c>
    </row>
    <row r="51" spans="1:2" s="1592" customFormat="1">
      <c r="A51" s="1590" t="s">
        <v>1245</v>
      </c>
      <c r="B51" s="1591">
        <f ca="1">'预评函-3'!F4</f>
        <v>34940</v>
      </c>
    </row>
    <row r="52" spans="1:2" s="1592" customFormat="1">
      <c r="A52" s="1590" t="s">
        <v>1246</v>
      </c>
      <c r="B52" s="1591">
        <f ca="1">'预评函-3'!G4</f>
        <v>862</v>
      </c>
    </row>
    <row r="53" spans="1:2" s="1592" customFormat="1">
      <c r="A53" s="1590" t="s">
        <v>1274</v>
      </c>
      <c r="B53" s="1591" t="str">
        <f ca="1">'预评函-3'!F5</f>
        <v>叁亿肆仟玖佰肆拾万元整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（1）根据估价对象《国有土地使用证》复印件，截至价值时点，估价对象抵押权未见登记。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B24" sqref="B24"/>
    </sheetView>
  </sheetViews>
  <sheetFormatPr defaultColWidth="9" defaultRowHeight="13.5"/>
  <cols>
    <col min="1" max="1" width="13.5" style="2023" customWidth="1"/>
    <col min="2" max="2" width="23.125" style="1974" customWidth="1"/>
    <col min="3" max="3" width="13" style="2018" customWidth="1"/>
    <col min="4" max="4" width="5.8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3344</v>
      </c>
      <c r="C18" s="2014"/>
    </row>
    <row r="19" spans="1:3">
      <c r="A19" s="2013" t="s">
        <v>1764</v>
      </c>
      <c r="B19" s="2013" t="s">
        <v>3345</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为估价委托人在向光大兴陇有限责任公司办理贷款手续过程中，确定房地产抵押贷款额度提供参考依据而评估房地产抵押价值。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心怡房地产开发有限公司拟使用四川省成都市天府新区华阳街道广福社区“恒大天府半岛”居住项目六期出让国有建设用地使用权及在建建筑物房地产作为抵押担保物，向光大兴陇有限责任公司办理贷款手续。光大兴陇有限责任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7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住宅、商业及地下车库土地取得方式为出让，出让国有建设用地使用权剩余土地使用年限为XX年(多用途剩余年限尾数不同时，可只体现小数点后一位)，假定未设立法定优先受偿款下的房地产市场价值。</v>
      </c>
    </row>
    <row r="54" spans="1:4">
      <c r="A54" s="3074"/>
      <c r="B54" s="2021" t="s">
        <v>861</v>
      </c>
      <c r="C54" s="2018" t="s">
        <v>1277</v>
      </c>
    </row>
    <row r="55" spans="1:4">
      <c r="A55" s="3074"/>
      <c r="B55" s="2021" t="s">
        <v>862</v>
      </c>
      <c r="C55" s="2018" t="s">
        <v>1278</v>
      </c>
    </row>
    <row r="56" spans="1:4">
      <c r="A56" s="3074"/>
      <c r="B56" s="2021" t="s">
        <v>863</v>
      </c>
      <c r="C56" s="2018" t="s">
        <v>1282</v>
      </c>
    </row>
    <row r="57" spans="1:4">
      <c r="A57" s="307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SheetLayoutView="100" workbookViewId="0">
      <selection activeCell="G21" sqref="G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8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1772</v>
      </c>
      <c r="B1" s="3083" t="str">
        <f>IF(B10="北京市","北京市",C10)&amp;F10&amp;IF(结果表!G1="在建","出让国有建设用地使用权及在建建筑物",IF(结果表!G1="土地","出让国有建设用地使用权",))&amp;B9&amp;"预评估"</f>
        <v>四川省成都市天府新区华阳街道广福社区“恒大天府半岛”居住项目六期出让国有建设用地使用权及在建建筑物房地产抵押价值预评估</v>
      </c>
      <c r="C1" s="3084"/>
      <c r="D1" s="3084"/>
      <c r="E1" s="3084"/>
      <c r="F1" s="3084"/>
      <c r="G1" s="3084"/>
      <c r="H1" s="3084"/>
      <c r="I1" s="308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四川省成都市天府新区华阳街道广福社区“恒大天府半岛”居住项目六期出让国有建设用地使用权及在建建筑物房地产抵押价值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四川省成都市天府新区华阳街道广福社区“恒大天府半岛”居住项目六期出让国有建设用地使用权及在建建筑物房地产</v>
      </c>
    </row>
    <row r="3" spans="1:19" ht="18" customHeight="1">
      <c r="A3" s="2034" t="s">
        <v>1774</v>
      </c>
      <c r="B3" s="2035">
        <v>43630</v>
      </c>
      <c r="C3" s="2036" t="s">
        <v>1775</v>
      </c>
      <c r="D3" s="2035">
        <f>B3</f>
        <v>43630</v>
      </c>
      <c r="E3" s="2025"/>
      <c r="F3" s="2025"/>
      <c r="G3" s="2025"/>
      <c r="H3" s="2025"/>
      <c r="I3" s="2025"/>
      <c r="J3" s="2025"/>
      <c r="K3" s="2026"/>
      <c r="L3" s="2027"/>
      <c r="M3" s="2027"/>
      <c r="N3" s="2028"/>
      <c r="O3" s="2029"/>
      <c r="P3" s="2028"/>
      <c r="Q3" s="2028"/>
      <c r="R3" s="2028"/>
      <c r="S3" s="2030"/>
    </row>
    <row r="4" spans="1:19" ht="18" customHeight="1" thickBot="1">
      <c r="A4" s="2037" t="s">
        <v>1776</v>
      </c>
      <c r="B4" s="2038" t="s">
        <v>3043</v>
      </c>
      <c r="C4" s="1037">
        <f ca="1">SUMIF(注册房地产估价师,B4,估价师及机构信息!B3:B24)</f>
        <v>1120050019</v>
      </c>
      <c r="D4" s="2038" t="s">
        <v>3044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1777</v>
      </c>
      <c r="B5" s="2044" t="str">
        <f>B6</f>
        <v>光大兴陇有限责任公司</v>
      </c>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963" t="s">
        <v>3346</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7" t="s">
        <v>1779</v>
      </c>
      <c r="B7" s="2051" t="str">
        <f>C11</f>
        <v>成都心怡房地产开发有限公司</v>
      </c>
      <c r="C7" s="2048"/>
      <c r="D7" s="2049"/>
      <c r="E7" s="2033"/>
      <c r="F7" s="2041"/>
      <c r="G7" s="2041"/>
      <c r="H7" s="2041"/>
      <c r="I7" s="2041"/>
      <c r="J7" s="2041"/>
      <c r="K7" s="2052"/>
      <c r="L7" s="2027"/>
      <c r="M7" s="2027"/>
      <c r="N7" s="2028"/>
      <c r="O7" s="2029"/>
      <c r="P7" s="2028"/>
      <c r="Q7" s="2028"/>
      <c r="R7" s="2028"/>
    </row>
    <row r="8" spans="1:19" ht="18" customHeight="1">
      <c r="A8" s="2047" t="s">
        <v>1780</v>
      </c>
      <c r="B8" s="2053" t="s">
        <v>3046</v>
      </c>
      <c r="C8" s="2054"/>
      <c r="D8" s="3086" t="s">
        <v>1781</v>
      </c>
      <c r="E8" s="2055" t="s">
        <v>3045</v>
      </c>
      <c r="F8" s="2056"/>
      <c r="G8" s="2025"/>
      <c r="H8" s="2025"/>
      <c r="I8" s="2025"/>
      <c r="J8" s="2041"/>
      <c r="K8" s="2042"/>
      <c r="L8" s="2027"/>
      <c r="M8" s="2027"/>
      <c r="N8" s="2028"/>
      <c r="O8" s="2029"/>
      <c r="P8" s="2028"/>
      <c r="Q8" s="2028"/>
      <c r="R8" s="2028"/>
    </row>
    <row r="9" spans="1:19" ht="18" customHeight="1" thickBot="1">
      <c r="A9" s="2039" t="s">
        <v>1782</v>
      </c>
      <c r="B9" s="2057" t="s">
        <v>3045</v>
      </c>
      <c r="C9" s="2058"/>
      <c r="D9" s="3087"/>
      <c r="E9" s="2057"/>
      <c r="F9" s="2059"/>
      <c r="G9" s="2060"/>
      <c r="H9" s="2060"/>
      <c r="I9" s="2060"/>
      <c r="J9" s="2041"/>
      <c r="K9" s="2052"/>
      <c r="L9" s="2027"/>
      <c r="M9" s="2027"/>
      <c r="N9" s="2028"/>
      <c r="O9" s="2029"/>
      <c r="P9" s="2028"/>
      <c r="Q9" s="2028"/>
      <c r="R9" s="2028"/>
    </row>
    <row r="10" spans="1:19" ht="18" customHeight="1" thickTop="1">
      <c r="A10" s="2061" t="s">
        <v>1783</v>
      </c>
      <c r="B10" s="2062" t="s">
        <v>3047</v>
      </c>
      <c r="C10" s="2964" t="s">
        <v>3347</v>
      </c>
      <c r="D10" s="2046"/>
      <c r="E10" s="2063" t="s">
        <v>1784</v>
      </c>
      <c r="F10" s="2965" t="s">
        <v>3348</v>
      </c>
      <c r="G10" s="2064"/>
      <c r="H10" s="2065"/>
      <c r="I10" s="2046"/>
      <c r="J10" s="2041"/>
      <c r="K10" s="2052"/>
      <c r="L10" s="2027"/>
      <c r="M10" s="2027"/>
      <c r="N10" s="2028"/>
      <c r="O10" s="2029"/>
      <c r="P10" s="2028"/>
      <c r="Q10" s="2028"/>
      <c r="R10" s="2028"/>
    </row>
    <row r="11" spans="1:19" ht="18" customHeight="1">
      <c r="A11" s="2066" t="s">
        <v>1785</v>
      </c>
      <c r="B11" s="2067" t="s">
        <v>3048</v>
      </c>
      <c r="C11" s="2966" t="s">
        <v>3349</v>
      </c>
      <c r="D11" s="2068"/>
      <c r="E11" s="2041"/>
      <c r="F11" s="2041"/>
      <c r="G11" s="2041"/>
      <c r="H11" s="2041"/>
      <c r="I11" s="2041"/>
      <c r="J11" s="2041"/>
      <c r="K11" s="2052"/>
      <c r="L11" s="2027"/>
      <c r="M11" s="2027"/>
      <c r="N11" s="2028"/>
      <c r="O11" s="2029"/>
      <c r="P11" s="2028"/>
      <c r="Q11" s="2028"/>
      <c r="R11" s="2028"/>
    </row>
    <row r="12" spans="1:19" ht="18" customHeight="1">
      <c r="A12" s="2069" t="s">
        <v>1786</v>
      </c>
      <c r="B12" s="2067" t="s">
        <v>3049</v>
      </c>
      <c r="C12" s="2070" t="s">
        <v>1787</v>
      </c>
      <c r="D12" s="2071" t="s">
        <v>1788</v>
      </c>
      <c r="E12" s="2071" t="s">
        <v>1789</v>
      </c>
      <c r="F12" s="2071" t="s">
        <v>1790</v>
      </c>
      <c r="G12" s="2071" t="s">
        <v>1791</v>
      </c>
      <c r="H12" s="2071" t="s">
        <v>1792</v>
      </c>
      <c r="I12" s="2071" t="s">
        <v>1793</v>
      </c>
      <c r="J12" s="2041"/>
      <c r="K12" s="2052"/>
      <c r="L12" s="2027"/>
      <c r="M12" s="2027"/>
      <c r="N12" s="2028"/>
      <c r="O12" s="2029"/>
      <c r="P12" s="2028"/>
      <c r="Q12" s="2028"/>
      <c r="R12" s="2028"/>
    </row>
    <row r="13" spans="1:19" ht="18" customHeight="1">
      <c r="A13" s="2072"/>
      <c r="B13" s="2073"/>
      <c r="C13" s="2074" t="s">
        <v>1794</v>
      </c>
      <c r="D13" s="2075">
        <v>64310</v>
      </c>
      <c r="E13" s="2075">
        <v>52257</v>
      </c>
      <c r="F13" s="2075"/>
      <c r="G13" s="2075">
        <v>55910</v>
      </c>
      <c r="H13" s="2075"/>
      <c r="I13" s="1047"/>
      <c r="J13" s="2041"/>
      <c r="K13" s="2052"/>
      <c r="L13" s="2027"/>
      <c r="M13" s="2027"/>
      <c r="N13" s="2028"/>
      <c r="O13" s="2029"/>
      <c r="P13" s="2028"/>
      <c r="Q13" s="2028"/>
      <c r="R13" s="2028"/>
    </row>
    <row r="14" spans="1:19" ht="18" customHeight="1">
      <c r="A14" s="2072"/>
      <c r="B14" s="2073"/>
      <c r="C14" s="2074" t="s">
        <v>1795</v>
      </c>
      <c r="D14" s="1050">
        <v>70</v>
      </c>
      <c r="E14" s="1050">
        <v>40</v>
      </c>
      <c r="F14" s="1050"/>
      <c r="G14" s="1050">
        <v>50</v>
      </c>
      <c r="H14" s="1050"/>
      <c r="I14" s="1050"/>
      <c r="J14" s="2041"/>
      <c r="K14" s="2076"/>
      <c r="L14" s="2027"/>
      <c r="M14" s="2027"/>
      <c r="N14" s="2028"/>
      <c r="O14" s="2029"/>
      <c r="P14" s="2028"/>
      <c r="Q14" s="2028"/>
      <c r="R14" s="2028"/>
    </row>
    <row r="15" spans="1:19" ht="18" customHeight="1">
      <c r="A15" s="2061"/>
      <c r="B15" s="2077"/>
      <c r="C15" s="2074" t="s">
        <v>1796</v>
      </c>
      <c r="D15" s="1049">
        <f>IF(B12="出让",IF(D13="","",ROUNDDOWN(MIN((D13-$D$3)/365,D14),2)),D14)</f>
        <v>56.65</v>
      </c>
      <c r="E15" s="1049">
        <f>IF(B12="出让",IF(E13="","",ROUNDDOWN(MIN((E13-$D$3)/365,E14),2)),E14)</f>
        <v>23.63</v>
      </c>
      <c r="F15" s="1049" t="str">
        <f>IF(B12="出让",IF(F13="","",ROUNDDOWN(MIN((F13-$D$3)/365,F14),2)),F14)</f>
        <v/>
      </c>
      <c r="G15" s="1049">
        <f>IF(B12="出让",IF(G13="","",ROUNDDOWN(MIN((G13-$D$3)/365,G14),2)),G14)</f>
        <v>33.64</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3" t="s">
        <v>1797</v>
      </c>
      <c r="B16" s="3093" t="s">
        <v>3351</v>
      </c>
      <c r="C16" s="3094"/>
      <c r="D16" s="3095"/>
      <c r="E16" s="2081" t="s">
        <v>1798</v>
      </c>
      <c r="F16" s="3096" t="s">
        <v>3352</v>
      </c>
      <c r="G16" s="3097"/>
      <c r="H16" s="3097"/>
      <c r="I16" s="3098"/>
      <c r="J16" s="2028"/>
      <c r="K16" s="2078"/>
      <c r="L16" s="2079"/>
      <c r="M16" s="2079"/>
      <c r="N16" s="2080"/>
      <c r="O16" s="2079"/>
      <c r="P16" s="2080"/>
      <c r="Q16" s="2028"/>
      <c r="R16" s="2028"/>
    </row>
    <row r="17" spans="1:22" ht="18" customHeight="1">
      <c r="A17" s="2082" t="s">
        <v>1799</v>
      </c>
      <c r="B17" s="2034" t="s">
        <v>1800</v>
      </c>
      <c r="C17" s="1054">
        <f>'数据-汇总表'!E3</f>
        <v>405562.81999999995</v>
      </c>
      <c r="D17" s="2083" t="s">
        <v>1801</v>
      </c>
      <c r="E17" s="3099" t="s">
        <v>3353</v>
      </c>
      <c r="F17" s="3100"/>
      <c r="G17" s="3100"/>
      <c r="H17" s="3100"/>
      <c r="I17" s="3101"/>
      <c r="J17" s="2028"/>
      <c r="K17" s="2084"/>
      <c r="L17" s="2079"/>
      <c r="M17" s="2079"/>
      <c r="N17" s="2080"/>
      <c r="O17" s="2079"/>
      <c r="P17" s="2080"/>
      <c r="Q17" s="2028"/>
      <c r="R17" s="2028"/>
      <c r="S17" s="2028"/>
      <c r="T17" s="2028"/>
      <c r="U17" s="2028"/>
      <c r="V17" s="2028"/>
    </row>
    <row r="18" spans="1:22" ht="36" customHeight="1" thickBot="1">
      <c r="A18" s="2085" t="s">
        <v>70</v>
      </c>
      <c r="B18" s="2037" t="s">
        <v>1802</v>
      </c>
      <c r="C18" s="1444">
        <f>'数据-汇总表'!D3</f>
        <v>72072.02</v>
      </c>
      <c r="D18" s="2086" t="s">
        <v>1801</v>
      </c>
      <c r="E18" s="3102" t="s">
        <v>3354</v>
      </c>
      <c r="F18" s="3103"/>
      <c r="G18" s="3103"/>
      <c r="H18" s="3103"/>
      <c r="I18" s="3104"/>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t="s">
        <v>3355</v>
      </c>
      <c r="D19" s="2088" t="s">
        <v>1805</v>
      </c>
      <c r="E19" s="2089" t="s">
        <v>70</v>
      </c>
      <c r="F19" s="2090" t="str">
        <f>IF(AND(C19="是",E19="否"),"是否提供他项权证或相关说明","")</f>
        <v/>
      </c>
      <c r="G19" s="2091"/>
      <c r="H19" s="2041"/>
      <c r="I19" s="2041"/>
      <c r="J19" s="2041"/>
      <c r="K19" s="2052"/>
      <c r="L19" s="2027"/>
      <c r="M19" s="2027"/>
      <c r="N19" s="2080"/>
      <c r="O19" s="2079"/>
      <c r="P19" s="2080"/>
      <c r="Q19" s="2028"/>
      <c r="R19" s="2028"/>
      <c r="S19" s="2028"/>
      <c r="T19" s="2028"/>
      <c r="U19" s="2028"/>
      <c r="V19" s="2028"/>
    </row>
    <row r="20" spans="1:22" ht="18" customHeight="1">
      <c r="A20" s="2092" t="s">
        <v>1806</v>
      </c>
      <c r="B20" s="3089" t="s">
        <v>1807</v>
      </c>
      <c r="C20" s="3090"/>
      <c r="D20" s="3091" t="s">
        <v>1808</v>
      </c>
      <c r="E20" s="3092"/>
      <c r="F20" s="2093" t="s">
        <v>1809</v>
      </c>
      <c r="G20" s="2041"/>
      <c r="H20" s="2041"/>
      <c r="I20" s="2041"/>
      <c r="J20" s="2041"/>
      <c r="K20" s="3088" t="s">
        <v>1810</v>
      </c>
      <c r="L20" s="748" t="str">
        <f>"根据估价对象"&amp;IF(B22="——",B21&amp;C21,B21&amp;C21&amp;"、"&amp;B22&amp;C22)&amp;"，"&amp;IF(C19="是","截至价值时点，估价对象已设定抵押。","截至价值时点，估价对象抵押权未见登记。")</f>
        <v>根据估价对象《国有土地使用证》复印件，截至价值时点，估价对象抵押权未见登记。</v>
      </c>
      <c r="M20" s="2027"/>
      <c r="N20" s="2080"/>
      <c r="O20" s="2079"/>
      <c r="P20" s="2080"/>
      <c r="Q20" s="2028"/>
      <c r="R20" s="2028"/>
      <c r="S20" s="2028"/>
      <c r="T20" s="2028"/>
      <c r="U20" s="2028"/>
      <c r="V20" s="2028"/>
    </row>
    <row r="21" spans="1:22" ht="24.75" customHeight="1">
      <c r="A21" s="2092"/>
      <c r="B21" s="2094" t="s">
        <v>3356</v>
      </c>
      <c r="C21" s="2095" t="s">
        <v>3357</v>
      </c>
      <c r="D21" s="2096"/>
      <c r="E21" s="2097" t="s">
        <v>70</v>
      </c>
      <c r="F21" s="2098"/>
      <c r="G21" s="2041"/>
      <c r="H21" s="2041"/>
      <c r="I21" s="2041"/>
      <c r="J21" s="2041"/>
      <c r="K21" s="308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t="s">
        <v>70</v>
      </c>
      <c r="C22" s="2095" t="s">
        <v>70</v>
      </c>
      <c r="D22" s="2025"/>
      <c r="E22" s="2025"/>
      <c r="F22" s="2100"/>
      <c r="G22" s="2041"/>
      <c r="H22" s="2041"/>
      <c r="I22" s="2041"/>
      <c r="J22" s="2041"/>
      <c r="K22" s="308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1811</v>
      </c>
      <c r="B23" s="183" t="s">
        <v>1812</v>
      </c>
      <c r="C23" s="2102"/>
      <c r="D23" s="2103" t="s">
        <v>1812</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1813</v>
      </c>
      <c r="C24" s="2107"/>
      <c r="D24" s="2101" t="s">
        <v>1813</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1814</v>
      </c>
      <c r="C25" s="2107"/>
      <c r="D25" s="2101" t="s">
        <v>1814</v>
      </c>
      <c r="E25" s="2108"/>
      <c r="F25" s="2100"/>
      <c r="G25" s="2041"/>
      <c r="H25" s="2041"/>
      <c r="I25" s="2041"/>
      <c r="J25" s="2041"/>
      <c r="K25" s="2052"/>
      <c r="L25" s="2027"/>
      <c r="M25" s="2027"/>
      <c r="N25" s="2080"/>
      <c r="O25" s="2079"/>
      <c r="P25" s="2080"/>
      <c r="Q25" s="2028"/>
      <c r="R25" s="2028"/>
      <c r="S25" s="2028"/>
      <c r="T25" s="2028"/>
      <c r="U25" s="2028"/>
      <c r="V25" s="2028"/>
    </row>
    <row r="26" spans="1:22" ht="18" customHeight="1" thickBot="1">
      <c r="A26" s="2109"/>
      <c r="B26" s="2110" t="s">
        <v>1815</v>
      </c>
      <c r="C26" s="2111"/>
      <c r="D26" s="2112" t="s">
        <v>1816</v>
      </c>
      <c r="E26" s="2113"/>
      <c r="F26" s="2114"/>
      <c r="G26" s="2060"/>
      <c r="H26" s="2060"/>
      <c r="I26" s="2060"/>
      <c r="J26" s="2041"/>
      <c r="K26" s="2052"/>
      <c r="L26" s="2027"/>
      <c r="M26" s="2027"/>
      <c r="N26" s="2080"/>
      <c r="O26" s="2079"/>
      <c r="P26" s="2080"/>
      <c r="Q26" s="2028"/>
      <c r="R26" s="2028"/>
      <c r="S26" s="2028"/>
      <c r="T26" s="2028"/>
      <c r="U26" s="2028"/>
      <c r="V26" s="2028"/>
    </row>
    <row r="27" spans="1:22" ht="18" customHeight="1" thickTop="1">
      <c r="A27" s="3076" t="s">
        <v>1817</v>
      </c>
      <c r="B27" s="2061" t="s">
        <v>1818</v>
      </c>
      <c r="C27" s="2115" t="s">
        <v>3358</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76"/>
      <c r="B28" s="2034" t="s">
        <v>1819</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76"/>
      <c r="B29" s="2034" t="s">
        <v>1820</v>
      </c>
      <c r="C29" s="2120" t="s">
        <v>3355</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77"/>
      <c r="B30" s="2034" t="s">
        <v>1821</v>
      </c>
      <c r="C30" s="3078"/>
      <c r="D30" s="3079"/>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80" t="s">
        <v>1822</v>
      </c>
      <c r="B31" s="2122" t="s">
        <v>3359</v>
      </c>
      <c r="C31" s="2123" t="str">
        <f>IF(B31="现房","成新及维护状况正常否",IF(B31="在建","工程状态是否正常",IF(B31="土地","是否闲置","-")))</f>
        <v>工程状态是否正常</v>
      </c>
      <c r="D31" s="2124"/>
      <c r="E31" s="2967" t="s">
        <v>3360</v>
      </c>
      <c r="F31" s="2041"/>
      <c r="G31" s="2041"/>
      <c r="H31" s="2041"/>
      <c r="I31" s="2041"/>
      <c r="J31" s="2041"/>
      <c r="K31" s="2050"/>
      <c r="L31" s="2027"/>
      <c r="M31" s="2027"/>
      <c r="N31" s="2028"/>
      <c r="O31" s="2029"/>
      <c r="P31" s="2028"/>
      <c r="Q31" s="2028"/>
      <c r="R31" s="2028"/>
      <c r="S31" s="2028"/>
      <c r="T31" s="2028"/>
      <c r="U31" s="2028"/>
      <c r="V31" s="2028"/>
    </row>
    <row r="32" spans="1:22" ht="18" customHeight="1">
      <c r="A32" s="3081"/>
      <c r="B32" s="2122"/>
      <c r="C32" s="2123" t="str">
        <f>IF(B32="现房","成新及维护状况是否正常",IF(B32="在建","工程状态是否正常",IF(B32="土地","是否闲置","-")))</f>
        <v>-</v>
      </c>
      <c r="D32" s="2124"/>
      <c r="E32" s="2125"/>
      <c r="F32" s="2041"/>
      <c r="G32" s="2041"/>
      <c r="H32" s="2041"/>
      <c r="I32" s="2041"/>
      <c r="J32" s="2041"/>
      <c r="K32" s="2052"/>
      <c r="L32" s="2027"/>
      <c r="M32" s="2027"/>
      <c r="N32" s="2028"/>
      <c r="O32" s="2029"/>
      <c r="P32" s="2028"/>
      <c r="Q32" s="2028"/>
      <c r="R32" s="2028"/>
      <c r="S32" s="2028"/>
      <c r="T32" s="2028"/>
      <c r="U32" s="2028"/>
      <c r="V32" s="2028"/>
    </row>
    <row r="33" spans="1:22" ht="18" customHeight="1">
      <c r="A33" s="3081"/>
      <c r="B33" s="2126"/>
      <c r="C33" s="2066" t="str">
        <f>IF(B33="现房","成新及维护状况是否正常",IF(B33="在建","工程状态是否正常",IF(B33="土地","是否闲置","-")))</f>
        <v>-</v>
      </c>
      <c r="D33" s="2127"/>
      <c r="E33" s="2128"/>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1823</v>
      </c>
      <c r="B34" s="2129" t="s">
        <v>3361</v>
      </c>
      <c r="C34" s="2129" t="s">
        <v>3362</v>
      </c>
      <c r="D34" s="2129" t="s">
        <v>3363</v>
      </c>
      <c r="E34" s="2129" t="s">
        <v>3364</v>
      </c>
      <c r="F34" s="2129" t="s">
        <v>3365</v>
      </c>
      <c r="G34" s="2129" t="s">
        <v>3366</v>
      </c>
      <c r="H34" s="2129" t="s">
        <v>70</v>
      </c>
      <c r="I34" s="2041"/>
      <c r="J34" s="2041"/>
      <c r="K34" s="1794">
        <f>COUNTIF(B34:H34,"——")</f>
        <v>1</v>
      </c>
      <c r="L34" s="2070" t="s">
        <v>1824</v>
      </c>
      <c r="M34" s="2070" t="s">
        <v>1825</v>
      </c>
      <c r="N34" s="2070" t="s">
        <v>1826</v>
      </c>
      <c r="O34" s="2070" t="s">
        <v>1827</v>
      </c>
      <c r="P34" s="2070" t="s">
        <v>1828</v>
      </c>
      <c r="Q34" s="2070" t="s">
        <v>1829</v>
      </c>
      <c r="R34" s="2070" t="s">
        <v>1830</v>
      </c>
      <c r="S34" s="3075" t="s">
        <v>1831</v>
      </c>
      <c r="T34" s="2130" t="str">
        <f>NUMBERSTRING(7-K34,1)&amp;"通"</f>
        <v>六通</v>
      </c>
      <c r="U34" s="2028"/>
      <c r="V34" s="2028"/>
    </row>
    <row r="35" spans="1:22" ht="18" customHeight="1">
      <c r="A35" s="2131"/>
      <c r="B35" s="3082" t="s">
        <v>1832</v>
      </c>
      <c r="C35" s="3082"/>
      <c r="D35" s="3082"/>
      <c r="E35" s="3082"/>
      <c r="F35" s="2132" t="str">
        <f>C10</f>
        <v>四川省</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5"/>
      <c r="T35" s="48" t="str">
        <f>IF(T34="一通",L35,IF(T34="二通",M35,IF(T34="三通",N35,IF(T34="四通",O35,IF(T34="五通",P35,IF(T34="六通",Q35,R35))))))</f>
        <v>通路、通电、通讯、通上水、通下水、燃气</v>
      </c>
      <c r="U35" s="2028"/>
      <c r="V35" s="2028"/>
    </row>
    <row r="36" spans="1:22" ht="18" customHeight="1">
      <c r="A36" s="2133"/>
      <c r="B36" s="2132" t="s">
        <v>1833</v>
      </c>
      <c r="C36" s="2132" t="s">
        <v>1834</v>
      </c>
      <c r="D36" s="2132" t="s">
        <v>1835</v>
      </c>
      <c r="E36" s="2132" t="s">
        <v>1836</v>
      </c>
      <c r="F36" s="2134"/>
      <c r="G36" s="2041"/>
      <c r="H36" s="2041"/>
      <c r="I36" s="2041"/>
      <c r="J36" s="2041"/>
      <c r="K36" s="2052"/>
      <c r="L36" s="2027"/>
      <c r="M36" s="2027"/>
      <c r="N36" s="2028"/>
      <c r="O36" s="2029"/>
      <c r="P36" s="2028"/>
      <c r="Q36" s="2028"/>
      <c r="R36" s="2028"/>
      <c r="S36" s="2028"/>
      <c r="T36" s="2028"/>
      <c r="U36" s="2028"/>
      <c r="V36" s="2028"/>
    </row>
    <row r="37" spans="1:22" ht="18" customHeight="1">
      <c r="A37" s="2135" t="s">
        <v>1837</v>
      </c>
      <c r="B37" s="2136"/>
      <c r="C37" s="2136"/>
      <c r="D37" s="2136"/>
      <c r="E37" s="2136"/>
      <c r="F37" s="2134"/>
      <c r="G37" s="2041"/>
      <c r="H37" s="2041"/>
      <c r="I37" s="2041"/>
      <c r="J37" s="2041"/>
      <c r="K37" s="2052"/>
      <c r="L37" s="2027"/>
      <c r="M37" s="2027"/>
      <c r="N37" s="2028"/>
      <c r="O37" s="2029"/>
      <c r="P37" s="2028"/>
      <c r="Q37" s="2028"/>
      <c r="R37" s="2028"/>
      <c r="S37" s="2028"/>
      <c r="T37" s="2028"/>
      <c r="U37" s="2028"/>
      <c r="V37" s="2028"/>
    </row>
    <row r="38" spans="1:22" ht="18" customHeight="1" thickBot="1">
      <c r="A38" s="2137" t="s">
        <v>1838</v>
      </c>
      <c r="B38" s="2138"/>
      <c r="C38" s="2138"/>
      <c r="D38" s="2138"/>
      <c r="E38" s="2138"/>
      <c r="F38" s="2139"/>
      <c r="G38" s="2060"/>
      <c r="H38" s="2060"/>
      <c r="I38" s="2060"/>
      <c r="J38" s="2041"/>
      <c r="K38" s="2052"/>
      <c r="L38" s="2027"/>
      <c r="M38" s="2027"/>
      <c r="N38" s="2028"/>
      <c r="O38" s="2029"/>
      <c r="P38" s="2028"/>
      <c r="Q38" s="2028"/>
      <c r="R38" s="2028"/>
      <c r="S38" s="2028"/>
      <c r="T38" s="2028"/>
      <c r="U38" s="2028"/>
      <c r="V38" s="2028"/>
    </row>
    <row r="39" spans="1:22" s="2144" customFormat="1" ht="18" customHeight="1" thickTop="1" thickBot="1">
      <c r="A39" s="2140" t="s">
        <v>1839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1840</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1841</v>
      </c>
      <c r="B42" s="1794" t="s">
        <v>1842</v>
      </c>
      <c r="C42" s="1794" t="s">
        <v>1843</v>
      </c>
      <c r="D42" s="1794" t="s">
        <v>1844</v>
      </c>
      <c r="E42" s="1794" t="s">
        <v>1845</v>
      </c>
      <c r="F42" s="1794" t="s">
        <v>1846</v>
      </c>
      <c r="G42" s="1794" t="s">
        <v>1847</v>
      </c>
      <c r="H42" s="1794" t="s">
        <v>1848</v>
      </c>
      <c r="I42" s="1794" t="s">
        <v>1849</v>
      </c>
      <c r="J42" s="2148" t="s">
        <v>1850</v>
      </c>
      <c r="K42" s="2071" t="s">
        <v>1851</v>
      </c>
      <c r="L42" s="2071" t="s">
        <v>1852</v>
      </c>
      <c r="M42" s="2071" t="s">
        <v>1853</v>
      </c>
      <c r="N42" s="1794" t="s">
        <v>1854</v>
      </c>
      <c r="O42" s="1794" t="s">
        <v>1855</v>
      </c>
      <c r="P42" s="1794" t="s">
        <v>1856</v>
      </c>
      <c r="Q42" s="2070" t="s">
        <v>1857</v>
      </c>
      <c r="R42" s="2070" t="s">
        <v>1858</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M30" sqref="AM3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6" width="9.875" style="2155" customWidth="1"/>
    <col min="17" max="17" width="9.375" style="2155" hidden="1" customWidth="1"/>
    <col min="18" max="18" width="9.125" style="2155" hidden="1" customWidth="1"/>
    <col min="19" max="28" width="10.875" style="2155" hidden="1" customWidth="1"/>
    <col min="29" max="29" width="11" style="2155" bestFit="1" customWidth="1"/>
    <col min="30" max="30" width="10" style="2155" bestFit="1" customWidth="1"/>
    <col min="31" max="31" width="9.875" style="2155" customWidth="1"/>
    <col min="32" max="46" width="9.5" style="2155" customWidth="1"/>
    <col min="47" max="47" width="18.125" style="2155" customWidth="1"/>
    <col min="48" max="50" width="9.8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1861</v>
      </c>
      <c r="B2" s="11" t="s">
        <v>1862</v>
      </c>
      <c r="C2" s="11" t="s">
        <v>1863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1864</v>
      </c>
      <c r="AZ2" s="1270" t="s">
        <v>1865</v>
      </c>
      <c r="BA2" s="11" t="s">
        <v>1866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'6、7期规划'!F3</f>
        <v>72072.02</v>
      </c>
      <c r="B3" s="14">
        <f>IF(C3="否",G5-AT5,G5)</f>
        <v>405562.81999999995</v>
      </c>
      <c r="C3" s="2164" t="s">
        <v>1867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1868</v>
      </c>
      <c r="B5" s="1802"/>
      <c r="C5" s="1802"/>
      <c r="D5" s="1805"/>
      <c r="E5" s="16" t="s">
        <v>1</v>
      </c>
      <c r="F5" s="16">
        <f>SUM(F13:F587)</f>
        <v>0</v>
      </c>
      <c r="G5" s="16">
        <f>SUM(G13:G587)</f>
        <v>405562.81999999995</v>
      </c>
      <c r="H5" s="16">
        <f t="shared" ref="H5:AT5" si="0">SUM(H13:H656)</f>
        <v>342798.48</v>
      </c>
      <c r="I5" s="16">
        <f t="shared" si="0"/>
        <v>240173.61</v>
      </c>
      <c r="J5" s="16">
        <f t="shared" si="0"/>
        <v>0</v>
      </c>
      <c r="K5" s="16">
        <f t="shared" si="0"/>
        <v>12941.53</v>
      </c>
      <c r="L5" s="16">
        <f t="shared" si="0"/>
        <v>0</v>
      </c>
      <c r="M5" s="16">
        <f t="shared" si="0"/>
        <v>89683.34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62764.34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16570.34</v>
      </c>
      <c r="AM5" s="16">
        <f t="shared" si="0"/>
        <v>0</v>
      </c>
      <c r="AN5" s="16">
        <f t="shared" si="0"/>
        <v>8694</v>
      </c>
      <c r="AO5" s="16">
        <f t="shared" si="0"/>
        <v>0</v>
      </c>
      <c r="AP5" s="16">
        <f t="shared" si="0"/>
        <v>0</v>
      </c>
      <c r="AQ5" s="16">
        <f t="shared" si="0"/>
        <v>0</v>
      </c>
      <c r="AR5" s="16">
        <f t="shared" si="0"/>
        <v>37500</v>
      </c>
      <c r="AS5" s="16">
        <f t="shared" si="0"/>
        <v>0</v>
      </c>
      <c r="AT5" s="16">
        <f t="shared" si="0"/>
        <v>0</v>
      </c>
      <c r="AU5" s="1801"/>
      <c r="AV5" s="15" t="s">
        <v>1868</v>
      </c>
      <c r="AW5" s="1802"/>
      <c r="AX5" s="1802"/>
      <c r="AY5" s="17" t="s">
        <v>3</v>
      </c>
      <c r="AZ5" s="18">
        <f t="shared" ref="AZ5:BT5" si="1">SUM(AZ13:AZ656)</f>
        <v>405562.81999999995</v>
      </c>
      <c r="BA5" s="18">
        <f t="shared" si="1"/>
        <v>342798.48</v>
      </c>
      <c r="BB5" s="18">
        <f t="shared" si="1"/>
        <v>240173.61</v>
      </c>
      <c r="BC5" s="18">
        <f t="shared" si="1"/>
        <v>12941.53</v>
      </c>
      <c r="BD5" s="18">
        <f t="shared" si="1"/>
        <v>89683.34</v>
      </c>
      <c r="BE5" s="18">
        <f t="shared" si="1"/>
        <v>0</v>
      </c>
      <c r="BF5" s="18">
        <f t="shared" si="1"/>
        <v>0</v>
      </c>
      <c r="BG5" s="18">
        <f t="shared" si="1"/>
        <v>0</v>
      </c>
      <c r="BH5" s="18">
        <f t="shared" si="1"/>
        <v>0</v>
      </c>
      <c r="BI5" s="18">
        <f t="shared" si="1"/>
        <v>0</v>
      </c>
      <c r="BJ5" s="18">
        <f t="shared" si="1"/>
        <v>0</v>
      </c>
      <c r="BK5" s="18">
        <f t="shared" si="1"/>
        <v>0</v>
      </c>
      <c r="BL5" s="18">
        <f t="shared" si="1"/>
        <v>62764.34</v>
      </c>
      <c r="BM5" s="18">
        <f t="shared" si="1"/>
        <v>0</v>
      </c>
      <c r="BN5" s="18">
        <f t="shared" si="1"/>
        <v>0</v>
      </c>
      <c r="BO5" s="18">
        <f t="shared" si="1"/>
        <v>0</v>
      </c>
      <c r="BP5" s="18">
        <f t="shared" si="1"/>
        <v>0</v>
      </c>
      <c r="BQ5" s="18">
        <f t="shared" si="1"/>
        <v>16570.34</v>
      </c>
      <c r="BR5" s="18">
        <f t="shared" si="1"/>
        <v>8694</v>
      </c>
      <c r="BS5" s="18">
        <f t="shared" si="1"/>
        <v>0</v>
      </c>
      <c r="BT5" s="19">
        <f t="shared" si="1"/>
        <v>37500</v>
      </c>
    </row>
    <row r="6" spans="1:72" s="2173" customFormat="1" ht="12.75">
      <c r="A6" s="15" t="s">
        <v>1869</v>
      </c>
      <c r="B6" s="2170"/>
      <c r="C6" s="2170"/>
      <c r="D6" s="2171"/>
      <c r="E6" s="16">
        <f>H6+AC6+AT6</f>
        <v>72072.02</v>
      </c>
      <c r="F6" s="16" t="s">
        <v>1</v>
      </c>
      <c r="G6" s="16" t="s">
        <v>2</v>
      </c>
      <c r="H6" s="20">
        <f>SUMIF(I$12:AB$12,"总值",I6:AB6)</f>
        <v>60918.26</v>
      </c>
      <c r="I6" s="16">
        <f t="shared" ref="I6:AB6" si="2">ROUND($A$3*I5/$B$3,2)</f>
        <v>42680.93</v>
      </c>
      <c r="J6" s="16">
        <f t="shared" si="2"/>
        <v>0</v>
      </c>
      <c r="K6" s="16">
        <f t="shared" si="2"/>
        <v>2299.8200000000002</v>
      </c>
      <c r="L6" s="16">
        <f t="shared" si="2"/>
        <v>0</v>
      </c>
      <c r="M6" s="16">
        <f t="shared" si="2"/>
        <v>15937.51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11153.76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2944.69</v>
      </c>
      <c r="AM6" s="16">
        <f t="shared" si="3"/>
        <v>0</v>
      </c>
      <c r="AN6" s="16">
        <f t="shared" si="3"/>
        <v>1545</v>
      </c>
      <c r="AO6" s="16">
        <f t="shared" si="3"/>
        <v>0</v>
      </c>
      <c r="AP6" s="16">
        <f t="shared" si="3"/>
        <v>0</v>
      </c>
      <c r="AQ6" s="16">
        <f t="shared" si="3"/>
        <v>0</v>
      </c>
      <c r="AR6" s="16">
        <f t="shared" si="3"/>
        <v>6664.07</v>
      </c>
      <c r="AS6" s="16">
        <f t="shared" si="3"/>
        <v>0</v>
      </c>
      <c r="AT6" s="20">
        <f>IF(C3="是",ROUND($A$3*AT5/$B$3,2),0)</f>
        <v>0</v>
      </c>
      <c r="AU6" s="2172"/>
      <c r="AV6" s="15" t="s">
        <v>1869</v>
      </c>
      <c r="AW6" s="2170"/>
      <c r="AX6" s="2170"/>
      <c r="AY6" s="21">
        <f>IF(AY3&gt;0,AY3,ROUND($A$3*AZ5/$B$3,2))</f>
        <v>72072.02</v>
      </c>
      <c r="AZ6" s="16" t="s">
        <v>3</v>
      </c>
      <c r="BA6" s="16">
        <f>ROUND($AY$6*BA5/$AZ$5,2)</f>
        <v>60918.25</v>
      </c>
      <c r="BB6" s="16">
        <f>ROUND($AY$6*BB5/$AZ$5,2)</f>
        <v>42680.93</v>
      </c>
      <c r="BC6" s="16">
        <f t="shared" ref="BC6:BH6" si="4">ROUND($AY$6*BC5/$AZ$5,2)</f>
        <v>2299.8200000000002</v>
      </c>
      <c r="BD6" s="16">
        <f t="shared" si="4"/>
        <v>15937.51</v>
      </c>
      <c r="BE6" s="16">
        <f t="shared" si="4"/>
        <v>0</v>
      </c>
      <c r="BF6" s="16">
        <f t="shared" si="4"/>
        <v>0</v>
      </c>
      <c r="BG6" s="16">
        <f t="shared" si="4"/>
        <v>0</v>
      </c>
      <c r="BH6" s="16">
        <f t="shared" si="4"/>
        <v>0</v>
      </c>
      <c r="BI6" s="16">
        <f t="shared" ref="BI6:BT6" si="5">ROUND($AY$6*BI5/$AZ$5,2)</f>
        <v>0</v>
      </c>
      <c r="BJ6" s="16">
        <f t="shared" si="5"/>
        <v>0</v>
      </c>
      <c r="BK6" s="16">
        <f t="shared" si="5"/>
        <v>0</v>
      </c>
      <c r="BL6" s="16">
        <f t="shared" si="5"/>
        <v>11153.77</v>
      </c>
      <c r="BM6" s="16">
        <f t="shared" si="5"/>
        <v>0</v>
      </c>
      <c r="BN6" s="16">
        <f t="shared" si="5"/>
        <v>0</v>
      </c>
      <c r="BO6" s="16">
        <f t="shared" si="5"/>
        <v>0</v>
      </c>
      <c r="BP6" s="16">
        <f t="shared" si="5"/>
        <v>0</v>
      </c>
      <c r="BQ6" s="16">
        <f t="shared" si="5"/>
        <v>2944.69</v>
      </c>
      <c r="BR6" s="16">
        <f t="shared" si="5"/>
        <v>1545</v>
      </c>
      <c r="BS6" s="16">
        <f t="shared" si="5"/>
        <v>0</v>
      </c>
      <c r="BT6" s="22">
        <f t="shared" si="5"/>
        <v>6664.07</v>
      </c>
    </row>
    <row r="7" spans="1:72" s="2163" customFormat="1" ht="24.75">
      <c r="A7" s="2105" t="s">
        <v>1870</v>
      </c>
      <c r="B7" s="2105" t="s">
        <v>1871</v>
      </c>
      <c r="C7" s="2105" t="s">
        <v>1872</v>
      </c>
      <c r="D7" s="2105" t="s">
        <v>1873</v>
      </c>
      <c r="E7" s="2105" t="s">
        <v>1874</v>
      </c>
      <c r="F7" s="2105" t="s">
        <v>1875</v>
      </c>
      <c r="G7" s="2174" t="s">
        <v>1876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1877</v>
      </c>
      <c r="AV7" s="23" t="s">
        <v>1878</v>
      </c>
      <c r="AW7" s="2162" t="s">
        <v>1879</v>
      </c>
      <c r="AX7" s="23" t="s">
        <v>1872</v>
      </c>
      <c r="AY7" s="1802" t="s">
        <v>1880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1881</v>
      </c>
      <c r="H8" s="2180" t="s">
        <v>1882</v>
      </c>
      <c r="I8" s="2181"/>
      <c r="J8" s="1817"/>
      <c r="K8" s="1817"/>
      <c r="L8" s="1817"/>
      <c r="M8" s="1817"/>
      <c r="N8" s="1817"/>
      <c r="O8" s="1817"/>
      <c r="P8" s="1817"/>
      <c r="Q8" s="1817"/>
      <c r="R8" s="1817"/>
      <c r="S8" s="1817"/>
      <c r="T8" s="1817"/>
      <c r="U8" s="1817"/>
      <c r="V8" s="2182"/>
      <c r="W8" s="1817"/>
      <c r="X8" s="1817"/>
      <c r="Y8" s="1817"/>
      <c r="Z8" s="1817"/>
      <c r="AA8" s="2182"/>
      <c r="AB8" s="2183"/>
      <c r="AC8" s="981" t="s">
        <v>1883</v>
      </c>
      <c r="AD8" s="2184"/>
      <c r="AE8" s="2176"/>
      <c r="AF8" s="1817"/>
      <c r="AG8" s="1817"/>
      <c r="AH8" s="1817"/>
      <c r="AI8" s="1817"/>
      <c r="AJ8" s="1817"/>
      <c r="AK8" s="1817"/>
      <c r="AL8" s="1817"/>
      <c r="AM8" s="1817"/>
      <c r="AN8" s="1817"/>
      <c r="AO8" s="1817"/>
      <c r="AP8" s="1817"/>
      <c r="AQ8" s="1817"/>
      <c r="AR8" s="1817"/>
      <c r="AS8" s="1817"/>
      <c r="AT8" s="1292" t="s">
        <v>1884</v>
      </c>
      <c r="AU8" s="2178" t="s">
        <v>1885</v>
      </c>
      <c r="AV8" s="1292"/>
      <c r="AW8" s="2161"/>
      <c r="AX8" s="1292"/>
      <c r="AY8" s="2162" t="s">
        <v>1886</v>
      </c>
      <c r="AZ8" s="1816" t="s">
        <v>1887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2"/>
      <c r="H9" s="2186" t="s">
        <v>1888</v>
      </c>
      <c r="I9" s="2957" t="s">
        <v>3314</v>
      </c>
      <c r="J9" s="981"/>
      <c r="K9" s="2187" t="s">
        <v>3280</v>
      </c>
      <c r="L9" s="981"/>
      <c r="M9" s="2187" t="s">
        <v>3291</v>
      </c>
      <c r="N9" s="981"/>
      <c r="O9" s="2187"/>
      <c r="P9" s="981"/>
      <c r="Q9" s="2187"/>
      <c r="R9" s="981"/>
      <c r="S9" s="2187"/>
      <c r="T9" s="981"/>
      <c r="U9" s="2187"/>
      <c r="V9" s="981"/>
      <c r="W9" s="2187"/>
      <c r="X9" s="2188"/>
      <c r="Y9" s="2187"/>
      <c r="Z9" s="981"/>
      <c r="AA9" s="2187"/>
      <c r="AB9" s="981"/>
      <c r="AC9" s="2179" t="s">
        <v>1888</v>
      </c>
      <c r="AD9" s="15" t="s">
        <v>1889</v>
      </c>
      <c r="AE9" s="1298"/>
      <c r="AF9" s="15" t="s">
        <v>1890</v>
      </c>
      <c r="AG9" s="1298"/>
      <c r="AH9" s="15" t="s">
        <v>1889</v>
      </c>
      <c r="AI9" s="1298"/>
      <c r="AJ9" s="15" t="s">
        <v>1890</v>
      </c>
      <c r="AK9" s="1298"/>
      <c r="AL9" s="15" t="s">
        <v>1889</v>
      </c>
      <c r="AM9" s="1298"/>
      <c r="AN9" s="15" t="s">
        <v>1890</v>
      </c>
      <c r="AO9" s="1298"/>
      <c r="AP9" s="15" t="s">
        <v>1889</v>
      </c>
      <c r="AQ9" s="1298"/>
      <c r="AR9" s="15" t="s">
        <v>1890</v>
      </c>
      <c r="AS9" s="2189"/>
      <c r="AT9" s="2178"/>
      <c r="AU9" s="2178" t="s">
        <v>1891</v>
      </c>
      <c r="AV9" s="1292"/>
      <c r="AW9" s="2161"/>
      <c r="AX9" s="1292"/>
      <c r="AY9" s="28"/>
      <c r="AZ9" s="28" t="s">
        <v>1881</v>
      </c>
      <c r="BA9" s="2190" t="s">
        <v>1892</v>
      </c>
      <c r="BB9" s="2191"/>
      <c r="BC9" s="1338"/>
      <c r="BD9" s="1338"/>
      <c r="BE9" s="1338"/>
      <c r="BF9" s="1338"/>
      <c r="BG9" s="1338"/>
      <c r="BH9" s="1338"/>
      <c r="BI9" s="1338"/>
      <c r="BJ9" s="1338"/>
      <c r="BK9" s="2192"/>
      <c r="BL9" s="15" t="s">
        <v>1893</v>
      </c>
      <c r="BM9" s="1817"/>
      <c r="BN9" s="2181"/>
      <c r="BO9" s="1817"/>
      <c r="BP9" s="1817"/>
      <c r="BQ9" s="1817"/>
      <c r="BR9" s="1817"/>
      <c r="BS9" s="1817"/>
      <c r="BT9" s="26"/>
    </row>
    <row r="10" spans="1:72" s="2185" customFormat="1" ht="12.75">
      <c r="A10" s="2178"/>
      <c r="B10" s="2178"/>
      <c r="C10" s="2178"/>
      <c r="D10" s="2178"/>
      <c r="E10" s="2178"/>
      <c r="F10" s="2178"/>
      <c r="G10" s="1292"/>
      <c r="H10" s="28"/>
      <c r="I10" s="2187" t="s">
        <v>3180</v>
      </c>
      <c r="J10" s="981"/>
      <c r="K10" s="2193" t="s">
        <v>1373</v>
      </c>
      <c r="L10" s="981"/>
      <c r="M10" s="2193" t="s">
        <v>3315</v>
      </c>
      <c r="N10" s="981"/>
      <c r="O10" s="2193"/>
      <c r="P10" s="981"/>
      <c r="Q10" s="2193"/>
      <c r="R10" s="981"/>
      <c r="S10" s="2193"/>
      <c r="T10" s="981"/>
      <c r="U10" s="2193"/>
      <c r="V10" s="981"/>
      <c r="W10" s="2193"/>
      <c r="X10" s="981"/>
      <c r="Y10" s="2193"/>
      <c r="Z10" s="981"/>
      <c r="AA10" s="2193"/>
      <c r="AB10" s="981"/>
      <c r="AC10" s="1292"/>
      <c r="AD10" s="15" t="s">
        <v>1894</v>
      </c>
      <c r="AE10" s="2194"/>
      <c r="AF10" s="15" t="s">
        <v>1894</v>
      </c>
      <c r="AG10" s="2194"/>
      <c r="AH10" s="15" t="s">
        <v>1895</v>
      </c>
      <c r="AI10" s="2194"/>
      <c r="AJ10" s="15" t="s">
        <v>1895</v>
      </c>
      <c r="AK10" s="2194"/>
      <c r="AL10" s="15" t="s">
        <v>1896</v>
      </c>
      <c r="AM10" s="1298"/>
      <c r="AN10" s="15" t="s">
        <v>1896</v>
      </c>
      <c r="AO10" s="1298"/>
      <c r="AP10" s="15" t="s">
        <v>1897</v>
      </c>
      <c r="AQ10" s="1298"/>
      <c r="AR10" s="15" t="s">
        <v>1897</v>
      </c>
      <c r="AS10" s="1298"/>
      <c r="AT10" s="2178"/>
      <c r="AU10" s="2178"/>
      <c r="AV10" s="1292"/>
      <c r="AW10" s="2161"/>
      <c r="AX10" s="1292"/>
      <c r="AY10" s="28"/>
      <c r="AZ10" s="28"/>
      <c r="BA10" s="2195" t="s">
        <v>1888</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1888</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2"/>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1898</v>
      </c>
      <c r="AE11" s="1818"/>
      <c r="AF11" s="2200" t="s">
        <v>1898</v>
      </c>
      <c r="AG11" s="1818"/>
      <c r="AH11" s="2200" t="s">
        <v>1899</v>
      </c>
      <c r="AI11" s="2201"/>
      <c r="AJ11" s="2200" t="s">
        <v>1899</v>
      </c>
      <c r="AK11" s="1818"/>
      <c r="AL11" s="1816"/>
      <c r="AM11" s="1818"/>
      <c r="AN11" s="1816"/>
      <c r="AO11" s="1818"/>
      <c r="AP11" s="1816"/>
      <c r="AQ11" s="1818"/>
      <c r="AR11" s="1816"/>
      <c r="AS11" s="1818"/>
      <c r="AT11" s="2161"/>
      <c r="AU11" s="2178"/>
      <c r="AV11" s="1292"/>
      <c r="AW11" s="2161"/>
      <c r="AX11" s="1292"/>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1" t="s">
        <v>1901</v>
      </c>
      <c r="W12" s="11" t="s">
        <v>1900</v>
      </c>
      <c r="X12" s="11" t="s">
        <v>1901</v>
      </c>
      <c r="Y12" s="11" t="s">
        <v>1900</v>
      </c>
      <c r="Z12" s="11" t="s">
        <v>1901</v>
      </c>
      <c r="AA12" s="11" t="s">
        <v>1900</v>
      </c>
      <c r="AB12" s="11" t="s">
        <v>1901</v>
      </c>
      <c r="AC12" s="2205"/>
      <c r="AD12" s="1805"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3" t="s">
        <v>1901</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c r="D13" s="2209" t="s">
        <v>3316</v>
      </c>
      <c r="E13" s="16">
        <f>IF($C$3="是",ROUND($A$3*G13/$B$3,2),ROUND($A$3*(G13-AT13)/$B$3,2))</f>
        <v>72072.02</v>
      </c>
      <c r="F13" s="32"/>
      <c r="G13" s="33">
        <f>H13+AC13+AT13</f>
        <v>405562.81999999995</v>
      </c>
      <c r="H13" s="20">
        <f>SUMIF(I$12:AB$12,"总值",I13:AB13)</f>
        <v>342798.48</v>
      </c>
      <c r="I13" s="2210">
        <f>'6、7期规划'!F4+'6、7期规划'!F5</f>
        <v>240173.61</v>
      </c>
      <c r="J13" s="2210"/>
      <c r="K13" s="2210">
        <f>'6、7期规划'!F6</f>
        <v>12941.53</v>
      </c>
      <c r="L13" s="2210"/>
      <c r="M13" s="2210">
        <f>'6、7期规划'!F12</f>
        <v>89683.34</v>
      </c>
      <c r="N13" s="2210"/>
      <c r="O13" s="2210"/>
      <c r="P13" s="2210"/>
      <c r="Q13" s="2210"/>
      <c r="R13" s="2210"/>
      <c r="S13" s="2210"/>
      <c r="T13" s="2210"/>
      <c r="U13" s="2210"/>
      <c r="V13" s="2210"/>
      <c r="W13" s="2210"/>
      <c r="X13" s="2210"/>
      <c r="Y13" s="2210"/>
      <c r="Z13" s="2210"/>
      <c r="AA13" s="2210"/>
      <c r="AB13" s="2210"/>
      <c r="AC13" s="16">
        <f>SUMIF(AD$12:AS$12,"总值",AD13:AS13)</f>
        <v>62764.34</v>
      </c>
      <c r="AD13" s="2211"/>
      <c r="AE13" s="2211"/>
      <c r="AF13" s="2211"/>
      <c r="AG13" s="2211"/>
      <c r="AH13" s="2211"/>
      <c r="AI13" s="2211"/>
      <c r="AJ13" s="2211"/>
      <c r="AK13" s="2211"/>
      <c r="AL13" s="2211">
        <f>'6、7期规划'!F7+'6、7期规划'!F8+'6、7期规划'!F10</f>
        <v>16570.34</v>
      </c>
      <c r="AM13" s="2211"/>
      <c r="AN13" s="2211">
        <f>'6、7期规划'!F13</f>
        <v>8694</v>
      </c>
      <c r="AO13" s="2211"/>
      <c r="AP13" s="2211"/>
      <c r="AQ13" s="2211"/>
      <c r="AR13" s="2211">
        <f>'6、7期规划'!F15</f>
        <v>37500</v>
      </c>
      <c r="AS13" s="2211"/>
      <c r="AT13" s="2212"/>
      <c r="AU13" s="2213"/>
      <c r="AV13" s="11">
        <f t="shared" ref="AV13:AX17" si="6">A13</f>
        <v>0</v>
      </c>
      <c r="AW13" s="11">
        <f t="shared" si="6"/>
        <v>0</v>
      </c>
      <c r="AX13" s="11">
        <f t="shared" si="6"/>
        <v>0</v>
      </c>
      <c r="AY13" s="1805">
        <f>ROUND($AY$6*AZ13/$AZ$5,2)</f>
        <v>72072.02</v>
      </c>
      <c r="AZ13" s="16">
        <f>BA13+BL13</f>
        <v>405562.81999999995</v>
      </c>
      <c r="BA13" s="16">
        <f>SUM(BB13:BK13)</f>
        <v>342798.48</v>
      </c>
      <c r="BB13" s="16">
        <f>IF($D13="是",I13-J13,0)</f>
        <v>240173.61</v>
      </c>
      <c r="BC13" s="16">
        <f>IF($D13="是",K13-L13,0)</f>
        <v>12941.53</v>
      </c>
      <c r="BD13" s="16">
        <f>IF($D13="是",M13-N13,0)</f>
        <v>89683.34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62764.34</v>
      </c>
      <c r="BM13" s="16">
        <f>IF($D13="是",AD13-AE13,0)</f>
        <v>0</v>
      </c>
      <c r="BN13" s="16">
        <f>IF($D13="是",AF13-AG13,0)</f>
        <v>0</v>
      </c>
      <c r="BO13" s="16">
        <f>IF($D13="是",AH13-AI13,0)</f>
        <v>0</v>
      </c>
      <c r="BP13" s="16">
        <f>IF($D13="是",AJ13-AK13,0)</f>
        <v>0</v>
      </c>
      <c r="BQ13" s="16">
        <f>IF($D13="是",AL13-AM13,0)</f>
        <v>16570.34</v>
      </c>
      <c r="BR13" s="16">
        <f>IF($D13="是",AN13-AO13,0)</f>
        <v>8694</v>
      </c>
      <c r="BS13" s="16">
        <f>IF($D13="是",AP13-AQ13,0)</f>
        <v>0</v>
      </c>
      <c r="BT13" s="22">
        <f>IF($D13="是",AR13-AS13,0)</f>
        <v>37500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19"/>
  <sheetViews>
    <sheetView workbookViewId="0">
      <selection activeCell="B2" sqref="B2:G16"/>
    </sheetView>
  </sheetViews>
  <sheetFormatPr defaultColWidth="10.875" defaultRowHeight="14.25"/>
  <cols>
    <col min="1" max="1" width="1.5" style="2955" customWidth="1"/>
    <col min="2" max="5" width="11.125" style="3000" customWidth="1"/>
    <col min="6" max="7" width="13" style="3000" customWidth="1"/>
    <col min="8" max="16384" width="10.875" style="2955"/>
  </cols>
  <sheetData>
    <row r="1" spans="2:7" ht="8.25" customHeight="1"/>
    <row r="2" spans="2:7" s="2999" customFormat="1" ht="27" customHeight="1">
      <c r="B2" s="3107"/>
      <c r="C2" s="3107"/>
      <c r="D2" s="3107"/>
      <c r="E2" s="3107"/>
      <c r="F2" s="3001" t="s">
        <v>3050</v>
      </c>
      <c r="G2" s="3001" t="s">
        <v>3051</v>
      </c>
    </row>
    <row r="3" spans="2:7" s="2999" customFormat="1" ht="27" customHeight="1">
      <c r="B3" s="3108" t="s">
        <v>3052</v>
      </c>
      <c r="C3" s="3108"/>
      <c r="D3" s="3108"/>
      <c r="E3" s="3108"/>
      <c r="F3" s="3001">
        <v>72072.02</v>
      </c>
      <c r="G3" s="3002">
        <v>74104</v>
      </c>
    </row>
    <row r="4" spans="2:7" s="2999" customFormat="1" ht="27" customHeight="1">
      <c r="B4" s="3107" t="s">
        <v>3053</v>
      </c>
      <c r="C4" s="3108" t="s">
        <v>3054</v>
      </c>
      <c r="D4" s="3108" t="s">
        <v>3055</v>
      </c>
      <c r="E4" s="3028" t="s">
        <v>3056</v>
      </c>
      <c r="F4" s="3028">
        <f>240173.61-F5</f>
        <v>198430.37999999998</v>
      </c>
      <c r="G4" s="3001">
        <f>456925.94-G5</f>
        <v>313420.32</v>
      </c>
    </row>
    <row r="5" spans="2:7" s="2999" customFormat="1" ht="27" customHeight="1">
      <c r="B5" s="3107"/>
      <c r="C5" s="3108"/>
      <c r="D5" s="3108"/>
      <c r="E5" s="3028" t="s">
        <v>3057</v>
      </c>
      <c r="F5" s="3028">
        <v>41743.230000000003</v>
      </c>
      <c r="G5" s="3001">
        <v>143505.62</v>
      </c>
    </row>
    <row r="6" spans="2:7" s="2999" customFormat="1" ht="27" customHeight="1">
      <c r="B6" s="3107"/>
      <c r="C6" s="3108"/>
      <c r="D6" s="3108"/>
      <c r="E6" s="3028" t="s">
        <v>3058</v>
      </c>
      <c r="F6" s="3028">
        <v>12941.53</v>
      </c>
      <c r="G6" s="3001">
        <v>9909.52</v>
      </c>
    </row>
    <row r="7" spans="2:7" s="2999" customFormat="1" ht="27" customHeight="1">
      <c r="B7" s="3107"/>
      <c r="C7" s="3108"/>
      <c r="D7" s="3108"/>
      <c r="E7" s="3028" t="s">
        <v>3059</v>
      </c>
      <c r="F7" s="3028">
        <v>775</v>
      </c>
      <c r="G7" s="3001">
        <v>1308</v>
      </c>
    </row>
    <row r="8" spans="2:7" s="2999" customFormat="1" ht="27" customHeight="1">
      <c r="B8" s="3107"/>
      <c r="C8" s="3108"/>
      <c r="D8" s="3108"/>
      <c r="E8" s="3028" t="s">
        <v>3060</v>
      </c>
      <c r="F8" s="3028">
        <f>20.11+7</f>
        <v>27.11</v>
      </c>
      <c r="G8" s="3001">
        <f>36.24+7</f>
        <v>43.24</v>
      </c>
    </row>
    <row r="9" spans="2:7" s="2999" customFormat="1" ht="27" customHeight="1">
      <c r="B9" s="3107"/>
      <c r="C9" s="3108"/>
      <c r="D9" s="3108"/>
      <c r="E9" s="3028" t="s">
        <v>3061</v>
      </c>
      <c r="F9" s="3028">
        <f>SUM(F4:F8)</f>
        <v>253917.24999999997</v>
      </c>
      <c r="G9" s="3001">
        <f>SUM(G4:G8)</f>
        <v>468186.7</v>
      </c>
    </row>
    <row r="10" spans="2:7" s="2999" customFormat="1" ht="27" customHeight="1">
      <c r="B10" s="3107"/>
      <c r="C10" s="3108"/>
      <c r="D10" s="3028" t="s">
        <v>3062</v>
      </c>
      <c r="E10" s="3028" t="s">
        <v>3063</v>
      </c>
      <c r="F10" s="3028">
        <v>15768.23</v>
      </c>
      <c r="G10" s="3001">
        <v>29735.25</v>
      </c>
    </row>
    <row r="11" spans="2:7" s="2999" customFormat="1" ht="27" customHeight="1">
      <c r="B11" s="3107"/>
      <c r="C11" s="3108"/>
      <c r="D11" s="3108" t="s">
        <v>3061</v>
      </c>
      <c r="E11" s="3108"/>
      <c r="F11" s="3028">
        <f>F9+F10</f>
        <v>269685.48</v>
      </c>
      <c r="G11" s="3001">
        <f>G9+G10</f>
        <v>497921.95</v>
      </c>
    </row>
    <row r="12" spans="2:7" s="2999" customFormat="1" ht="27" customHeight="1">
      <c r="B12" s="3107"/>
      <c r="C12" s="3108" t="s">
        <v>3064</v>
      </c>
      <c r="D12" s="3108" t="s">
        <v>3065</v>
      </c>
      <c r="E12" s="3108"/>
      <c r="F12" s="3028">
        <v>89683.34</v>
      </c>
      <c r="G12" s="3001">
        <v>140159.95000000001</v>
      </c>
    </row>
    <row r="13" spans="2:7" s="2999" customFormat="1" ht="27" customHeight="1">
      <c r="B13" s="3107"/>
      <c r="C13" s="3108"/>
      <c r="D13" s="3108" t="s">
        <v>3066</v>
      </c>
      <c r="E13" s="3108"/>
      <c r="F13" s="3028">
        <f>2488+5255+60+698+193</f>
        <v>8694</v>
      </c>
      <c r="G13" s="3001">
        <f>4570+6497+1296+365.54</f>
        <v>12728.54</v>
      </c>
    </row>
    <row r="14" spans="2:7" s="2999" customFormat="1" ht="27" customHeight="1">
      <c r="B14" s="3107"/>
      <c r="C14" s="3108"/>
      <c r="D14" s="3108" t="s">
        <v>3067</v>
      </c>
      <c r="E14" s="3108"/>
      <c r="F14" s="3028">
        <f>SUM(F12:F13)</f>
        <v>98377.34</v>
      </c>
      <c r="G14" s="3001">
        <f>SUM(G12:G13)</f>
        <v>152888.49000000002</v>
      </c>
    </row>
    <row r="15" spans="2:7" s="2999" customFormat="1" ht="27" customHeight="1">
      <c r="B15" s="3107"/>
      <c r="C15" s="3108" t="s">
        <v>3069</v>
      </c>
      <c r="D15" s="3108"/>
      <c r="E15" s="3108"/>
      <c r="F15" s="3028">
        <v>37500</v>
      </c>
      <c r="G15" s="3002">
        <v>20822.78</v>
      </c>
    </row>
    <row r="16" spans="2:7" s="2999" customFormat="1" ht="27" customHeight="1">
      <c r="B16" s="3107"/>
      <c r="C16" s="3108" t="s">
        <v>3068</v>
      </c>
      <c r="D16" s="3108"/>
      <c r="E16" s="3108"/>
      <c r="F16" s="3028">
        <f>F11+F14</f>
        <v>368062.81999999995</v>
      </c>
      <c r="G16" s="3001">
        <f>G11+G14</f>
        <v>650810.44000000006</v>
      </c>
    </row>
    <row r="18" spans="2:7" ht="21.75" customHeight="1">
      <c r="B18" s="3108" t="s">
        <v>3473</v>
      </c>
      <c r="C18" s="3108"/>
      <c r="D18" s="3108"/>
      <c r="E18" s="3108"/>
      <c r="F18" s="3001">
        <f>ROUND(F9/F3,2)</f>
        <v>3.52</v>
      </c>
      <c r="G18" s="3001">
        <f>ROUND(G9/G3,2)</f>
        <v>6.32</v>
      </c>
    </row>
    <row r="19" spans="2:7" ht="21.75" customHeight="1">
      <c r="B19" s="3108" t="s">
        <v>3474</v>
      </c>
      <c r="C19" s="3108"/>
      <c r="D19" s="3108"/>
      <c r="E19" s="3108"/>
      <c r="F19" s="3026">
        <f>F6/F9</f>
        <v>5.0967510084486196E-2</v>
      </c>
      <c r="G19" s="3026">
        <f>G6/G9</f>
        <v>2.1165744349422998E-2</v>
      </c>
    </row>
  </sheetData>
  <mergeCells count="14">
    <mergeCell ref="B19:E19"/>
    <mergeCell ref="C16:E16"/>
    <mergeCell ref="D11:E11"/>
    <mergeCell ref="C15:E15"/>
    <mergeCell ref="B4:B16"/>
    <mergeCell ref="B2:E2"/>
    <mergeCell ref="B18:E18"/>
    <mergeCell ref="B3:E3"/>
    <mergeCell ref="D4:D9"/>
    <mergeCell ref="C4:C11"/>
    <mergeCell ref="C12:C14"/>
    <mergeCell ref="D12:E12"/>
    <mergeCell ref="D13:E13"/>
    <mergeCell ref="D14:E14"/>
  </mergeCells>
  <phoneticPr fontId="144" type="noConversion"/>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3"/>
  <sheetViews>
    <sheetView workbookViewId="0">
      <selection activeCell="G9" sqref="G9"/>
    </sheetView>
  </sheetViews>
  <sheetFormatPr defaultColWidth="11" defaultRowHeight="13.5"/>
  <cols>
    <col min="1" max="1" width="1.75" customWidth="1"/>
    <col min="2" max="7" width="11" style="2979"/>
  </cols>
  <sheetData>
    <row r="1" spans="2:7" ht="9" customHeight="1"/>
    <row r="2" spans="2:7" s="3003" customFormat="1" ht="20.25" customHeight="1">
      <c r="B2" s="3109"/>
      <c r="C2" s="3109"/>
      <c r="D2" s="3109" t="s">
        <v>3293</v>
      </c>
      <c r="E2" s="3109"/>
      <c r="F2" s="3109" t="s">
        <v>3294</v>
      </c>
      <c r="G2" s="3109"/>
    </row>
    <row r="3" spans="2:7" s="3003" customFormat="1" ht="20.25" customHeight="1">
      <c r="B3" s="3109"/>
      <c r="C3" s="3109"/>
      <c r="D3" s="3004" t="s">
        <v>3281</v>
      </c>
      <c r="E3" s="3004" t="s">
        <v>3292</v>
      </c>
      <c r="F3" s="3004" t="s">
        <v>3281</v>
      </c>
      <c r="G3" s="3004" t="s">
        <v>3292</v>
      </c>
    </row>
    <row r="4" spans="2:7" s="3003" customFormat="1" ht="20.25" customHeight="1">
      <c r="B4" s="3109" t="s">
        <v>3295</v>
      </c>
      <c r="C4" s="3004" t="s">
        <v>3282</v>
      </c>
      <c r="D4" s="3004">
        <v>41</v>
      </c>
      <c r="E4" s="3004">
        <v>2</v>
      </c>
      <c r="F4" s="3004">
        <v>33</v>
      </c>
      <c r="G4" s="3004">
        <v>2</v>
      </c>
    </row>
    <row r="5" spans="2:7" s="3003" customFormat="1" ht="20.25" customHeight="1">
      <c r="B5" s="3109"/>
      <c r="C5" s="3004" t="s">
        <v>3283</v>
      </c>
      <c r="D5" s="3004">
        <v>48</v>
      </c>
      <c r="E5" s="3004">
        <v>2</v>
      </c>
      <c r="F5" s="3004">
        <v>34</v>
      </c>
      <c r="G5" s="3004">
        <v>2</v>
      </c>
    </row>
    <row r="6" spans="2:7" s="3003" customFormat="1" ht="20.25" customHeight="1">
      <c r="B6" s="3109"/>
      <c r="C6" s="3004" t="s">
        <v>3284</v>
      </c>
      <c r="D6" s="3004">
        <v>39</v>
      </c>
      <c r="E6" s="3004">
        <v>2</v>
      </c>
      <c r="F6" s="3004">
        <v>23</v>
      </c>
      <c r="G6" s="3004">
        <v>2</v>
      </c>
    </row>
    <row r="7" spans="2:7" s="3003" customFormat="1" ht="20.25" customHeight="1">
      <c r="B7" s="3109"/>
      <c r="C7" s="3004" t="s">
        <v>3285</v>
      </c>
      <c r="D7" s="3004">
        <v>39</v>
      </c>
      <c r="E7" s="3004">
        <v>2</v>
      </c>
      <c r="F7" s="3004">
        <v>24</v>
      </c>
      <c r="G7" s="3004">
        <v>2</v>
      </c>
    </row>
    <row r="8" spans="2:7" s="3003" customFormat="1" ht="20.25" customHeight="1">
      <c r="B8" s="3109"/>
      <c r="C8" s="3004" t="s">
        <v>3286</v>
      </c>
      <c r="D8" s="3004">
        <v>32</v>
      </c>
      <c r="E8" s="3004">
        <v>2</v>
      </c>
      <c r="F8" s="3004">
        <v>0</v>
      </c>
      <c r="G8" s="3004">
        <v>0</v>
      </c>
    </row>
    <row r="9" spans="2:7" s="3003" customFormat="1" ht="20.25" customHeight="1">
      <c r="B9" s="3109"/>
      <c r="C9" s="3004" t="s">
        <v>3287</v>
      </c>
      <c r="D9" s="3004">
        <v>48</v>
      </c>
      <c r="E9" s="3004">
        <v>2</v>
      </c>
      <c r="F9" s="3004">
        <v>0</v>
      </c>
      <c r="G9" s="3004">
        <v>0</v>
      </c>
    </row>
    <row r="10" spans="2:7" s="3003" customFormat="1" ht="20.25" customHeight="1">
      <c r="B10" s="3109"/>
      <c r="C10" s="3004" t="s">
        <v>3288</v>
      </c>
      <c r="D10" s="3004">
        <v>2</v>
      </c>
      <c r="E10" s="3004">
        <v>2</v>
      </c>
      <c r="F10" s="3004">
        <v>2</v>
      </c>
      <c r="G10" s="3004">
        <v>2</v>
      </c>
    </row>
    <row r="11" spans="2:7" s="3003" customFormat="1" ht="20.25" customHeight="1">
      <c r="B11" s="3109"/>
      <c r="C11" s="3004" t="s">
        <v>3289</v>
      </c>
      <c r="D11" s="3004">
        <v>2</v>
      </c>
      <c r="E11" s="3004">
        <v>2</v>
      </c>
      <c r="F11" s="3004">
        <v>2</v>
      </c>
      <c r="G11" s="3004">
        <v>2</v>
      </c>
    </row>
    <row r="12" spans="2:7" s="3003" customFormat="1" ht="20.25" customHeight="1">
      <c r="B12" s="3109"/>
      <c r="C12" s="3004" t="s">
        <v>3290</v>
      </c>
      <c r="D12" s="3004">
        <v>44</v>
      </c>
      <c r="E12" s="3004">
        <v>2</v>
      </c>
      <c r="F12" s="3004">
        <v>23</v>
      </c>
      <c r="G12" s="3004">
        <v>2</v>
      </c>
    </row>
    <row r="13" spans="2:7" s="3003" customFormat="1" ht="20.25" customHeight="1">
      <c r="B13" s="3004" t="s">
        <v>3296</v>
      </c>
      <c r="C13" s="3004"/>
      <c r="D13" s="3004"/>
      <c r="E13" s="3004"/>
      <c r="F13" s="3004"/>
      <c r="G13" s="3004"/>
    </row>
  </sheetData>
  <mergeCells count="4">
    <mergeCell ref="B2:C3"/>
    <mergeCell ref="D2:E2"/>
    <mergeCell ref="F2:G2"/>
    <mergeCell ref="B4:B12"/>
  </mergeCells>
  <phoneticPr fontId="14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1"/>
  <sheetViews>
    <sheetView topLeftCell="C1" workbookViewId="0">
      <selection activeCell="N17" sqref="N17"/>
    </sheetView>
  </sheetViews>
  <sheetFormatPr defaultRowHeight="13.5"/>
  <cols>
    <col min="2" max="2" width="26.125" customWidth="1"/>
    <col min="4" max="4" width="16.625" customWidth="1"/>
    <col min="8" max="8" width="7.625" style="2979" customWidth="1"/>
    <col min="9" max="9" width="11.625" style="2979" customWidth="1"/>
    <col min="10" max="14" width="12" style="2979" customWidth="1"/>
    <col min="15" max="15" width="12.875" customWidth="1"/>
  </cols>
  <sheetData>
    <row r="2" spans="1:15" ht="16.5">
      <c r="A2" s="3009" t="s">
        <v>3426</v>
      </c>
      <c r="B2" s="3011" t="s">
        <v>3457</v>
      </c>
      <c r="C2" s="3011" t="s">
        <v>3456</v>
      </c>
      <c r="D2" s="3011" t="s">
        <v>3455</v>
      </c>
      <c r="E2" s="3011" t="s">
        <v>3454</v>
      </c>
      <c r="F2" s="3011"/>
      <c r="H2" s="3110"/>
      <c r="I2" s="3111"/>
      <c r="J2" s="3019" t="s">
        <v>3459</v>
      </c>
      <c r="K2" s="3019" t="s">
        <v>3460</v>
      </c>
      <c r="L2" s="3019" t="s">
        <v>3428</v>
      </c>
      <c r="M2" s="3019" t="s">
        <v>3429</v>
      </c>
      <c r="N2" s="3019" t="s">
        <v>3469</v>
      </c>
    </row>
    <row r="3" spans="1:15" ht="16.5">
      <c r="A3" s="3009"/>
      <c r="B3" s="3011" t="s">
        <v>3453</v>
      </c>
      <c r="C3" s="3014" t="s">
        <v>3452</v>
      </c>
      <c r="D3" s="3013">
        <v>104737.55</v>
      </c>
      <c r="E3" s="3011" t="s">
        <v>3439</v>
      </c>
      <c r="F3" s="3018">
        <f>104737.55/666.67</f>
        <v>157.10553947230267</v>
      </c>
      <c r="H3" s="3110" t="s">
        <v>3458</v>
      </c>
      <c r="I3" s="3111"/>
      <c r="J3" s="3019">
        <f>D3</f>
        <v>104737.55</v>
      </c>
      <c r="K3" s="3019">
        <f>C14</f>
        <v>57001.91</v>
      </c>
      <c r="L3" s="3019">
        <f>C21+D21</f>
        <v>60219.34</v>
      </c>
      <c r="M3" s="3019">
        <f>C26</f>
        <v>63801.4</v>
      </c>
      <c r="N3" s="3019">
        <f>SUM(J3:M3)</f>
        <v>285760.2</v>
      </c>
    </row>
    <row r="4" spans="1:15" ht="16.5">
      <c r="B4" s="3011" t="s">
        <v>3451</v>
      </c>
      <c r="C4" s="3014" t="s">
        <v>3450</v>
      </c>
      <c r="D4" s="3015">
        <v>384938.05</v>
      </c>
      <c r="E4" s="3011" t="s">
        <v>3439</v>
      </c>
      <c r="F4" s="3011"/>
      <c r="H4" s="3113" t="s">
        <v>3461</v>
      </c>
      <c r="I4" s="3019" t="s">
        <v>3462</v>
      </c>
      <c r="J4" s="3019">
        <f>D6</f>
        <v>26602.560000000001</v>
      </c>
      <c r="K4" s="3019">
        <f>C15-C18-C19</f>
        <v>127424.26</v>
      </c>
      <c r="L4" s="3019"/>
      <c r="M4" s="3019">
        <f>ROUND(C27*(1-C28),0)-C30-C31</f>
        <v>262042.68</v>
      </c>
      <c r="N4" s="3019">
        <f t="shared" ref="N4:N13" si="0">SUM(J4:M4)</f>
        <v>416069.5</v>
      </c>
    </row>
    <row r="5" spans="1:15" ht="16.5">
      <c r="B5" s="3011" t="s">
        <v>3449</v>
      </c>
      <c r="C5" s="3014" t="s">
        <v>3448</v>
      </c>
      <c r="D5" s="3015">
        <v>208678.88</v>
      </c>
      <c r="E5" s="3011" t="s">
        <v>3439</v>
      </c>
      <c r="F5" s="3011" t="s">
        <v>3447</v>
      </c>
      <c r="H5" s="3114"/>
      <c r="I5" s="3019" t="s">
        <v>3463</v>
      </c>
      <c r="J5" s="3019">
        <f>D8</f>
        <v>182076.32</v>
      </c>
      <c r="K5" s="3019"/>
      <c r="L5" s="3019"/>
      <c r="M5" s="3019">
        <f>ROUND(C27*C28,0)</f>
        <v>5876</v>
      </c>
      <c r="N5" s="3019">
        <f t="shared" si="0"/>
        <v>187952.32</v>
      </c>
    </row>
    <row r="6" spans="1:15" ht="16.5">
      <c r="B6" s="3011">
        <v>1</v>
      </c>
      <c r="C6" s="3014" t="s">
        <v>3446</v>
      </c>
      <c r="D6" s="3015">
        <v>26602.560000000001</v>
      </c>
      <c r="E6" s="3011" t="s">
        <v>3439</v>
      </c>
      <c r="F6" s="3012">
        <v>13000</v>
      </c>
      <c r="H6" s="3114"/>
      <c r="I6" s="3019" t="s">
        <v>3464</v>
      </c>
      <c r="J6" s="3019"/>
      <c r="K6" s="3019">
        <f>C18+C19</f>
        <v>784.16000000000008</v>
      </c>
      <c r="L6" s="3019">
        <f>C22+D22</f>
        <v>16500</v>
      </c>
      <c r="M6" s="3019">
        <f>C30+C31</f>
        <v>1642.32</v>
      </c>
      <c r="N6" s="3019">
        <f t="shared" si="0"/>
        <v>18926.48</v>
      </c>
    </row>
    <row r="7" spans="1:15" ht="16.5">
      <c r="B7" s="3011">
        <v>2</v>
      </c>
      <c r="C7" s="3014" t="s">
        <v>3445</v>
      </c>
      <c r="D7" s="3017">
        <v>182076.32</v>
      </c>
      <c r="E7" s="3011" t="s">
        <v>3439</v>
      </c>
      <c r="F7" s="3011"/>
      <c r="H7" s="3115"/>
      <c r="I7" s="3019" t="s">
        <v>3465</v>
      </c>
      <c r="J7" s="3019">
        <f>SUM(J4:J6)</f>
        <v>208678.88</v>
      </c>
      <c r="K7" s="3019">
        <f t="shared" ref="K7:M7" si="1">SUM(K4:K6)</f>
        <v>128208.42</v>
      </c>
      <c r="L7" s="3019">
        <f t="shared" si="1"/>
        <v>16500</v>
      </c>
      <c r="M7" s="3019">
        <f t="shared" si="1"/>
        <v>269561</v>
      </c>
      <c r="N7" s="3019">
        <f t="shared" si="0"/>
        <v>622948.30000000005</v>
      </c>
    </row>
    <row r="8" spans="1:15" ht="16.5">
      <c r="B8" s="3016"/>
      <c r="C8" s="3014" t="s">
        <v>3444</v>
      </c>
      <c r="D8" s="3015">
        <v>182076.32</v>
      </c>
      <c r="E8" s="3011" t="s">
        <v>3439</v>
      </c>
      <c r="F8" s="3012">
        <v>30000</v>
      </c>
      <c r="H8" s="3116" t="s">
        <v>3466</v>
      </c>
      <c r="I8" s="3020" t="s">
        <v>3465</v>
      </c>
      <c r="J8" s="3020">
        <f>D10</f>
        <v>176259.17</v>
      </c>
      <c r="K8" s="3020"/>
      <c r="L8" s="3020"/>
      <c r="M8" s="3020"/>
      <c r="N8" s="3020">
        <f t="shared" si="0"/>
        <v>176259.17</v>
      </c>
    </row>
    <row r="9" spans="1:15" ht="16.5">
      <c r="B9" s="3011" t="s">
        <v>3443</v>
      </c>
      <c r="C9" s="3014" t="s">
        <v>3442</v>
      </c>
      <c r="D9" s="3012"/>
      <c r="E9" s="3011" t="s">
        <v>3439</v>
      </c>
      <c r="F9" s="3011"/>
      <c r="H9" s="3117"/>
      <c r="I9" s="3020" t="s">
        <v>3467</v>
      </c>
      <c r="J9" s="3020">
        <f>D11</f>
        <v>1832</v>
      </c>
      <c r="K9" s="3020">
        <f>C17</f>
        <v>1281</v>
      </c>
      <c r="L9" s="3020">
        <f>C24+D24</f>
        <v>50</v>
      </c>
      <c r="M9" s="3020">
        <f>C29</f>
        <v>2682</v>
      </c>
      <c r="N9" s="3020">
        <f t="shared" si="0"/>
        <v>5845</v>
      </c>
      <c r="O9" s="3024" t="s">
        <v>3480</v>
      </c>
    </row>
    <row r="10" spans="1:15" ht="16.5">
      <c r="B10" s="3011" t="s">
        <v>3441</v>
      </c>
      <c r="C10" s="3014" t="s">
        <v>3440</v>
      </c>
      <c r="D10" s="3012">
        <v>176259.17</v>
      </c>
      <c r="E10" s="3011" t="s">
        <v>3439</v>
      </c>
      <c r="F10" s="3011"/>
      <c r="H10" s="3113" t="s">
        <v>3466</v>
      </c>
      <c r="I10" s="3019" t="s">
        <v>3468</v>
      </c>
      <c r="J10" s="3019">
        <f>$O$10*J9</f>
        <v>64120</v>
      </c>
      <c r="K10" s="3024">
        <f t="shared" ref="K10:M10" si="2">$O$10*K9</f>
        <v>44835</v>
      </c>
      <c r="L10" s="3024">
        <f t="shared" si="2"/>
        <v>1750</v>
      </c>
      <c r="M10" s="3024">
        <f t="shared" si="2"/>
        <v>93870</v>
      </c>
      <c r="N10" s="3019">
        <f t="shared" si="0"/>
        <v>204575</v>
      </c>
      <c r="O10" s="3024">
        <v>35</v>
      </c>
    </row>
    <row r="11" spans="1:15" ht="16.5">
      <c r="B11" s="3011" t="s">
        <v>3438</v>
      </c>
      <c r="C11" s="3014" t="s">
        <v>3437</v>
      </c>
      <c r="D11" s="3013">
        <v>1832</v>
      </c>
      <c r="E11" s="3011" t="s">
        <v>3436</v>
      </c>
      <c r="F11" s="3012">
        <v>150000</v>
      </c>
      <c r="H11" s="3114"/>
      <c r="I11" s="3019" t="s">
        <v>3464</v>
      </c>
      <c r="J11" s="3019">
        <f>J8-J10</f>
        <v>112139.17000000001</v>
      </c>
      <c r="K11" s="3019"/>
      <c r="L11" s="3019"/>
      <c r="M11" s="3019"/>
      <c r="N11" s="3019">
        <f t="shared" si="0"/>
        <v>112139.17000000001</v>
      </c>
    </row>
    <row r="12" spans="1:15" ht="16.5">
      <c r="H12" s="3115"/>
      <c r="I12" s="3019" t="s">
        <v>3465</v>
      </c>
      <c r="J12" s="3019">
        <f>SUM(J10:J11)</f>
        <v>176259.17</v>
      </c>
      <c r="K12" s="3019">
        <f t="shared" ref="K12:M12" si="3">SUM(K10:K11)</f>
        <v>44835</v>
      </c>
      <c r="L12" s="3019">
        <f t="shared" si="3"/>
        <v>1750</v>
      </c>
      <c r="M12" s="3019">
        <f t="shared" si="3"/>
        <v>93870</v>
      </c>
      <c r="N12" s="3019">
        <f t="shared" si="0"/>
        <v>316714.17000000004</v>
      </c>
    </row>
    <row r="13" spans="1:15" ht="16.5">
      <c r="H13" s="3019" t="s">
        <v>3469</v>
      </c>
      <c r="I13" s="3019"/>
      <c r="J13" s="3019">
        <f>J7+J12</f>
        <v>384938.05000000005</v>
      </c>
      <c r="K13" s="3019">
        <f t="shared" ref="K13:M13" si="4">K7+K12</f>
        <v>173043.41999999998</v>
      </c>
      <c r="L13" s="3019">
        <f t="shared" si="4"/>
        <v>18250</v>
      </c>
      <c r="M13" s="3019">
        <f t="shared" si="4"/>
        <v>363431</v>
      </c>
      <c r="N13" s="3019">
        <f t="shared" si="0"/>
        <v>939662.47</v>
      </c>
    </row>
    <row r="14" spans="1:15">
      <c r="A14" s="3009" t="s">
        <v>3427</v>
      </c>
      <c r="B14" s="3009" t="s">
        <v>3430</v>
      </c>
      <c r="C14">
        <v>57001.91</v>
      </c>
    </row>
    <row r="15" spans="1:15" ht="16.5">
      <c r="B15" s="3009" t="s">
        <v>3431</v>
      </c>
      <c r="C15">
        <v>128208.42</v>
      </c>
      <c r="H15" s="3112" t="s">
        <v>3475</v>
      </c>
      <c r="I15" s="3112"/>
      <c r="J15" s="3019">
        <f>ROUND((D5+C15+C22+D22+C27)/(D3+C14+C21+D21+C26),2)</f>
        <v>2.1800000000000002</v>
      </c>
    </row>
    <row r="16" spans="1:15" ht="16.5">
      <c r="B16" s="3009" t="s">
        <v>3432</v>
      </c>
      <c r="C16">
        <v>0</v>
      </c>
      <c r="H16" s="3112" t="s">
        <v>3476</v>
      </c>
      <c r="I16" s="3112"/>
      <c r="J16" s="3025">
        <f>N5/N7</f>
        <v>0.30171415509120098</v>
      </c>
    </row>
    <row r="17" spans="1:4">
      <c r="B17" s="3009" t="s">
        <v>3433</v>
      </c>
      <c r="C17">
        <v>1281</v>
      </c>
    </row>
    <row r="18" spans="1:4">
      <c r="B18" s="3009" t="s">
        <v>3434</v>
      </c>
      <c r="C18">
        <v>681.95</v>
      </c>
    </row>
    <row r="19" spans="1:4">
      <c r="B19" s="3009" t="s">
        <v>3435</v>
      </c>
      <c r="C19">
        <v>102.21</v>
      </c>
    </row>
    <row r="21" spans="1:4">
      <c r="A21" s="3009" t="s">
        <v>3428</v>
      </c>
      <c r="B21" s="3009" t="s">
        <v>3430</v>
      </c>
      <c r="C21">
        <v>29326.28</v>
      </c>
      <c r="D21">
        <v>30893.06</v>
      </c>
    </row>
    <row r="22" spans="1:4">
      <c r="B22" s="3009" t="s">
        <v>3431</v>
      </c>
      <c r="C22">
        <v>3000</v>
      </c>
      <c r="D22">
        <v>13500</v>
      </c>
    </row>
    <row r="23" spans="1:4">
      <c r="B23" s="3009" t="s">
        <v>3432</v>
      </c>
      <c r="C23">
        <v>0</v>
      </c>
      <c r="D23">
        <v>0</v>
      </c>
    </row>
    <row r="24" spans="1:4">
      <c r="B24" s="3009" t="s">
        <v>3433</v>
      </c>
      <c r="C24">
        <v>9</v>
      </c>
      <c r="D24">
        <v>41</v>
      </c>
    </row>
    <row r="26" spans="1:4">
      <c r="A26" s="3009" t="s">
        <v>3429</v>
      </c>
      <c r="B26" s="3009" t="s">
        <v>3430</v>
      </c>
      <c r="C26">
        <v>63801.4</v>
      </c>
    </row>
    <row r="27" spans="1:4">
      <c r="B27" s="3009" t="s">
        <v>3431</v>
      </c>
      <c r="C27">
        <v>269561.8</v>
      </c>
    </row>
    <row r="28" spans="1:4">
      <c r="B28" s="3009" t="s">
        <v>3432</v>
      </c>
      <c r="C28" s="3010">
        <v>2.18E-2</v>
      </c>
    </row>
    <row r="29" spans="1:4">
      <c r="B29" s="3009" t="s">
        <v>3433</v>
      </c>
      <c r="C29">
        <v>2682</v>
      </c>
    </row>
    <row r="30" spans="1:4">
      <c r="B30" s="3009" t="s">
        <v>3434</v>
      </c>
      <c r="C30">
        <v>1432.32</v>
      </c>
    </row>
    <row r="31" spans="1:4">
      <c r="B31" s="3009" t="s">
        <v>3435</v>
      </c>
      <c r="C31">
        <v>210</v>
      </c>
    </row>
  </sheetData>
  <mergeCells count="7">
    <mergeCell ref="H2:I2"/>
    <mergeCell ref="H15:I15"/>
    <mergeCell ref="H16:I16"/>
    <mergeCell ref="H3:I3"/>
    <mergeCell ref="H4:H7"/>
    <mergeCell ref="H10:H12"/>
    <mergeCell ref="H8:H9"/>
  </mergeCells>
  <phoneticPr fontId="14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9"/>
  <sheetViews>
    <sheetView workbookViewId="0">
      <selection activeCell="D21" sqref="D21"/>
    </sheetView>
  </sheetViews>
  <sheetFormatPr defaultColWidth="10.875" defaultRowHeight="14.25"/>
  <cols>
    <col min="1" max="1" width="1.75" style="2955" customWidth="1"/>
    <col min="2" max="2" width="7" style="2955" customWidth="1"/>
    <col min="3" max="3" width="16" style="3000" customWidth="1"/>
    <col min="4" max="4" width="15.75" style="3000" customWidth="1"/>
    <col min="5" max="5" width="17.5" style="3000" customWidth="1"/>
    <col min="6" max="6" width="15.125" style="3000" customWidth="1"/>
    <col min="7" max="7" width="14.625" style="3000" customWidth="1"/>
    <col min="8" max="8" width="18.25" style="3000" customWidth="1"/>
    <col min="9" max="9" width="12.875" style="3000" customWidth="1"/>
    <col min="10" max="16384" width="10.875" style="2955"/>
  </cols>
  <sheetData>
    <row r="1" spans="2:9" ht="12" customHeight="1"/>
    <row r="2" spans="2:9" s="3007" customFormat="1" ht="36.75" customHeight="1">
      <c r="B2" s="2998"/>
      <c r="C2" s="3001" t="s">
        <v>3297</v>
      </c>
      <c r="D2" s="3001" t="s">
        <v>3298</v>
      </c>
      <c r="E2" s="3001" t="s">
        <v>3299</v>
      </c>
      <c r="F2" s="3001" t="s">
        <v>3300</v>
      </c>
      <c r="G2" s="3001" t="s">
        <v>3301</v>
      </c>
      <c r="H2" s="3001" t="s">
        <v>3302</v>
      </c>
      <c r="I2" s="3001" t="s">
        <v>3303</v>
      </c>
    </row>
    <row r="3" spans="2:9" s="3007" customFormat="1" ht="36.75" customHeight="1">
      <c r="B3" s="2998" t="s">
        <v>3304</v>
      </c>
      <c r="C3" s="3001" t="s">
        <v>3305</v>
      </c>
      <c r="D3" s="3001" t="s">
        <v>3306</v>
      </c>
      <c r="E3" s="3001" t="s">
        <v>3307</v>
      </c>
      <c r="F3" s="3001" t="s">
        <v>3308</v>
      </c>
      <c r="G3" s="3001" t="s">
        <v>3424</v>
      </c>
      <c r="H3" s="3008" t="s">
        <v>3309</v>
      </c>
      <c r="I3" s="3001">
        <v>186478.77</v>
      </c>
    </row>
    <row r="4" spans="2:9" s="3007" customFormat="1" ht="36.75" customHeight="1">
      <c r="B4" s="2998" t="s">
        <v>3310</v>
      </c>
      <c r="C4" s="3001" t="s">
        <v>3311</v>
      </c>
      <c r="D4" s="3001" t="s">
        <v>3306</v>
      </c>
      <c r="E4" s="3001" t="s">
        <v>3312</v>
      </c>
      <c r="F4" s="3001" t="s">
        <v>3313</v>
      </c>
      <c r="G4" s="3001" t="s">
        <v>3424</v>
      </c>
      <c r="H4" s="3008" t="s">
        <v>3309</v>
      </c>
      <c r="I4" s="3001">
        <v>763593.33</v>
      </c>
    </row>
    <row r="5" spans="2:9" s="3007" customFormat="1" ht="36.75" customHeight="1">
      <c r="B5" s="2998" t="s">
        <v>3425</v>
      </c>
      <c r="C5" s="3001"/>
      <c r="D5" s="3001"/>
      <c r="E5" s="3001"/>
      <c r="F5" s="3001"/>
      <c r="G5" s="3001"/>
      <c r="H5" s="3001"/>
      <c r="I5" s="3001">
        <f>SUM(I3:I4)</f>
        <v>950072.1</v>
      </c>
    </row>
    <row r="9" spans="2:9" s="2999" customFormat="1" ht="19.5" customHeight="1">
      <c r="B9" s="3021" t="s">
        <v>3471</v>
      </c>
      <c r="C9" s="3022" t="s">
        <v>3470</v>
      </c>
      <c r="D9" s="3022" t="s">
        <v>3472</v>
      </c>
      <c r="E9" s="3005"/>
      <c r="F9" s="3005"/>
      <c r="G9" s="3005"/>
      <c r="H9" s="3005"/>
      <c r="I9" s="3005"/>
    </row>
    <row r="10" spans="2:9" s="2999" customFormat="1" ht="19.5" customHeight="1">
      <c r="B10" s="3021">
        <v>2</v>
      </c>
      <c r="C10" s="3027">
        <v>454474.82</v>
      </c>
      <c r="D10" s="3006"/>
      <c r="E10" s="3005"/>
      <c r="F10" s="3005"/>
      <c r="G10" s="3005"/>
      <c r="H10" s="3005"/>
      <c r="I10" s="3005"/>
    </row>
    <row r="11" spans="2:9" s="2999" customFormat="1" ht="19.5" customHeight="1">
      <c r="B11" s="3021">
        <v>3</v>
      </c>
      <c r="C11" s="3022">
        <v>298652.31</v>
      </c>
      <c r="D11" s="3006"/>
      <c r="E11" s="3005"/>
      <c r="F11" s="3005"/>
      <c r="G11" s="3005"/>
      <c r="H11" s="3005"/>
      <c r="I11" s="3005"/>
    </row>
    <row r="12" spans="2:9" s="2999" customFormat="1" ht="19.5" customHeight="1">
      <c r="B12" s="3021">
        <v>4</v>
      </c>
      <c r="C12" s="3022">
        <v>400546.42</v>
      </c>
      <c r="D12" s="3006"/>
      <c r="E12" s="3005"/>
      <c r="F12" s="3005"/>
      <c r="G12" s="3005"/>
      <c r="H12" s="3005"/>
      <c r="I12" s="3005"/>
    </row>
    <row r="13" spans="2:9" s="2999" customFormat="1" ht="19.5" customHeight="1">
      <c r="B13" s="3021">
        <v>5</v>
      </c>
      <c r="C13" s="3022">
        <f>'5、8、9、10期规划'!D5</f>
        <v>208678.88</v>
      </c>
      <c r="D13" s="3006"/>
      <c r="E13" s="3005"/>
      <c r="F13" s="3005"/>
      <c r="G13" s="3005"/>
      <c r="H13" s="3005"/>
      <c r="I13" s="3005"/>
    </row>
    <row r="14" spans="2:9" s="2999" customFormat="1" ht="19.5" customHeight="1">
      <c r="B14" s="3021">
        <v>6</v>
      </c>
      <c r="C14" s="3022">
        <f>'6、7期规划'!F9</f>
        <v>253917.24999999997</v>
      </c>
      <c r="D14" s="3006"/>
      <c r="E14" s="3005"/>
      <c r="F14" s="3005"/>
      <c r="G14" s="3005"/>
      <c r="H14" s="3005"/>
      <c r="I14" s="3005"/>
    </row>
    <row r="15" spans="2:9" s="2999" customFormat="1" ht="19.5" customHeight="1">
      <c r="B15" s="3021">
        <v>7</v>
      </c>
      <c r="C15" s="3022">
        <f>'6、7期规划'!G9</f>
        <v>468186.7</v>
      </c>
      <c r="D15" s="3006"/>
      <c r="E15" s="3005"/>
      <c r="F15" s="3005"/>
      <c r="G15" s="3005"/>
      <c r="H15" s="3005"/>
      <c r="I15" s="3005"/>
    </row>
    <row r="16" spans="2:9" s="2999" customFormat="1" ht="19.5" customHeight="1">
      <c r="B16" s="3021">
        <v>8</v>
      </c>
      <c r="C16" s="3022">
        <f>'5、8、9、10期规划'!C15</f>
        <v>128208.42</v>
      </c>
      <c r="D16" s="3006"/>
      <c r="E16" s="3005"/>
      <c r="F16" s="3005"/>
      <c r="G16" s="3005"/>
      <c r="H16" s="3005"/>
      <c r="I16" s="3005"/>
    </row>
    <row r="17" spans="2:9" s="2999" customFormat="1" ht="19.5" customHeight="1">
      <c r="B17" s="3021">
        <v>9</v>
      </c>
      <c r="C17" s="3022">
        <f>'5、8、9、10期规划'!C22+'5、8、9、10期规划'!D22</f>
        <v>16500</v>
      </c>
      <c r="D17" s="3006"/>
      <c r="E17" s="3005"/>
      <c r="F17" s="3005"/>
      <c r="G17" s="3005"/>
      <c r="H17" s="3005"/>
      <c r="I17" s="3005"/>
    </row>
    <row r="18" spans="2:9" s="2999" customFormat="1" ht="19.5" customHeight="1">
      <c r="B18" s="3021">
        <v>10</v>
      </c>
      <c r="C18" s="3022">
        <f>'5、8、9、10期规划'!C27</f>
        <v>269561.8</v>
      </c>
      <c r="D18" s="3006"/>
      <c r="E18" s="3005"/>
      <c r="F18" s="3005"/>
      <c r="G18" s="3005"/>
      <c r="H18" s="3005"/>
      <c r="I18" s="3005"/>
    </row>
    <row r="19" spans="2:9" s="2999" customFormat="1" ht="19.5" customHeight="1">
      <c r="B19" s="3021" t="s">
        <v>3068</v>
      </c>
      <c r="C19" s="3022">
        <f>SUM(C10:C18)</f>
        <v>2498726.6</v>
      </c>
      <c r="D19" s="3023">
        <f>ROUND(C19/I4,2)</f>
        <v>3.27</v>
      </c>
      <c r="E19" s="3005"/>
      <c r="F19" s="3005"/>
      <c r="G19" s="3005"/>
      <c r="H19" s="3005"/>
      <c r="I19" s="3005"/>
    </row>
  </sheetData>
  <phoneticPr fontId="14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H38" sqref="H38"/>
    </sheetView>
  </sheetViews>
  <sheetFormatPr defaultColWidth="9.125" defaultRowHeight="14.25"/>
  <cols>
    <col min="1" max="1" width="12.125" style="2222" customWidth="1"/>
    <col min="2" max="2" width="10.1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125" style="2222"/>
  </cols>
  <sheetData>
    <row r="1" spans="1:16" ht="18.75">
      <c r="A1" s="2221" t="s">
        <v>1927</v>
      </c>
      <c r="B1" s="1392"/>
      <c r="C1" s="1392"/>
      <c r="D1" s="1392"/>
      <c r="E1" s="1392"/>
      <c r="F1" s="1392"/>
      <c r="G1" s="1392"/>
      <c r="H1" s="1392"/>
      <c r="I1" s="1392"/>
      <c r="J1" s="1392"/>
      <c r="K1" s="1392"/>
      <c r="L1" s="1392"/>
      <c r="M1" s="1392"/>
      <c r="N1" s="1392"/>
      <c r="O1" s="1392"/>
      <c r="P1" s="1392"/>
    </row>
    <row r="2" spans="1:16" ht="15">
      <c r="A2" s="3127" t="s">
        <v>1928</v>
      </c>
      <c r="B2" s="3127"/>
      <c r="C2" s="3127"/>
      <c r="D2" s="967" t="s">
        <v>1904</v>
      </c>
      <c r="E2" s="2223" t="s">
        <v>1905</v>
      </c>
      <c r="F2" s="1392"/>
      <c r="G2" s="2224"/>
      <c r="H2" s="2225"/>
      <c r="I2" s="2226" t="s">
        <v>1929</v>
      </c>
      <c r="J2" s="1392"/>
      <c r="K2" s="1392"/>
      <c r="L2" s="1392"/>
      <c r="M2" s="1392"/>
      <c r="N2" s="1427"/>
      <c r="O2" s="1392"/>
      <c r="P2" s="1392"/>
    </row>
    <row r="3" spans="1:16" ht="15.75" thickBot="1">
      <c r="A3" s="3128" t="s">
        <v>1902</v>
      </c>
      <c r="B3" s="3128"/>
      <c r="C3" s="3128"/>
      <c r="D3" s="46">
        <f>'数据-基础表'!AY6</f>
        <v>72072.02</v>
      </c>
      <c r="E3" s="46">
        <f>'数据-基础表'!AZ5</f>
        <v>405562.81999999995</v>
      </c>
      <c r="F3" s="1392"/>
      <c r="G3" s="1399"/>
      <c r="H3" s="1247" t="s">
        <v>1903</v>
      </c>
      <c r="I3" s="55">
        <f>ROUND('数据-基础表'!B3/'数据-基础表'!A3,2)</f>
        <v>5.63</v>
      </c>
      <c r="J3" s="1392"/>
      <c r="K3" s="1392"/>
      <c r="L3" s="1392"/>
      <c r="M3" s="1392"/>
      <c r="N3" s="1427"/>
      <c r="O3" s="1392"/>
      <c r="P3" s="1392"/>
    </row>
    <row r="4" spans="1:16" ht="15">
      <c r="A4" s="3129"/>
      <c r="B4" s="3130"/>
      <c r="C4" s="3131"/>
      <c r="D4" s="2227" t="s">
        <v>1904</v>
      </c>
      <c r="E4" s="2228" t="s">
        <v>1905</v>
      </c>
      <c r="F4" s="1392"/>
      <c r="G4" s="2229" t="s">
        <v>1930</v>
      </c>
      <c r="H4" s="1247" t="s">
        <v>1910</v>
      </c>
      <c r="I4" s="55">
        <f>ROUND(SUMIF('数据-基础表'!I9:AS9,"地上",'数据-基础表'!I5:AS5)/'数据-基础表'!A3,2)</f>
        <v>3.74</v>
      </c>
      <c r="J4" s="1392"/>
      <c r="K4" s="1392"/>
      <c r="L4" s="1392"/>
      <c r="M4" s="1392"/>
      <c r="N4" s="1427"/>
      <c r="O4" s="1392"/>
      <c r="P4" s="1392"/>
    </row>
    <row r="5" spans="1:16">
      <c r="A5" s="47" t="s">
        <v>1906</v>
      </c>
      <c r="B5" s="3132" t="s">
        <v>1907</v>
      </c>
      <c r="C5" s="3132"/>
      <c r="D5" s="48">
        <f>ROUND($D$3*E5/$E$3,2)</f>
        <v>42680.93</v>
      </c>
      <c r="E5" s="49">
        <f>SUMIF('数据-基础表'!$11:$11,"住宅",'数据-基础表'!$5:$5)</f>
        <v>240173.61</v>
      </c>
      <c r="F5" s="1392"/>
      <c r="G5" s="1399"/>
      <c r="H5" s="1247" t="s">
        <v>1903</v>
      </c>
      <c r="I5" s="55">
        <f>ROUND(E31/D31,2)</f>
        <v>5.63</v>
      </c>
      <c r="J5" s="1392"/>
      <c r="K5" s="1392"/>
      <c r="L5" s="1392"/>
      <c r="M5" s="1392"/>
      <c r="N5" s="1392"/>
      <c r="O5" s="1392"/>
      <c r="P5" s="1392"/>
    </row>
    <row r="6" spans="1:16" ht="15" thickBot="1">
      <c r="A6" s="2230"/>
      <c r="B6" s="3132" t="s">
        <v>1908</v>
      </c>
      <c r="C6" s="3132"/>
      <c r="D6" s="48">
        <f>ROUND($D$3*E6/$E$3,2)</f>
        <v>29391.09</v>
      </c>
      <c r="E6" s="49">
        <f>E3-E5</f>
        <v>165389.20999999996</v>
      </c>
      <c r="F6" s="1392"/>
      <c r="G6" s="2231" t="s">
        <v>1909</v>
      </c>
      <c r="H6" s="1399" t="s">
        <v>1910</v>
      </c>
      <c r="I6" s="939">
        <f>ROUND(F31/D31,2)</f>
        <v>3.74</v>
      </c>
      <c r="J6" s="1392"/>
      <c r="K6" s="1392"/>
      <c r="L6" s="1392"/>
      <c r="M6" s="1392"/>
      <c r="N6" s="1392"/>
      <c r="O6" s="1392"/>
      <c r="P6" s="1392"/>
    </row>
    <row r="7" spans="1:16" ht="15">
      <c r="A7" s="3124"/>
      <c r="B7" s="3125"/>
      <c r="C7" s="3126"/>
      <c r="D7" s="2227" t="s">
        <v>1904</v>
      </c>
      <c r="E7" s="2232" t="s">
        <v>1911</v>
      </c>
      <c r="F7" s="1392"/>
      <c r="G7" s="2224" t="s">
        <v>1912</v>
      </c>
      <c r="H7" s="64"/>
      <c r="I7" s="420">
        <f>'6、7期规划'!F18</f>
        <v>3.52</v>
      </c>
      <c r="J7" s="1392"/>
      <c r="K7" s="1392"/>
      <c r="L7" s="1392"/>
      <c r="M7" s="1392"/>
      <c r="N7" s="1392"/>
      <c r="O7" s="1392"/>
      <c r="P7" s="1392"/>
    </row>
    <row r="8" spans="1:16">
      <c r="A8" s="47" t="s">
        <v>1913</v>
      </c>
      <c r="B8" s="50" t="s">
        <v>1914</v>
      </c>
      <c r="C8" s="48" t="s">
        <v>1915</v>
      </c>
      <c r="D8" s="48">
        <f t="shared" ref="D8:D15" si="0">ROUND($D$3*E8/$E$3,2)</f>
        <v>44980.75</v>
      </c>
      <c r="E8" s="51">
        <f>SUMIF('数据-基础表'!BB10:BK10,"地上",'数据-基础表'!BB5:BK5)</f>
        <v>253115.13999999998</v>
      </c>
      <c r="F8" s="1392"/>
      <c r="G8" s="2233"/>
      <c r="H8" s="2233"/>
      <c r="I8" s="1392"/>
      <c r="J8" s="1392"/>
      <c r="K8" s="1392"/>
      <c r="L8" s="1392"/>
      <c r="M8" s="1392"/>
      <c r="N8" s="1392"/>
      <c r="O8" s="1392"/>
      <c r="P8" s="1392"/>
    </row>
    <row r="9" spans="1:16">
      <c r="A9" s="2234"/>
      <c r="B9" s="2235"/>
      <c r="C9" s="48" t="s">
        <v>1916</v>
      </c>
      <c r="D9" s="48">
        <f t="shared" si="0"/>
        <v>0</v>
      </c>
      <c r="E9" s="52">
        <v>0</v>
      </c>
      <c r="F9" s="1392"/>
      <c r="G9" s="2233"/>
      <c r="H9" s="2233"/>
      <c r="I9" s="1392"/>
      <c r="J9" s="1392"/>
      <c r="K9" s="1392"/>
      <c r="L9" s="1392"/>
      <c r="M9" s="1392"/>
      <c r="N9" s="1392"/>
      <c r="O9" s="1392"/>
      <c r="P9" s="1392"/>
    </row>
    <row r="10" spans="1:16">
      <c r="A10" s="2234"/>
      <c r="B10" s="2235"/>
      <c r="C10" s="48" t="s">
        <v>1925</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1917</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1918</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1919</v>
      </c>
      <c r="D13" s="48">
        <f t="shared" si="0"/>
        <v>15937.51</v>
      </c>
      <c r="E13" s="51">
        <f>SUMPRODUCT(('数据-基础表'!BB10:BK10="地下")*('数据-基础表'!BB11:BK11="车库")*('数据-基础表'!BB5:BK5))</f>
        <v>89683.34</v>
      </c>
      <c r="F13" s="1392"/>
      <c r="G13" s="2233"/>
      <c r="H13" s="2233"/>
      <c r="I13" s="1392"/>
      <c r="J13" s="1392"/>
      <c r="K13" s="1392"/>
      <c r="L13" s="1392"/>
      <c r="M13" s="1392"/>
      <c r="N13" s="1392"/>
      <c r="O13" s="1392"/>
      <c r="P13" s="1392"/>
    </row>
    <row r="14" spans="1:16">
      <c r="A14" s="2234"/>
      <c r="B14" s="2235"/>
      <c r="C14" s="48" t="s">
        <v>1931</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1926</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1920</v>
      </c>
      <c r="D16" s="50">
        <f>SUM(D8:D15)</f>
        <v>60918.26</v>
      </c>
      <c r="E16" s="53">
        <f>SUM(E8:E15)</f>
        <v>342798.48</v>
      </c>
      <c r="F16" s="1392"/>
      <c r="G16" s="2233"/>
      <c r="H16" s="2236" t="s">
        <v>1932</v>
      </c>
      <c r="I16" s="2237"/>
      <c r="J16" s="1392"/>
      <c r="K16" s="3121" t="s">
        <v>1932</v>
      </c>
      <c r="L16" s="3122"/>
      <c r="M16" s="3122"/>
      <c r="N16" s="3122"/>
      <c r="O16" s="3122"/>
      <c r="P16" s="3123"/>
    </row>
    <row r="17" spans="1:19" ht="15">
      <c r="A17" s="2238" t="s">
        <v>1933</v>
      </c>
      <c r="B17" s="2239" t="s">
        <v>1934</v>
      </c>
      <c r="C17" s="2240" t="s">
        <v>1935</v>
      </c>
      <c r="D17" s="2241" t="s">
        <v>1923</v>
      </c>
      <c r="E17" s="2242" t="s">
        <v>1924</v>
      </c>
      <c r="F17" s="2243"/>
      <c r="G17" s="2244"/>
      <c r="H17" s="2245" t="s">
        <v>1936</v>
      </c>
      <c r="I17" s="2246" t="s">
        <v>1921</v>
      </c>
      <c r="J17" s="1392"/>
      <c r="K17" s="3118" t="s">
        <v>1937</v>
      </c>
      <c r="L17" s="3119"/>
      <c r="M17" s="3120"/>
      <c r="N17" s="3118" t="s">
        <v>1938</v>
      </c>
      <c r="O17" s="3119"/>
      <c r="P17" s="3120"/>
      <c r="R17" s="2224" t="s">
        <v>1939</v>
      </c>
      <c r="S17" s="64"/>
    </row>
    <row r="18" spans="1:19" ht="15">
      <c r="A18" s="2234"/>
      <c r="B18" s="2247"/>
      <c r="C18" s="2248"/>
      <c r="D18" s="2249"/>
      <c r="E18" s="2250" t="s">
        <v>1940</v>
      </c>
      <c r="F18" s="2251" t="s">
        <v>1941</v>
      </c>
      <c r="G18" s="2252" t="s">
        <v>1942</v>
      </c>
      <c r="H18" s="1262" t="s">
        <v>1943</v>
      </c>
      <c r="I18" s="2253" t="s">
        <v>1944</v>
      </c>
      <c r="J18" s="1392"/>
      <c r="K18" s="1262" t="s">
        <v>1945</v>
      </c>
      <c r="L18" s="2254" t="s">
        <v>1946</v>
      </c>
      <c r="M18" s="1046" t="s">
        <v>1947</v>
      </c>
      <c r="N18" s="1262" t="s">
        <v>1945</v>
      </c>
      <c r="O18" s="2254" t="s">
        <v>1946</v>
      </c>
      <c r="P18" s="1046" t="s">
        <v>1947</v>
      </c>
      <c r="R18" s="1247" t="s">
        <v>1948</v>
      </c>
      <c r="S18" s="1247" t="s">
        <v>1949</v>
      </c>
    </row>
    <row r="19" spans="1:19">
      <c r="A19" s="2255"/>
      <c r="B19" s="50" t="s">
        <v>1922</v>
      </c>
      <c r="C19" s="2958" t="s">
        <v>3317</v>
      </c>
      <c r="D19" s="48">
        <f>ROUND($D$3*E19/$E$3,2)</f>
        <v>42680.93</v>
      </c>
      <c r="E19" s="56">
        <f t="shared" ref="E19:E26" si="1">SUM(F19:G19)</f>
        <v>240173.61</v>
      </c>
      <c r="F19" s="57">
        <f>'数据-基础表'!I13</f>
        <v>240173.61</v>
      </c>
      <c r="G19" s="58"/>
      <c r="H19" s="723">
        <f>ROUND($D$3*I19/$E$3,2)</f>
        <v>7814.62</v>
      </c>
      <c r="I19" s="51">
        <f t="shared" ref="I19:I26" si="2">IF($I$17="自定义",P19,M19)</f>
        <v>43974.34</v>
      </c>
      <c r="J19" s="1392"/>
      <c r="K19" s="1391">
        <f t="shared" ref="K19:K26" si="3">ROUND(E$28*E19/E$27,2)</f>
        <v>43974.34</v>
      </c>
      <c r="L19" s="1247">
        <f t="shared" ref="L19:L26" si="4">ROUND(IF(COUNTIF(C19,"*住宅*")&gt;0,E$29*E19/E$32,0),2)</f>
        <v>0</v>
      </c>
      <c r="M19" s="1403">
        <f>K19+L19</f>
        <v>43974.34</v>
      </c>
      <c r="N19" s="2256"/>
      <c r="O19" s="2257"/>
      <c r="P19" s="1403">
        <f>N19+O19</f>
        <v>0</v>
      </c>
      <c r="R19" s="1247">
        <f t="shared" ref="R19:S26" si="5">D19+H19</f>
        <v>50495.55</v>
      </c>
      <c r="S19" s="1248">
        <f t="shared" si="5"/>
        <v>284147.94999999995</v>
      </c>
    </row>
    <row r="20" spans="1:19">
      <c r="A20" s="2258"/>
      <c r="B20" s="50" t="s">
        <v>1950</v>
      </c>
      <c r="C20" s="2958" t="s">
        <v>3318</v>
      </c>
      <c r="D20" s="48">
        <f t="shared" ref="D20:D26" si="6">ROUND($D$3*E20/$E$3,2)</f>
        <v>2299.8200000000002</v>
      </c>
      <c r="E20" s="56">
        <f t="shared" si="1"/>
        <v>12941.53</v>
      </c>
      <c r="F20" s="57">
        <f>'数据-基础表'!K13</f>
        <v>12941.53</v>
      </c>
      <c r="G20" s="58"/>
      <c r="H20" s="723">
        <f t="shared" ref="H20:H26" si="7">ROUND($D$3*I20/$E$3,2)</f>
        <v>421.08</v>
      </c>
      <c r="I20" s="51">
        <f t="shared" si="2"/>
        <v>2369.52</v>
      </c>
      <c r="J20" s="1392"/>
      <c r="K20" s="1391">
        <f t="shared" si="3"/>
        <v>2369.52</v>
      </c>
      <c r="L20" s="1247">
        <f t="shared" si="4"/>
        <v>0</v>
      </c>
      <c r="M20" s="1403">
        <f t="shared" ref="M20:M26" si="8">K20+L20</f>
        <v>2369.52</v>
      </c>
      <c r="N20" s="2256"/>
      <c r="O20" s="2257"/>
      <c r="P20" s="1403">
        <f t="shared" ref="P20:P26" si="9">N20+O20</f>
        <v>0</v>
      </c>
      <c r="R20" s="1247">
        <f t="shared" si="5"/>
        <v>2720.9</v>
      </c>
      <c r="S20" s="1248">
        <f t="shared" si="5"/>
        <v>15311.050000000001</v>
      </c>
    </row>
    <row r="21" spans="1:19">
      <c r="A21" s="2258"/>
      <c r="B21" s="50" t="s">
        <v>1950</v>
      </c>
      <c r="C21" s="2958" t="s">
        <v>3319</v>
      </c>
      <c r="D21" s="48">
        <f t="shared" si="6"/>
        <v>15937.51</v>
      </c>
      <c r="E21" s="56">
        <f t="shared" si="1"/>
        <v>89683.34</v>
      </c>
      <c r="F21" s="57"/>
      <c r="G21" s="58">
        <f>'数据-基础表'!M13</f>
        <v>89683.34</v>
      </c>
      <c r="H21" s="723">
        <f t="shared" si="7"/>
        <v>2918.06</v>
      </c>
      <c r="I21" s="51">
        <f t="shared" si="2"/>
        <v>16420.48</v>
      </c>
      <c r="J21" s="1392"/>
      <c r="K21" s="1391">
        <f t="shared" si="3"/>
        <v>16420.48</v>
      </c>
      <c r="L21" s="1247">
        <f t="shared" si="4"/>
        <v>0</v>
      </c>
      <c r="M21" s="1403">
        <f t="shared" si="8"/>
        <v>16420.48</v>
      </c>
      <c r="N21" s="2256"/>
      <c r="O21" s="2257"/>
      <c r="P21" s="1403">
        <f t="shared" si="9"/>
        <v>0</v>
      </c>
      <c r="R21" s="1247">
        <f t="shared" si="5"/>
        <v>18855.57</v>
      </c>
      <c r="S21" s="1248">
        <f t="shared" si="5"/>
        <v>106103.81999999999</v>
      </c>
    </row>
    <row r="22" spans="1:19">
      <c r="A22" s="2258"/>
      <c r="B22" s="50" t="s">
        <v>1950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1951</v>
      </c>
      <c r="D27" s="1393">
        <f>SUM(D19:D26)</f>
        <v>60918.26</v>
      </c>
      <c r="E27" s="1394">
        <f>IF(SUM(E19:E26)='数据-基础表'!BA5,SUM(E19:E26),IF(F27="地上面积有误","面积有误","地下面积有误"))</f>
        <v>342798.48</v>
      </c>
      <c r="F27" s="1393">
        <f>IF(SUM(F19:F26)=E8,SUM(F19:F26),"地上面积有误")</f>
        <v>253115.13999999998</v>
      </c>
      <c r="G27" s="1395">
        <f>SUM(G19:G26)</f>
        <v>89683.34</v>
      </c>
      <c r="H27" s="1396">
        <f>SUM(H19:H26)</f>
        <v>11153.76</v>
      </c>
      <c r="I27" s="1397">
        <f>SUM(I19:I26)</f>
        <v>62764.34</v>
      </c>
      <c r="J27" s="1392"/>
      <c r="K27" s="1400">
        <f>SUM(K19:K26)</f>
        <v>62764.34</v>
      </c>
      <c r="L27" s="1401">
        <f>SUM(L19:L26)</f>
        <v>0</v>
      </c>
      <c r="M27" s="1404">
        <f>SUM(M19:M26)</f>
        <v>62764.34</v>
      </c>
      <c r="N27" s="1400">
        <f t="shared" ref="N27:O27" si="10">SUM(N19:N26)</f>
        <v>0</v>
      </c>
      <c r="O27" s="1401">
        <f t="shared" si="10"/>
        <v>0</v>
      </c>
      <c r="P27" s="1402">
        <f>SUM(P19:P26)</f>
        <v>0</v>
      </c>
      <c r="R27" s="1249">
        <f>IF(SUM(R19:R26)=$D$3,SUM(R19:R26),SUM(R19:R26)&amp;"误差"&amp;ROUND(SUM(R19:R26)-$D$3,2))</f>
        <v>72072.02</v>
      </c>
      <c r="S27" s="1247">
        <f>IF(SUM(S19:S26)=$E$3,SUM(S19:S26),SUM(S19:S26)&amp;"误差"&amp;ROUND(SUM(S19:S26)-E3,2))</f>
        <v>405562.81999999995</v>
      </c>
    </row>
    <row r="28" spans="1:19">
      <c r="A28" s="2258"/>
      <c r="B28" s="50" t="s">
        <v>1952</v>
      </c>
      <c r="C28" s="1259" t="s">
        <v>1953</v>
      </c>
      <c r="D28" s="48">
        <f>ROUND($D$3*E28/$E$3,2)</f>
        <v>11153.77</v>
      </c>
      <c r="E28" s="56">
        <f>SUM(F28:G28)</f>
        <v>62764.34</v>
      </c>
      <c r="F28" s="64">
        <f>'数据-基础表'!BQ5+'数据-基础表'!BS5</f>
        <v>16570.34</v>
      </c>
      <c r="G28" s="65">
        <f>'数据-基础表'!BR5+'数据-基础表'!BT5</f>
        <v>46194</v>
      </c>
      <c r="H28" s="1392"/>
      <c r="I28" s="1392"/>
      <c r="J28" s="1392"/>
      <c r="K28" s="1392"/>
      <c r="L28" s="1392"/>
      <c r="M28" s="1392"/>
      <c r="N28" s="1392"/>
      <c r="O28" s="1392"/>
      <c r="P28" s="1392"/>
    </row>
    <row r="29" spans="1:19">
      <c r="A29" s="2258"/>
      <c r="B29" s="50" t="s">
        <v>1952</v>
      </c>
      <c r="C29" s="2262" t="s">
        <v>1954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1951</v>
      </c>
      <c r="D30" s="1393">
        <f>SUM(D28:D29)</f>
        <v>11153.77</v>
      </c>
      <c r="E30" s="1393">
        <f>SUM(E28:E29)</f>
        <v>62764.34</v>
      </c>
      <c r="F30" s="1393">
        <f>SUM(F28:F29)</f>
        <v>16570.34</v>
      </c>
      <c r="G30" s="1395">
        <f>SUM(G28:G29)</f>
        <v>46194</v>
      </c>
      <c r="H30" s="1392"/>
      <c r="I30" s="1392"/>
      <c r="J30" s="1392"/>
      <c r="K30" s="1392"/>
      <c r="L30" s="1392"/>
      <c r="M30" s="1392"/>
      <c r="N30" s="1392"/>
      <c r="O30" s="1392"/>
      <c r="P30" s="1392"/>
    </row>
    <row r="31" spans="1:19" ht="15.75" thickBot="1">
      <c r="A31" s="2264"/>
      <c r="B31" s="2265"/>
      <c r="C31" s="1007" t="s">
        <v>1955</v>
      </c>
      <c r="D31" s="729">
        <f>D27+D30</f>
        <v>72072.03</v>
      </c>
      <c r="E31" s="729">
        <f>E27+E30</f>
        <v>405562.81999999995</v>
      </c>
      <c r="F31" s="730">
        <f>F27+F30</f>
        <v>269685.48</v>
      </c>
      <c r="G31" s="731">
        <f>G27+G30</f>
        <v>135877.34</v>
      </c>
      <c r="H31" s="1392"/>
      <c r="I31" s="1392"/>
      <c r="J31" s="1392"/>
      <c r="K31" s="1392"/>
      <c r="L31" s="1392"/>
      <c r="M31" s="1392"/>
      <c r="N31" s="1392"/>
      <c r="O31" s="1392"/>
      <c r="P31" s="1392"/>
    </row>
    <row r="32" spans="1:19">
      <c r="A32" s="2229"/>
      <c r="B32" s="2229" t="s">
        <v>1956</v>
      </c>
      <c r="C32" s="2229"/>
      <c r="D32" s="2229"/>
      <c r="E32" s="1274">
        <f>SUMIF(C19:C26,"*住宅*",E19:E26)</f>
        <v>240173.61</v>
      </c>
      <c r="F32" s="2229"/>
      <c r="G32" s="2229"/>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875" defaultRowHeight="12.75"/>
  <cols>
    <col min="1" max="1" width="20.875" style="2340" customWidth="1"/>
    <col min="2" max="2" width="12" style="2270" customWidth="1"/>
    <col min="3" max="3" width="10.8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4" width="6.875" style="2270" customWidth="1"/>
    <col min="25" max="25" width="7.375" style="2270" customWidth="1"/>
    <col min="26" max="30" width="6.875" style="2270" hidden="1" customWidth="1"/>
    <col min="31" max="31" width="8" style="2270" customWidth="1"/>
    <col min="32" max="34" width="7.125" style="2270" customWidth="1"/>
    <col min="35" max="39" width="8" style="2270" customWidth="1"/>
    <col min="40" max="40" width="13.875" style="2269"/>
    <col min="41" max="41" width="11.625" style="2269" customWidth="1"/>
    <col min="42" max="42" width="9.875" style="2269" customWidth="1"/>
    <col min="43" max="67" width="13.875" style="2269"/>
    <col min="68" max="16384" width="13.875" style="2270"/>
  </cols>
  <sheetData>
    <row r="1" spans="1:67" ht="19.5" thickBot="1">
      <c r="A1" s="2267" t="s">
        <v>1957</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1958</v>
      </c>
      <c r="B2" s="1266">
        <f>项目基本情况!D3</f>
        <v>43630</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1959</v>
      </c>
      <c r="B4" s="2276"/>
      <c r="C4" s="2277"/>
      <c r="D4" s="2278"/>
      <c r="E4" s="2277" t="s">
        <v>1960</v>
      </c>
      <c r="F4" s="2277"/>
      <c r="G4" s="2277"/>
      <c r="H4" s="2277"/>
      <c r="I4" s="2277"/>
      <c r="J4" s="2279"/>
      <c r="K4" s="2280"/>
      <c r="L4" s="2281"/>
      <c r="M4" s="2277"/>
      <c r="N4" s="2277" t="s">
        <v>1961</v>
      </c>
      <c r="O4" s="2277"/>
      <c r="P4" s="2277"/>
      <c r="Q4" s="2277"/>
      <c r="R4" s="2277"/>
      <c r="S4" s="2279"/>
      <c r="T4" s="2282" t="str">
        <f>'数据-汇总表'!I17</f>
        <v>按面积比例</v>
      </c>
      <c r="U4" s="2276" t="s">
        <v>1962</v>
      </c>
      <c r="V4" s="2277"/>
      <c r="W4" s="2277"/>
      <c r="X4" s="2277"/>
      <c r="Y4" s="2279"/>
      <c r="Z4" s="2240" t="s">
        <v>1963</v>
      </c>
      <c r="AA4" s="2240"/>
      <c r="AB4" s="2240"/>
      <c r="AC4" s="2240"/>
      <c r="AD4" s="2240"/>
      <c r="AE4" s="2238" t="s">
        <v>1964</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1965</v>
      </c>
      <c r="B5" s="2285" t="s">
        <v>1966</v>
      </c>
      <c r="C5" s="2286" t="s">
        <v>1967</v>
      </c>
      <c r="D5" s="2287" t="s">
        <v>1968</v>
      </c>
      <c r="E5" s="1268" t="s">
        <v>1969</v>
      </c>
      <c r="F5" s="2288" t="s">
        <v>1970</v>
      </c>
      <c r="G5" s="1268" t="s">
        <v>1971</v>
      </c>
      <c r="H5" s="1268" t="s">
        <v>1972</v>
      </c>
      <c r="I5" s="1268" t="s">
        <v>1973</v>
      </c>
      <c r="J5" s="2289" t="s">
        <v>1974</v>
      </c>
      <c r="K5" s="2290" t="s">
        <v>1975</v>
      </c>
      <c r="L5" s="2291" t="s">
        <v>1976</v>
      </c>
      <c r="M5" s="2292" t="s">
        <v>1977</v>
      </c>
      <c r="N5" s="2293" t="s">
        <v>1978</v>
      </c>
      <c r="O5" s="2291" t="s">
        <v>1979</v>
      </c>
      <c r="P5" s="2294" t="s">
        <v>1980</v>
      </c>
      <c r="Q5" s="69" t="s">
        <v>1981</v>
      </c>
      <c r="R5" s="2295" t="s">
        <v>1982</v>
      </c>
      <c r="S5" s="2296" t="s">
        <v>1983</v>
      </c>
      <c r="T5" s="2297" t="s">
        <v>1984</v>
      </c>
      <c r="U5" s="1267" t="s">
        <v>1985</v>
      </c>
      <c r="V5" s="1268" t="s">
        <v>1986</v>
      </c>
      <c r="W5" s="1268" t="s">
        <v>1987</v>
      </c>
      <c r="X5" s="71"/>
      <c r="Y5" s="70" t="s">
        <v>1988</v>
      </c>
      <c r="Z5" s="2298" t="s">
        <v>1985</v>
      </c>
      <c r="AA5" s="1268" t="s">
        <v>1986</v>
      </c>
      <c r="AB5" s="1268" t="s">
        <v>1987</v>
      </c>
      <c r="AC5" s="71"/>
      <c r="AD5" s="71" t="s">
        <v>1988</v>
      </c>
      <c r="AE5" s="1267" t="s">
        <v>1989</v>
      </c>
      <c r="AF5" s="1268" t="s">
        <v>1990</v>
      </c>
      <c r="AG5" s="70" t="s">
        <v>1991</v>
      </c>
      <c r="AH5" s="1267" t="s">
        <v>1992</v>
      </c>
      <c r="AI5" s="2298" t="s">
        <v>1993</v>
      </c>
      <c r="AJ5" s="2298" t="s">
        <v>1994</v>
      </c>
      <c r="AK5" s="1268" t="s">
        <v>1995</v>
      </c>
      <c r="AL5" s="1268" t="s">
        <v>1996</v>
      </c>
      <c r="AM5" s="70" t="s">
        <v>1997</v>
      </c>
      <c r="AN5" s="2299" t="s">
        <v>1998</v>
      </c>
      <c r="AO5" s="2070" t="s">
        <v>1999</v>
      </c>
      <c r="AP5" s="1249" t="s">
        <v>2000</v>
      </c>
      <c r="AQ5" s="2300" t="s">
        <v>2001</v>
      </c>
      <c r="AR5" s="2300"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1" t="str">
        <f>'数据-汇总表'!C19</f>
        <v>住宅</v>
      </c>
      <c r="B6" s="2302" t="str">
        <f>IF(A6=0,"","经营性")</f>
        <v>经营性</v>
      </c>
      <c r="C6" s="2303" t="s">
        <v>3180</v>
      </c>
      <c r="D6" s="1051">
        <f>SUMIF(项目基本情况!D$12:I$12,C6,项目基本情况!D$14:I$14)</f>
        <v>70</v>
      </c>
      <c r="E6" s="1048">
        <f>IF(B6="","",SUMIF(项目基本情况!D$12:I$12,C6,项目基本情况!D$13:I$13))</f>
        <v>64310</v>
      </c>
      <c r="F6" s="72">
        <f>SUMIF(项目基本情况!D$12:I$12,C6,项目基本情况!D$15:I$15)</f>
        <v>56.65</v>
      </c>
      <c r="G6" s="73">
        <f>IF(ISERROR(ROUND(POWER(1+H6,D6-F6)*(POWER(1+H6,F6)-1)/(POWER(1+H6,D6)-1),3)),0,ROUND(POWER(1+H6,D6-F6)*(POWER(1+H6,F6)-1)/(POWER(1+H6,D6)-1),3))</f>
        <v>0.96199999999999997</v>
      </c>
      <c r="H6" s="802">
        <v>4.4999999999999998E-2</v>
      </c>
      <c r="I6" s="3030">
        <v>0.05</v>
      </c>
      <c r="J6" s="74">
        <v>8.5000000000000006E-2</v>
      </c>
      <c r="K6" s="1251">
        <f>SUMIF('数据-汇总表'!C$19:C$33,A6,'数据-汇总表'!E$19:E$33)</f>
        <v>240173.61</v>
      </c>
      <c r="L6" s="803">
        <v>3000</v>
      </c>
      <c r="M6" s="75">
        <f t="shared" ref="M6:M14" si="0">ROUND(K6*L6/10000,0)</f>
        <v>72052</v>
      </c>
      <c r="N6" s="801">
        <v>0.25</v>
      </c>
      <c r="O6" s="75">
        <f>IF($N$5="成新度","——",ROUND(M6*N6,0))</f>
        <v>18013</v>
      </c>
      <c r="P6" s="76">
        <f>IF($N$5="成新度","——",M6-O6)</f>
        <v>54039</v>
      </c>
      <c r="Q6" s="804">
        <v>0.1</v>
      </c>
      <c r="R6" s="77">
        <f ca="1">SUMIF('数据-汇总表'!C$19:C$33,A6,'数据-汇总表'!R$19:R$27)</f>
        <v>50495.55</v>
      </c>
      <c r="S6" s="54">
        <f>IF('数据-汇总表'!$I$17="按面积比例",SUMIF('数据-汇总表'!C$19:C$33,A6,'数据-汇总表'!K$19:K$33),SUMIF('数据-汇总表'!C$19:C$33,A6,'数据-汇总表'!N$19:N$33))</f>
        <v>43974.34</v>
      </c>
      <c r="T6" s="1443">
        <f>ROUND($L$14*S6/10000,0)</f>
        <v>10554</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4"/>
      <c r="AO6" s="55" t="e">
        <f ca="1">SUMIF(INDIRECT("'"&amp;AN6&amp;"'"&amp;"!A:A"),"总价",INDIRECT("'"&amp;AN6&amp;"'"&amp;"!B:B"))</f>
        <v>#REF!</v>
      </c>
      <c r="AP6" s="2305">
        <f>IF(C6="住宅",K6*L6,0)</f>
        <v>720520830</v>
      </c>
      <c r="AQ6" s="55">
        <f>ROUND($L$14*$N$14*S6/10000,0)</f>
        <v>2638</v>
      </c>
      <c r="AR6" s="55">
        <f>ROUND($L$14*(1-$N$14)*S6/10000,0)</f>
        <v>7915</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商业</v>
      </c>
      <c r="B7" s="2302" t="str">
        <f t="shared" ref="B7:B13" si="1">IF(A7=0,"","经营性")</f>
        <v>经营性</v>
      </c>
      <c r="C7" s="2303" t="s">
        <v>1373</v>
      </c>
      <c r="D7" s="1051">
        <f>SUMIF(项目基本情况!D$12:I$12,C7,项目基本情况!D$14:I$14)</f>
        <v>40</v>
      </c>
      <c r="E7" s="1048">
        <f>IF(B7="","",SUMIF(项目基本情况!D$12:I$12,C7,项目基本情况!D$13:I$13))</f>
        <v>52257</v>
      </c>
      <c r="F7" s="72">
        <f>SUMIF(项目基本情况!D$12:I$12,C7,项目基本情况!D$15:I$15)</f>
        <v>23.63</v>
      </c>
      <c r="G7" s="73">
        <f t="shared" ref="G7:G11" si="2">IF(ISERROR(ROUND(POWER(1+H7,D7-F7)*(POWER(1+H7,F7)-1)/(POWER(1+H7,D7)-1),3)),0,ROUND(POWER(1+H7,D7-F7)*(POWER(1+H7,F7)-1)/(POWER(1+H7,D7)-1),3))</f>
        <v>0.79800000000000004</v>
      </c>
      <c r="H7" s="802">
        <v>0.05</v>
      </c>
      <c r="I7" s="3030">
        <v>5.5E-2</v>
      </c>
      <c r="J7" s="74">
        <v>8.5000000000000006E-2</v>
      </c>
      <c r="K7" s="1251">
        <f>SUMIF('数据-汇总表'!C$19:C$33,A7,'数据-汇总表'!E$19:E$33)</f>
        <v>12941.53</v>
      </c>
      <c r="L7" s="803">
        <v>3000</v>
      </c>
      <c r="M7" s="75">
        <f t="shared" si="0"/>
        <v>3882</v>
      </c>
      <c r="N7" s="801">
        <v>0.25</v>
      </c>
      <c r="O7" s="75">
        <f t="shared" ref="O7:O14" si="3">IF($N$5="成新度","——",ROUND(M7*N7,0))</f>
        <v>971</v>
      </c>
      <c r="P7" s="76">
        <f t="shared" ref="P7:P14" si="4">IF($N$5="成新度","——",M7-O7)</f>
        <v>2911</v>
      </c>
      <c r="Q7" s="804">
        <v>0.2</v>
      </c>
      <c r="R7" s="77">
        <f ca="1">SUMIF('数据-汇总表'!C$19:C$33,A7,'数据-汇总表'!R$19:R$27)</f>
        <v>2720.9</v>
      </c>
      <c r="S7" s="54">
        <f>IF('数据-汇总表'!$I$17="按面积比例",SUMIF('数据-汇总表'!C$19:C$33,A7,'数据-汇总表'!K$19:K$33),SUMIF('数据-汇总表'!C$19:C$33,A7,'数据-汇总表'!N$19:N$33))</f>
        <v>2369.52</v>
      </c>
      <c r="T7" s="1443">
        <f t="shared" ref="T7:T13" si="5">ROUND($L$14*S7/10000,0)</f>
        <v>569</v>
      </c>
      <c r="U7" s="78">
        <v>5</v>
      </c>
      <c r="V7" s="79">
        <v>0.03</v>
      </c>
      <c r="W7" s="79">
        <v>0.1</v>
      </c>
      <c r="X7" s="1261"/>
      <c r="Y7" s="80">
        <v>1</v>
      </c>
      <c r="Z7" s="81"/>
      <c r="AA7" s="74"/>
      <c r="AB7" s="74"/>
      <c r="AC7" s="1261"/>
      <c r="AD7" s="82"/>
      <c r="AE7" s="1262">
        <f t="shared" ref="AE7:AE13" ca="1" si="6">IF(AN7="",0,SUMIF(INDIRECT("'"&amp;AN7&amp;"'"&amp;"!E:E"),$AE$5,INDIRECT("'"&amp;AN7&amp;"'"&amp;"!F:F")))</f>
        <v>21.13</v>
      </c>
      <c r="AF7" s="1803"/>
      <c r="AG7" s="147">
        <f t="shared" ref="AG7:AG13" si="7">IF(AF7="",0,AE7-AF7)</f>
        <v>0</v>
      </c>
      <c r="AH7" s="83"/>
      <c r="AI7" s="85">
        <v>365</v>
      </c>
      <c r="AJ7" s="86"/>
      <c r="AK7" s="87">
        <v>1.4999999999999999E-2</v>
      </c>
      <c r="AL7" s="88">
        <v>1.5E-3</v>
      </c>
      <c r="AM7" s="89">
        <v>0.01</v>
      </c>
      <c r="AN7" s="2304" t="s">
        <v>3344</v>
      </c>
      <c r="AO7" s="55">
        <f t="shared" ref="AO7:AO13" ca="1" si="8">SUMIF(INDIRECT("'"&amp;AN7&amp;"'"&amp;"!A:A"),"总价",INDIRECT("'"&amp;AN7&amp;"'"&amp;"!B:B"))</f>
        <v>25761</v>
      </c>
      <c r="AP7" s="2305">
        <f t="shared" ref="AP7:AP13" si="9">IF(C7="住宅",K7*L7,0)</f>
        <v>0</v>
      </c>
      <c r="AQ7" s="55">
        <f t="shared" ref="AQ7:AQ13" si="10">ROUND($L$14*$N$14*S7/10000,0)</f>
        <v>142</v>
      </c>
      <c r="AR7" s="55">
        <f t="shared" ref="AR7:AR13" si="11">ROUND($L$14*(1-$N$14)*S7/10000,0)</f>
        <v>427</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地下车库</v>
      </c>
      <c r="B8" s="2302" t="str">
        <f t="shared" si="1"/>
        <v>经营性</v>
      </c>
      <c r="C8" s="2303" t="s">
        <v>3315</v>
      </c>
      <c r="D8" s="1051">
        <f>SUMIF(项目基本情况!D$12:I$12,C8,项目基本情况!D$14:I$14)</f>
        <v>50</v>
      </c>
      <c r="E8" s="1048">
        <f>IF(B8="","",SUMIF(项目基本情况!D$12:I$12,C8,项目基本情况!D$13:I$13))</f>
        <v>55910</v>
      </c>
      <c r="F8" s="72">
        <f>SUMIF(项目基本情况!D$12:I$12,C8,项目基本情况!D$15:I$15)</f>
        <v>33.64</v>
      </c>
      <c r="G8" s="73">
        <f t="shared" si="2"/>
        <v>0.86899999999999999</v>
      </c>
      <c r="H8" s="802">
        <v>4.4999999999999998E-2</v>
      </c>
      <c r="I8" s="3030">
        <v>0.05</v>
      </c>
      <c r="J8" s="74">
        <v>8.5000000000000006E-2</v>
      </c>
      <c r="K8" s="1251">
        <f>SUMIF('数据-汇总表'!C$19:C$33,A8,'数据-汇总表'!E$19:E$33)</f>
        <v>89683.34</v>
      </c>
      <c r="L8" s="803">
        <v>2400</v>
      </c>
      <c r="M8" s="75">
        <f>ROUND(K8*L8/10000,0)</f>
        <v>21524</v>
      </c>
      <c r="N8" s="801">
        <v>0.25</v>
      </c>
      <c r="O8" s="75">
        <f t="shared" si="3"/>
        <v>5381</v>
      </c>
      <c r="P8" s="76">
        <f t="shared" si="4"/>
        <v>16143</v>
      </c>
      <c r="Q8" s="804">
        <v>0.03</v>
      </c>
      <c r="R8" s="77">
        <f ca="1">SUMIF('数据-汇总表'!C$19:C$33,A8,'数据-汇总表'!R$19:R$27)</f>
        <v>18855.57</v>
      </c>
      <c r="S8" s="54">
        <f>IF('数据-汇总表'!$I$17="按面积比例",SUMIF('数据-汇总表'!C$19:C$33,A8,'数据-汇总表'!K$19:K$33),SUMIF('数据-汇总表'!C$19:C$33,A8,'数据-汇总表'!N$19:N$33))</f>
        <v>16420.48</v>
      </c>
      <c r="T8" s="1443">
        <f t="shared" si="5"/>
        <v>3941</v>
      </c>
      <c r="U8" s="805">
        <v>0.8</v>
      </c>
      <c r="V8" s="806">
        <v>0.03</v>
      </c>
      <c r="W8" s="806">
        <v>0.1</v>
      </c>
      <c r="X8" s="1261"/>
      <c r="Y8" s="807">
        <v>1</v>
      </c>
      <c r="Z8" s="81"/>
      <c r="AA8" s="74"/>
      <c r="AB8" s="74"/>
      <c r="AC8" s="1261"/>
      <c r="AD8" s="82"/>
      <c r="AE8" s="1262">
        <f t="shared" ca="1" si="6"/>
        <v>31.14</v>
      </c>
      <c r="AF8" s="1803"/>
      <c r="AG8" s="147">
        <f t="shared" si="7"/>
        <v>0</v>
      </c>
      <c r="AH8" s="808"/>
      <c r="AI8" s="85">
        <v>365</v>
      </c>
      <c r="AJ8" s="86"/>
      <c r="AK8" s="809">
        <v>1.4999999999999999E-2</v>
      </c>
      <c r="AL8" s="810">
        <v>1.5E-3</v>
      </c>
      <c r="AM8" s="811">
        <v>0.01</v>
      </c>
      <c r="AN8" s="2304" t="s">
        <v>3345</v>
      </c>
      <c r="AO8" s="55">
        <f t="shared" ca="1" si="8"/>
        <v>29625</v>
      </c>
      <c r="AP8" s="2305">
        <f t="shared" si="9"/>
        <v>0</v>
      </c>
      <c r="AQ8" s="55">
        <f t="shared" si="10"/>
        <v>985</v>
      </c>
      <c r="AR8" s="55">
        <f t="shared" si="11"/>
        <v>2956</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2003</v>
      </c>
      <c r="B14" s="2302" t="s">
        <v>2004</v>
      </c>
      <c r="C14" s="2307" t="s">
        <v>2003</v>
      </c>
      <c r="D14" s="1051"/>
      <c r="E14" s="1048"/>
      <c r="F14" s="72"/>
      <c r="G14" s="73"/>
      <c r="H14" s="1250"/>
      <c r="I14" s="1250"/>
      <c r="J14" s="1250"/>
      <c r="K14" s="1251">
        <f>SUMIF('数据-汇总表'!C$19:C$33,A14,'数据-汇总表'!E$19:E$33)</f>
        <v>62764.34</v>
      </c>
      <c r="L14" s="91">
        <f>L8</f>
        <v>2400</v>
      </c>
      <c r="M14" s="75">
        <f t="shared" si="0"/>
        <v>15063</v>
      </c>
      <c r="N14" s="92">
        <v>0.25</v>
      </c>
      <c r="O14" s="75">
        <f t="shared" si="3"/>
        <v>3766</v>
      </c>
      <c r="P14" s="76">
        <f t="shared" si="4"/>
        <v>11297</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2005</v>
      </c>
      <c r="B15" s="2302" t="s">
        <v>2004</v>
      </c>
      <c r="C15" s="2307"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2007</v>
      </c>
      <c r="B16" s="97"/>
      <c r="C16" s="1005"/>
      <c r="D16" s="2309"/>
      <c r="E16" s="97"/>
      <c r="F16" s="97"/>
      <c r="G16" s="98">
        <f>ROUND(SUMPRODUCT(G6:G13,K6:K13)/SUMPRODUCT((G6:G13&gt;0)*(K6:K13)),3)</f>
        <v>0.93100000000000005</v>
      </c>
      <c r="H16" s="99">
        <f>ROUND(SUMPRODUCT(H6:H13,K6:K13)/SUMPRODUCT((H6:H13&gt;0)*(K6:K13)),3)</f>
        <v>4.4999999999999998E-2</v>
      </c>
      <c r="I16" s="100"/>
      <c r="J16" s="100"/>
      <c r="K16" s="101">
        <f>SUM(K6:K15)</f>
        <v>405562.81999999995</v>
      </c>
      <c r="L16" s="102">
        <f>ROUND(M16*10000/SUM(K6:K14),0)</f>
        <v>2774</v>
      </c>
      <c r="M16" s="102">
        <f>SUM(M6:M14)</f>
        <v>112521</v>
      </c>
      <c r="N16" s="103">
        <f>ROUND(SUMPRODUCT(M6:M14,N6:N14)/M16,3)</f>
        <v>0.25</v>
      </c>
      <c r="O16" s="102">
        <f>SUM(O6:O14)</f>
        <v>28131</v>
      </c>
      <c r="P16" s="102">
        <f>SUM(P6:P14)</f>
        <v>84390</v>
      </c>
      <c r="Q16" s="104">
        <f>ROUND(SUMPRODUCT(Q6:Q13,K6:K13)/SUMPRODUCT((Q6:Q13&gt;0)*(K6:K13)),2)</f>
        <v>0.09</v>
      </c>
      <c r="R16" s="1255">
        <f ca="1">SUM(R6:R13)</f>
        <v>72072.02</v>
      </c>
      <c r="S16" s="105">
        <f>SUM(S6:S13)</f>
        <v>62764.34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2008</v>
      </c>
      <c r="B18" s="2275"/>
      <c r="C18" s="2272"/>
      <c r="D18" s="2273"/>
      <c r="E18" s="2272"/>
      <c r="F18" s="2272"/>
      <c r="G18" s="2272"/>
      <c r="H18" s="2272"/>
      <c r="I18" s="2272"/>
      <c r="J18" s="2272"/>
      <c r="K18" s="2968" t="s">
        <v>3369</v>
      </c>
      <c r="L18" s="2969" t="s">
        <v>3370</v>
      </c>
      <c r="M18" s="2970"/>
      <c r="N18" s="2970"/>
      <c r="O18" s="2970" t="s">
        <v>3371</v>
      </c>
      <c r="P18" s="2971"/>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2009</v>
      </c>
      <c r="B19" s="112">
        <v>0</v>
      </c>
      <c r="C19" s="2272" t="s">
        <v>2010</v>
      </c>
      <c r="D19" s="2273"/>
      <c r="E19" s="2272"/>
      <c r="F19" s="2272"/>
      <c r="G19" s="2272"/>
      <c r="H19" s="2272"/>
      <c r="I19" s="2272"/>
      <c r="J19" s="2272"/>
      <c r="K19" s="2972"/>
      <c r="L19" s="2532" t="s">
        <v>3372</v>
      </c>
      <c r="M19" s="2973" t="s">
        <v>3373</v>
      </c>
      <c r="N19" s="2973" t="s">
        <v>3338</v>
      </c>
      <c r="O19" s="2973"/>
      <c r="P19" s="2974"/>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1" customHeight="1" thickBot="1">
      <c r="A20" s="2312" t="s">
        <v>2011</v>
      </c>
      <c r="B20" s="113">
        <v>3</v>
      </c>
      <c r="C20" s="2272" t="s">
        <v>2012</v>
      </c>
      <c r="D20" s="2273"/>
      <c r="E20" s="2272"/>
      <c r="F20" s="2272"/>
      <c r="G20" s="2272"/>
      <c r="H20" s="2272"/>
      <c r="I20" s="2272"/>
      <c r="J20" s="2272"/>
      <c r="K20" s="2975" t="s">
        <v>3374</v>
      </c>
      <c r="L20" s="2976">
        <v>1391</v>
      </c>
      <c r="M20" s="2977">
        <v>1492</v>
      </c>
      <c r="N20" s="2977">
        <v>1661</v>
      </c>
      <c r="O20" s="2977" t="s">
        <v>3375</v>
      </c>
      <c r="P20" s="2978"/>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2013</v>
      </c>
      <c r="B21" s="113">
        <v>0.5</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2014</v>
      </c>
      <c r="B22" s="114">
        <f>B19+B20</f>
        <v>3</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2015</v>
      </c>
      <c r="B23" s="114">
        <f>B19+B21</f>
        <v>0.5</v>
      </c>
      <c r="C23" s="2272"/>
      <c r="D23" s="2273"/>
      <c r="E23" s="2272"/>
      <c r="F23" s="2272"/>
      <c r="G23" s="2272"/>
      <c r="H23" s="2272"/>
      <c r="I23" s="2272"/>
      <c r="J23" s="2272"/>
      <c r="K23" s="168"/>
      <c r="L23" s="168"/>
      <c r="M23" s="1580"/>
      <c r="N23" s="1580"/>
      <c r="O23" s="1580"/>
      <c r="P23" s="1580"/>
      <c r="Q23" s="1580"/>
      <c r="R23" s="1580"/>
      <c r="S23" s="1580"/>
      <c r="T23" s="1580"/>
      <c r="U23" s="1580">
        <v>1</v>
      </c>
      <c r="V23" s="1580">
        <v>30000</v>
      </c>
      <c r="W23" s="1580"/>
      <c r="X23" s="1580">
        <v>6</v>
      </c>
      <c r="Y23" s="1580">
        <f>X23</f>
        <v>6</v>
      </c>
      <c r="Z23" s="1580"/>
      <c r="AA23" s="1580"/>
      <c r="AB23" s="1580"/>
      <c r="AC23" s="1580"/>
      <c r="AD23" s="1580"/>
      <c r="AE23" s="1580"/>
      <c r="AF23" s="1580"/>
      <c r="AG23" s="1580"/>
      <c r="AH23" s="1580"/>
      <c r="AI23" s="1580"/>
      <c r="AJ23" s="1580"/>
      <c r="AK23" s="1580"/>
      <c r="AL23" s="1580"/>
      <c r="AM23" s="1580"/>
    </row>
    <row r="24" spans="1:67" ht="15" thickBot="1">
      <c r="A24" s="2314" t="s">
        <v>2016</v>
      </c>
      <c r="B24" s="115">
        <f>B20-B21</f>
        <v>2.5</v>
      </c>
      <c r="C24" s="2272"/>
      <c r="D24" s="2273"/>
      <c r="E24" s="2272"/>
      <c r="F24" s="2272"/>
      <c r="G24" s="2272"/>
      <c r="H24" s="2272"/>
      <c r="I24" s="2272"/>
      <c r="J24" s="2272"/>
      <c r="K24" s="168"/>
      <c r="L24" s="168"/>
      <c r="M24" s="1580"/>
      <c r="N24" s="1580"/>
      <c r="O24" s="1580"/>
      <c r="P24" s="1580"/>
      <c r="Q24" s="1580"/>
      <c r="R24" s="1580"/>
      <c r="S24" s="1580"/>
      <c r="T24" s="1580"/>
      <c r="U24" s="1580">
        <v>2</v>
      </c>
      <c r="V24" s="1580">
        <v>20000</v>
      </c>
      <c r="W24" s="1580">
        <f>ROUND(V24/V23,2)</f>
        <v>0.67</v>
      </c>
      <c r="X24" s="1580">
        <f>ROUND(X23*W24,1)</f>
        <v>4</v>
      </c>
      <c r="Y24" s="1580">
        <f>ROUND(Y23*W24,1)</f>
        <v>4</v>
      </c>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v>3</v>
      </c>
      <c r="V25" s="1580"/>
      <c r="W25" s="1580">
        <v>0.55000000000000004</v>
      </c>
      <c r="X25" s="1580"/>
      <c r="Y25" s="1580">
        <f>ROUND(Y23*W25,1)</f>
        <v>3.3</v>
      </c>
      <c r="Z25" s="1580"/>
      <c r="AA25" s="1580"/>
      <c r="AB25" s="1580"/>
      <c r="AC25" s="1580"/>
      <c r="AD25" s="1580"/>
      <c r="AE25" s="1580"/>
      <c r="AF25" s="1580"/>
      <c r="AG25" s="1580"/>
      <c r="AH25" s="1580"/>
      <c r="AI25" s="1580"/>
      <c r="AJ25" s="1580"/>
      <c r="AK25" s="1580"/>
      <c r="AL25" s="1580"/>
      <c r="AM25" s="1580"/>
    </row>
    <row r="26" spans="1:67" ht="15" thickBot="1">
      <c r="A26" s="2271" t="s">
        <v>2017</v>
      </c>
      <c r="B26" s="2315" t="s">
        <v>2018</v>
      </c>
      <c r="C26" s="2316" t="s">
        <v>2019</v>
      </c>
      <c r="D26" s="2273"/>
      <c r="E26" s="2272"/>
      <c r="F26" s="2272"/>
      <c r="G26" s="2272"/>
      <c r="H26" s="2272"/>
      <c r="I26" s="2272"/>
      <c r="J26" s="2272"/>
      <c r="K26" s="168"/>
      <c r="L26" s="168"/>
      <c r="M26" s="1580"/>
      <c r="N26" s="1580"/>
      <c r="O26" s="1580"/>
      <c r="P26" s="1580"/>
      <c r="Q26" s="1580"/>
      <c r="R26" s="1580"/>
      <c r="S26" s="1580"/>
      <c r="T26" s="1580"/>
      <c r="U26" s="1580">
        <v>4</v>
      </c>
      <c r="V26" s="1580"/>
      <c r="W26" s="1580">
        <v>0.45</v>
      </c>
      <c r="X26" s="1580"/>
      <c r="Y26" s="1580">
        <f>ROUND(Y23*W26,1)</f>
        <v>2.7</v>
      </c>
      <c r="Z26" s="1580"/>
      <c r="AA26" s="1580"/>
      <c r="AB26" s="1580"/>
      <c r="AC26" s="1580"/>
      <c r="AD26" s="1580"/>
      <c r="AE26" s="1580"/>
      <c r="AF26" s="1580"/>
      <c r="AG26" s="1580"/>
      <c r="AH26" s="1580"/>
      <c r="AI26" s="1580"/>
      <c r="AJ26" s="1580"/>
      <c r="AK26" s="1580"/>
      <c r="AL26" s="1580"/>
      <c r="AM26" s="1580"/>
    </row>
    <row r="27" spans="1:67" s="2319" customFormat="1" ht="27.75">
      <c r="A27" s="2317" t="s">
        <v>2020</v>
      </c>
      <c r="B27" s="116">
        <v>220</v>
      </c>
      <c r="C27" s="1763" t="s">
        <v>3368</v>
      </c>
      <c r="D27" s="2318"/>
      <c r="E27" s="1427"/>
      <c r="F27" s="1427"/>
      <c r="G27" s="2272"/>
      <c r="H27" s="2272"/>
      <c r="I27" s="2272"/>
      <c r="J27" s="2272"/>
      <c r="K27" s="168"/>
      <c r="L27" s="168"/>
      <c r="M27" s="1580"/>
      <c r="N27" s="1580"/>
      <c r="O27" s="1580"/>
      <c r="P27" s="1580"/>
      <c r="Q27" s="1580"/>
      <c r="R27" s="1580"/>
      <c r="S27" s="1580"/>
      <c r="T27" s="1580"/>
      <c r="U27" s="1580"/>
      <c r="V27" s="1580"/>
      <c r="W27" s="1580"/>
      <c r="X27" s="3381">
        <f>ROUND((X23+X24)/2,1)</f>
        <v>5</v>
      </c>
      <c r="Y27" s="3381">
        <f>ROUND((Y23+Y24+Y25+Y26)/4,1)</f>
        <v>4</v>
      </c>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2021</v>
      </c>
      <c r="B28" s="119">
        <v>220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2022</v>
      </c>
      <c r="B29" s="121"/>
      <c r="C29" s="1763" t="s">
        <v>2023</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2024</v>
      </c>
      <c r="B30" s="724">
        <v>250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2025</v>
      </c>
      <c r="B31" s="120">
        <f>B30-B32</f>
        <v>250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2026</v>
      </c>
      <c r="B32" s="725"/>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2027</v>
      </c>
      <c r="B33" s="726">
        <v>0.03</v>
      </c>
      <c r="C33" s="1762" t="s">
        <v>2028</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2029</v>
      </c>
      <c r="B34" s="122">
        <v>0.03</v>
      </c>
      <c r="C34" s="1762" t="s">
        <v>2030</v>
      </c>
      <c r="D34" s="2273" t="s">
        <v>2031</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2032</v>
      </c>
      <c r="B35" s="119">
        <v>250</v>
      </c>
      <c r="C35" s="1762" t="s">
        <v>2033</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2034</v>
      </c>
      <c r="B36" s="123">
        <v>1.4999999999999999E-2</v>
      </c>
      <c r="C36" s="1762" t="s">
        <v>2035</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2036</v>
      </c>
      <c r="B37" s="124">
        <v>0.02</v>
      </c>
      <c r="C37" s="1762" t="s">
        <v>2037</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2038</v>
      </c>
      <c r="B38" s="122">
        <v>0.02</v>
      </c>
      <c r="C38" s="1762" t="s">
        <v>2037</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2039</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2040</v>
      </c>
      <c r="B40" s="1300">
        <f ca="1">存贷款利率!G1</f>
        <v>4.7500000000000001E-2</v>
      </c>
      <c r="C40" s="1762" t="s">
        <v>2041</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2042</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2043</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2044</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2045</v>
      </c>
      <c r="B44" s="128">
        <v>7.0000000000000007E-2</v>
      </c>
      <c r="C44" s="1762" t="s">
        <v>2046</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2047</v>
      </c>
      <c r="B45" s="126">
        <v>0.03</v>
      </c>
      <c r="C45" s="1763" t="s">
        <v>2048</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2049</v>
      </c>
      <c r="B46" s="126">
        <v>0.02</v>
      </c>
      <c r="C46" s="1763" t="s">
        <v>2050</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2051</v>
      </c>
      <c r="B47" s="129"/>
      <c r="C47" s="1763" t="s">
        <v>2052</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2053</v>
      </c>
      <c r="B48" s="130">
        <v>0.03</v>
      </c>
      <c r="C48" s="1770" t="s">
        <v>2054</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2055</v>
      </c>
      <c r="B49" s="126">
        <v>5.0000000000000001E-4</v>
      </c>
      <c r="C49" s="1770" t="s">
        <v>2056</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2057</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2058</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2059</v>
      </c>
      <c r="B52" s="133">
        <f>SUMIF(A54:A63,B53,B54:B63)</f>
        <v>12</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2060</v>
      </c>
      <c r="B53" s="2331" t="s">
        <v>212</v>
      </c>
      <c r="C53" s="1427" t="s">
        <v>2061</v>
      </c>
      <c r="D53" s="2332" t="s">
        <v>3367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2062</v>
      </c>
      <c r="B54" s="84">
        <v>12</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2063</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2064</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2065</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2066</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2067</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2068</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2069</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2070</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2071</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31" t="str">
        <f>项目基本情况!B1</f>
        <v>四川省成都市天府新区华阳街道广福社区“恒大天府半岛”居住项目六期出让国有建设用地使用权及在建建筑物房地产抵押价值预评估</v>
      </c>
      <c r="C37" s="3031"/>
      <c r="D37" s="3031"/>
      <c r="E37" s="3031"/>
      <c r="F37" s="3031"/>
      <c r="G37" s="3031"/>
      <c r="H37" s="3031"/>
      <c r="I37" s="3031"/>
    </row>
    <row r="38" spans="1:9">
      <c r="A38" s="1016"/>
      <c r="B38" s="1016"/>
    </row>
    <row r="39" spans="1:9">
      <c r="A39" s="1014" t="s">
        <v>818</v>
      </c>
      <c r="B39" s="1014" t="s">
        <v>820</v>
      </c>
    </row>
    <row r="40" spans="1:9">
      <c r="A40" s="1014"/>
      <c r="B40" s="1941" t="str">
        <f>项目基本情况!B5</f>
        <v>光大兴陇有限责任公司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875" style="2392" customWidth="1"/>
    <col min="10" max="10" width="2.625" style="2391" customWidth="1"/>
    <col min="11" max="11" width="11.875" style="2391" customWidth="1"/>
    <col min="12" max="12" width="16.875" style="2392" customWidth="1"/>
    <col min="13" max="13" width="2.625" style="2391" customWidth="1"/>
    <col min="14" max="14" width="11.875" style="2391" customWidth="1"/>
    <col min="15" max="15" width="16.875" style="2392" customWidth="1"/>
    <col min="16" max="16" width="2.625" style="2391" customWidth="1"/>
    <col min="17" max="17" width="11.875" style="2391" customWidth="1"/>
    <col min="18" max="18" width="16.875" style="2393" customWidth="1"/>
    <col min="19" max="29" width="9" style="2363"/>
    <col min="30" max="16384" width="9" style="2364"/>
  </cols>
  <sheetData>
    <row r="1" spans="1:29" s="2357" customFormat="1" ht="19.5" thickBot="1">
      <c r="A1" s="3133" t="s">
        <v>2072</v>
      </c>
      <c r="B1" s="3134"/>
      <c r="C1" s="3134"/>
      <c r="D1" s="3134"/>
      <c r="E1" s="3134"/>
      <c r="F1" s="3134"/>
      <c r="G1" s="313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2073</v>
      </c>
      <c r="D2" s="2361"/>
      <c r="E2" s="2362"/>
      <c r="F2" s="2281"/>
      <c r="G2" s="2360" t="s">
        <v>2074</v>
      </c>
      <c r="H2" s="2363"/>
      <c r="I2" s="2363"/>
      <c r="J2" s="2363"/>
      <c r="K2" s="2363"/>
      <c r="L2" s="2363"/>
      <c r="M2" s="2363"/>
      <c r="N2" s="2363"/>
      <c r="O2" s="2363"/>
      <c r="P2" s="2363"/>
      <c r="Q2" s="2363"/>
      <c r="R2" s="2363"/>
    </row>
    <row r="3" spans="1:29" ht="54">
      <c r="A3" s="415" t="s">
        <v>2075</v>
      </c>
      <c r="B3" s="1268" t="s">
        <v>2076</v>
      </c>
      <c r="C3" s="2365" t="s">
        <v>2077</v>
      </c>
      <c r="D3" s="2366"/>
      <c r="E3" s="431" t="s">
        <v>2075</v>
      </c>
      <c r="F3" s="2367" t="s">
        <v>2078</v>
      </c>
      <c r="G3" s="2368" t="s">
        <v>2079</v>
      </c>
      <c r="H3" s="2363"/>
      <c r="I3" s="2363"/>
      <c r="J3" s="2363"/>
      <c r="K3" s="2363"/>
      <c r="L3" s="2363"/>
      <c r="M3" s="2363"/>
      <c r="N3" s="2363"/>
      <c r="O3" s="2363"/>
      <c r="P3" s="2363"/>
      <c r="Q3" s="2363"/>
      <c r="R3" s="2363"/>
    </row>
    <row r="4" spans="1:29" ht="41.25">
      <c r="A4" s="431"/>
      <c r="B4" s="1794" t="s">
        <v>2080</v>
      </c>
      <c r="C4" s="2369" t="s">
        <v>2081</v>
      </c>
      <c r="D4" s="2366"/>
      <c r="E4" s="2370"/>
      <c r="F4" s="42" t="s">
        <v>2082</v>
      </c>
      <c r="G4" s="2371" t="s">
        <v>2083</v>
      </c>
      <c r="H4" s="2363"/>
      <c r="I4" s="2363"/>
      <c r="J4" s="2363"/>
      <c r="K4" s="2363"/>
      <c r="L4" s="2363"/>
      <c r="M4" s="2363"/>
      <c r="N4" s="2363"/>
      <c r="O4" s="2363"/>
      <c r="P4" s="2363"/>
      <c r="Q4" s="2363"/>
      <c r="R4" s="2363"/>
    </row>
    <row r="5" spans="1:29" ht="41.25">
      <c r="A5" s="431"/>
      <c r="B5" s="1794" t="s">
        <v>2084</v>
      </c>
      <c r="C5" s="2369" t="s">
        <v>2085</v>
      </c>
      <c r="D5" s="2366"/>
      <c r="E5" s="2370"/>
      <c r="F5" s="1794" t="s">
        <v>2086</v>
      </c>
      <c r="G5" s="2371" t="s">
        <v>2087</v>
      </c>
      <c r="H5" s="2363"/>
      <c r="I5" s="2363"/>
      <c r="J5" s="2363"/>
      <c r="K5" s="2363"/>
      <c r="L5" s="2363"/>
      <c r="M5" s="2363"/>
      <c r="N5" s="2363"/>
      <c r="O5" s="2363"/>
      <c r="P5" s="2363"/>
      <c r="Q5" s="2363"/>
      <c r="R5" s="2363"/>
    </row>
    <row r="6" spans="1:29" ht="54">
      <c r="A6" s="431"/>
      <c r="B6" s="1794" t="s">
        <v>2088</v>
      </c>
      <c r="C6" s="2371" t="s">
        <v>2083</v>
      </c>
      <c r="D6" s="2366"/>
      <c r="E6" s="2370"/>
      <c r="F6" s="1794" t="s">
        <v>2089</v>
      </c>
      <c r="G6" s="2371" t="s">
        <v>2090</v>
      </c>
      <c r="H6" s="2363"/>
      <c r="I6" s="2363"/>
      <c r="J6" s="2363"/>
      <c r="K6" s="2363"/>
      <c r="L6" s="2363"/>
      <c r="M6" s="2363"/>
      <c r="N6" s="2363"/>
      <c r="O6" s="2363"/>
      <c r="P6" s="2363"/>
      <c r="Q6" s="2363"/>
      <c r="R6" s="2363"/>
    </row>
    <row r="7" spans="1:29" ht="41.25" thickBot="1">
      <c r="A7" s="431"/>
      <c r="B7" s="1794" t="s">
        <v>2086</v>
      </c>
      <c r="C7" s="2371" t="s">
        <v>2087</v>
      </c>
      <c r="D7" s="2372"/>
      <c r="E7" s="2373"/>
      <c r="F7" s="2374" t="s">
        <v>2091</v>
      </c>
      <c r="G7" s="2375" t="s">
        <v>2092</v>
      </c>
      <c r="H7" s="2363"/>
      <c r="I7" s="2363"/>
      <c r="J7" s="2363"/>
      <c r="K7" s="2363"/>
      <c r="L7" s="2363"/>
      <c r="M7" s="2363"/>
      <c r="N7" s="2363"/>
      <c r="O7" s="2363"/>
      <c r="P7" s="2363"/>
      <c r="Q7" s="2363"/>
      <c r="R7" s="2363"/>
    </row>
    <row r="8" spans="1:29" ht="27">
      <c r="A8" s="431"/>
      <c r="B8" s="1794" t="s">
        <v>2089</v>
      </c>
      <c r="C8" s="2371" t="s">
        <v>2090</v>
      </c>
      <c r="D8" s="2372"/>
      <c r="E8" s="2372"/>
      <c r="F8" s="1133"/>
      <c r="G8" s="1133"/>
      <c r="H8" s="2363"/>
      <c r="I8" s="2363"/>
      <c r="J8" s="2363"/>
      <c r="K8" s="2363"/>
      <c r="L8" s="2363"/>
      <c r="M8" s="2363"/>
      <c r="N8" s="2363"/>
      <c r="O8" s="2363"/>
      <c r="P8" s="2363"/>
      <c r="Q8" s="2363"/>
      <c r="R8" s="2363"/>
    </row>
    <row r="9" spans="1:29" ht="27">
      <c r="A9" s="431"/>
      <c r="B9" s="1794" t="s">
        <v>2093</v>
      </c>
      <c r="C9" s="2369" t="s">
        <v>2094</v>
      </c>
      <c r="D9" s="2366"/>
      <c r="E9" s="2372"/>
      <c r="F9" s="1133"/>
      <c r="G9" s="1133"/>
      <c r="H9" s="2363"/>
      <c r="I9" s="2363"/>
      <c r="J9" s="2363"/>
      <c r="K9" s="2363"/>
      <c r="L9" s="2363"/>
      <c r="M9" s="2363"/>
      <c r="N9" s="2363"/>
      <c r="O9" s="2363"/>
      <c r="P9" s="2363"/>
      <c r="Q9" s="2363"/>
      <c r="R9" s="2363"/>
    </row>
    <row r="10" spans="1:29" s="117" customFormat="1" ht="15.75" thickBot="1">
      <c r="A10" s="2376"/>
      <c r="B10" s="2377" t="s">
        <v>2095</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2096</v>
      </c>
      <c r="B13" s="2383"/>
      <c r="C13" s="2383"/>
      <c r="D13" s="2390"/>
      <c r="E13" s="2383"/>
      <c r="F13" s="2383"/>
      <c r="G13" s="2383"/>
    </row>
    <row r="14" spans="1:29" ht="15.75" thickBot="1">
      <c r="A14" s="2394"/>
      <c r="B14" s="2395"/>
      <c r="C14" s="2396" t="s">
        <v>2097</v>
      </c>
      <c r="D14" s="2366"/>
      <c r="E14" s="2397"/>
      <c r="F14" s="2397"/>
      <c r="G14" s="2360" t="s">
        <v>2098</v>
      </c>
    </row>
    <row r="15" spans="1:29" ht="57">
      <c r="A15" s="68" t="s">
        <v>2099</v>
      </c>
      <c r="B15" s="1267" t="s">
        <v>2076</v>
      </c>
      <c r="C15" s="2398" t="str">
        <f>C3</f>
        <v>估价对象周边居住用地比例、居住小区规模和社区发展完善程度，综合评价居住社区成熟度一般</v>
      </c>
      <c r="D15" s="2366"/>
      <c r="E15" s="2399" t="s">
        <v>2100</v>
      </c>
      <c r="F15" s="1267" t="s">
        <v>2101</v>
      </c>
      <c r="G15" s="135" t="str">
        <f>G3</f>
        <v>估价对象位于XX开发区，园区建设成熟度XX，产业集聚程度XX</v>
      </c>
    </row>
    <row r="16" spans="1:29" ht="42.75">
      <c r="A16" s="645"/>
      <c r="B16" s="2400" t="s">
        <v>2080</v>
      </c>
      <c r="C16" s="2401" t="str">
        <f>C4</f>
        <v>估价对象位于XX商圈，周边商业氛围成熟，人流量大，商业繁华度好</v>
      </c>
      <c r="D16" s="2366"/>
      <c r="E16" s="2402"/>
      <c r="F16" s="2403" t="s">
        <v>2082</v>
      </c>
      <c r="G16" s="136" t="str">
        <f>G4</f>
        <v>估价对象周边道路状况、公共交通通达情况、停车便捷程度，综合评价交通便捷度较好</v>
      </c>
    </row>
    <row r="17" spans="1:18" ht="42.75">
      <c r="A17" s="645"/>
      <c r="B17" s="2400" t="s">
        <v>2084</v>
      </c>
      <c r="C17" s="2401" t="str">
        <f>C5</f>
        <v>估价对象位于XX商圈，周边办公楼项目较多，入驻率高，办公集聚程度较好</v>
      </c>
      <c r="D17" s="2372"/>
      <c r="E17" s="2402"/>
      <c r="F17" s="2403" t="s">
        <v>2102</v>
      </c>
      <c r="G17" s="1568"/>
    </row>
    <row r="18" spans="1:18" ht="57">
      <c r="A18" s="645"/>
      <c r="B18" s="2403" t="s">
        <v>2088</v>
      </c>
      <c r="C18" s="136" t="str">
        <f>C6</f>
        <v>估价对象周边道路状况、公共交通通达情况、停车便捷程度，综合评价交通便捷度较好</v>
      </c>
      <c r="D18" s="2372"/>
      <c r="E18" s="2402"/>
      <c r="F18" s="2403" t="s">
        <v>2091</v>
      </c>
      <c r="G18" s="136" t="str">
        <f>G7</f>
        <v>该园区内是否有污染型企业，绿化情况，卫生条件，整体环境状况判断</v>
      </c>
    </row>
    <row r="19" spans="1:18" ht="28.5">
      <c r="A19" s="645"/>
      <c r="B19" s="2403" t="s">
        <v>2103</v>
      </c>
      <c r="C19" s="1568"/>
      <c r="D19" s="2366"/>
      <c r="E19" s="2402"/>
      <c r="F19" s="1794" t="s">
        <v>2086</v>
      </c>
      <c r="G19" s="136" t="str">
        <f>G5</f>
        <v>估价对象所在区域公共配套设施齐备情况</v>
      </c>
    </row>
    <row r="20" spans="1:18" ht="28.5">
      <c r="A20" s="645"/>
      <c r="B20" s="2403" t="s">
        <v>2104</v>
      </c>
      <c r="C20" s="2401" t="str">
        <f>C9</f>
        <v>区域自然环境：；人文环境；综合评价环境状况一般</v>
      </c>
      <c r="D20" s="2372"/>
      <c r="E20" s="2402"/>
      <c r="F20" s="1794" t="s">
        <v>2105</v>
      </c>
      <c r="G20" s="136" t="str">
        <f>G6</f>
        <v>估价对象所在区域基础设施水平</v>
      </c>
    </row>
    <row r="21" spans="1:18" ht="28.5">
      <c r="A21" s="645"/>
      <c r="B21" s="1794" t="s">
        <v>2086</v>
      </c>
      <c r="C21" s="136" t="str">
        <f>C7</f>
        <v>估价对象所在区域公共配套设施齐备情况</v>
      </c>
      <c r="D21" s="2366"/>
      <c r="E21" s="2402"/>
      <c r="F21" s="2403" t="s">
        <v>2106</v>
      </c>
      <c r="G21" s="2404"/>
    </row>
    <row r="22" spans="1:18" ht="13.5" customHeight="1">
      <c r="A22" s="645"/>
      <c r="B22" s="1794" t="s">
        <v>2089</v>
      </c>
      <c r="C22" s="136" t="str">
        <f>C8</f>
        <v>估价对象所在区域基础设施水平</v>
      </c>
      <c r="D22" s="2366"/>
      <c r="E22" s="2402"/>
      <c r="F22" s="2403" t="s">
        <v>2095</v>
      </c>
      <c r="G22" s="1568"/>
    </row>
    <row r="23" spans="1:18" s="2363" customFormat="1" ht="15.75" thickBot="1">
      <c r="A23" s="645"/>
      <c r="B23" s="2403" t="s">
        <v>2106</v>
      </c>
      <c r="C23" s="2404"/>
      <c r="D23" s="2391"/>
      <c r="E23" s="2405"/>
      <c r="F23" s="2406" t="s">
        <v>2107</v>
      </c>
      <c r="G23" s="2407"/>
      <c r="H23" s="2391"/>
      <c r="I23" s="2392"/>
      <c r="J23" s="2391"/>
      <c r="K23" s="2391"/>
      <c r="L23" s="2392"/>
      <c r="M23" s="2391"/>
      <c r="N23" s="2391"/>
      <c r="O23" s="2392"/>
      <c r="P23" s="2391"/>
      <c r="Q23" s="2391"/>
      <c r="R23" s="2393"/>
    </row>
    <row r="24" spans="1:18" s="2363" customFormat="1" ht="15.75" thickBot="1">
      <c r="A24" s="2408"/>
      <c r="B24" s="2406" t="s">
        <v>2108</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zoomScaleNormal="100" workbookViewId="0">
      <selection activeCell="A13" sqref="A13"/>
    </sheetView>
  </sheetViews>
  <sheetFormatPr defaultColWidth="9" defaultRowHeight="13.5"/>
  <cols>
    <col min="1" max="1" width="23.375" style="1737" customWidth="1"/>
    <col min="2" max="9" width="15.875" style="1737" customWidth="1"/>
    <col min="10" max="16384" width="9" style="1737"/>
  </cols>
  <sheetData>
    <row r="1" spans="1:10" ht="16.5">
      <c r="A1" s="1742" t="s">
        <v>1361</v>
      </c>
      <c r="B1" s="1742">
        <f>SUM(B14:B23)</f>
        <v>2016858.5100000002</v>
      </c>
      <c r="C1" s="1741"/>
      <c r="D1" s="1741"/>
      <c r="E1" s="1741"/>
      <c r="F1" s="1741"/>
      <c r="G1" s="1739"/>
    </row>
    <row r="2" spans="1:10" ht="16.5">
      <c r="A2" s="1742" t="s">
        <v>1349</v>
      </c>
      <c r="B2" s="1742">
        <f>SUM(C14:C23)</f>
        <v>431936.22000000003</v>
      </c>
      <c r="C2" s="1741"/>
      <c r="D2" s="1741"/>
      <c r="E2" s="1741"/>
      <c r="F2" s="1741"/>
      <c r="G2" s="1739"/>
    </row>
    <row r="3" spans="1:10" ht="16.5">
      <c r="A3" s="1742" t="s">
        <v>1358</v>
      </c>
      <c r="B3" s="1743">
        <f>项目基本情况!D3</f>
        <v>43630</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837819</v>
      </c>
      <c r="C5" s="1742">
        <f ca="1">ROUND(B5*10000/$B$1,0)</f>
        <v>4154</v>
      </c>
      <c r="D5" s="1742">
        <f ca="1">ROUND(B5*10000/$B$2,0)</f>
        <v>19397</v>
      </c>
      <c r="E5" s="1741"/>
      <c r="F5" s="1739"/>
      <c r="G5" s="1739"/>
    </row>
    <row r="6" spans="1:10" ht="16.5">
      <c r="A6" s="1742" t="s">
        <v>1352</v>
      </c>
      <c r="B6" s="1742">
        <f ca="1">SUM(G14:G23)</f>
        <v>488195</v>
      </c>
      <c r="C6" s="1742">
        <f ca="1">ROUND(B6*10000/$B$1,0)</f>
        <v>2421</v>
      </c>
      <c r="D6" s="1742">
        <f ca="1">ROUND(B6*10000/$B$2,0)</f>
        <v>11302</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405562.81999999995</v>
      </c>
      <c r="C14" s="1740">
        <f>结果表!C118</f>
        <v>72072.02</v>
      </c>
      <c r="D14" s="1740">
        <f ca="1">结果表!H118</f>
        <v>222545</v>
      </c>
      <c r="E14" s="1740">
        <f ca="1">ROUND(D14*10000/B14,0)</f>
        <v>5487</v>
      </c>
      <c r="F14" s="1740">
        <f ca="1">ROUND(D14*10000/C14,0)</f>
        <v>30878</v>
      </c>
      <c r="G14" s="1740">
        <f ca="1">结果表!D122</f>
        <v>222545</v>
      </c>
      <c r="H14" s="1740" t="str">
        <f>结果表!D124</f>
        <v>——</v>
      </c>
      <c r="I14" s="1740" t="str">
        <f>结果表!D126</f>
        <v>——</v>
      </c>
      <c r="J14" s="1739"/>
    </row>
    <row r="15" spans="1:10" ht="16.5">
      <c r="A15" s="1738" t="s">
        <v>1345</v>
      </c>
      <c r="B15" s="1745">
        <f>[1]系统读取表!$B$14</f>
        <v>671633.22</v>
      </c>
      <c r="C15" s="1745">
        <f>[1]系统读取表!$C$14</f>
        <v>74104</v>
      </c>
      <c r="D15" s="1745">
        <f ca="1">[1]系统读取表!$D$14</f>
        <v>265650</v>
      </c>
      <c r="E15" s="1740">
        <f t="shared" ref="E15:E23" ca="1" si="0">ROUND(D15*10000/B15,0)</f>
        <v>3955</v>
      </c>
      <c r="F15" s="1740">
        <f t="shared" ref="F15:F23" ca="1" si="1">ROUND(D15*10000/C15,0)</f>
        <v>35848</v>
      </c>
      <c r="G15" s="1746">
        <f ca="1">[1]系统读取表!$G$14</f>
        <v>265650</v>
      </c>
      <c r="H15" s="1746"/>
      <c r="I15" s="1745"/>
      <c r="J15" s="1739"/>
    </row>
    <row r="16" spans="1:10" ht="16.5">
      <c r="A16" s="1738" t="s">
        <v>1344</v>
      </c>
      <c r="B16" s="1745">
        <f>[2]系统读取表!$B$14</f>
        <v>939662.47000000009</v>
      </c>
      <c r="C16" s="1745">
        <f>[2]系统读取表!$C$14</f>
        <v>285760.2</v>
      </c>
      <c r="D16" s="1745">
        <f ca="1">[2]系统读取表!$D$14</f>
        <v>349624</v>
      </c>
      <c r="E16" s="1740">
        <f t="shared" ca="1" si="0"/>
        <v>3721</v>
      </c>
      <c r="F16" s="1740">
        <f t="shared" ca="1" si="1"/>
        <v>12235</v>
      </c>
      <c r="G16" s="1746" t="str">
        <f>[2]系统读取表!$G$14</f>
        <v>——</v>
      </c>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D22" sqref="D2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2109</v>
      </c>
      <c r="B1" s="2414"/>
      <c r="C1" s="2415"/>
      <c r="D1" s="2414"/>
      <c r="E1" s="2414"/>
      <c r="F1" s="2416" t="s">
        <v>2110</v>
      </c>
      <c r="G1" s="2067" t="s">
        <v>2111</v>
      </c>
      <c r="H1" s="2417" t="str">
        <f>IF(G1="现房","——","估价对象范围")</f>
        <v>估价对象范围</v>
      </c>
      <c r="I1" s="2418" t="s">
        <v>3378</v>
      </c>
    </row>
    <row r="2" spans="1:12" ht="21.75" customHeight="1" thickBot="1">
      <c r="A2" s="3168" t="str">
        <f>项目基本情况!S2</f>
        <v>四川省成都市天府新区华阳街道广福社区“恒大天府半岛”居住项目六期出让国有建设用地使用权及在建建筑物房地产</v>
      </c>
      <c r="B2" s="3169"/>
      <c r="C2" s="3169"/>
      <c r="D2" s="3169"/>
      <c r="E2" s="3169"/>
      <c r="F2" s="3169"/>
      <c r="G2" s="3169"/>
      <c r="H2" s="3169"/>
      <c r="I2" s="3170"/>
    </row>
    <row r="3" spans="1:12" ht="12.75">
      <c r="A3" s="3172" t="s">
        <v>2112</v>
      </c>
      <c r="B3" s="3173"/>
      <c r="C3" s="3173"/>
      <c r="D3" s="3173"/>
      <c r="E3" s="3173"/>
      <c r="F3" s="3173"/>
      <c r="G3" s="3173"/>
      <c r="H3" s="3173"/>
      <c r="I3" s="3173"/>
    </row>
    <row r="4" spans="1:12" ht="14.25">
      <c r="A4" s="2421" t="s">
        <v>2113</v>
      </c>
      <c r="B4" s="2422" t="s">
        <v>2114</v>
      </c>
      <c r="C4" s="2423" t="s">
        <v>3376</v>
      </c>
      <c r="D4" s="2423" t="s">
        <v>3377</v>
      </c>
      <c r="E4" s="3165" t="s">
        <v>2115</v>
      </c>
      <c r="F4" s="3166"/>
      <c r="G4" s="3166"/>
      <c r="H4" s="3166"/>
      <c r="I4" s="317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48" t="s">
        <v>2116</v>
      </c>
      <c r="B5" s="3075">
        <v>25</v>
      </c>
      <c r="C5" s="3151"/>
      <c r="D5" s="3171"/>
      <c r="E5" s="140" t="s">
        <v>2117</v>
      </c>
      <c r="F5" s="2425"/>
      <c r="G5" s="2425"/>
      <c r="H5" s="2425"/>
      <c r="I5" s="1830"/>
    </row>
    <row r="6" spans="1:12" ht="12.75">
      <c r="A6" s="3148"/>
      <c r="B6" s="3075"/>
      <c r="C6" s="3152"/>
      <c r="D6" s="3171"/>
      <c r="E6" s="140" t="s">
        <v>2118</v>
      </c>
      <c r="F6" s="2425"/>
      <c r="G6" s="2425"/>
      <c r="H6" s="2425"/>
      <c r="I6" s="1830"/>
    </row>
    <row r="7" spans="1:12" ht="12.75">
      <c r="A7" s="3148"/>
      <c r="B7" s="3075"/>
      <c r="C7" s="3153"/>
      <c r="D7" s="3171"/>
      <c r="E7" s="140" t="s">
        <v>2119</v>
      </c>
      <c r="F7" s="2425"/>
      <c r="G7" s="2425"/>
      <c r="H7" s="2425"/>
      <c r="I7" s="1830"/>
    </row>
    <row r="8" spans="1:12" ht="12.75">
      <c r="A8" s="3148" t="s">
        <v>2120</v>
      </c>
      <c r="B8" s="3075">
        <v>15</v>
      </c>
      <c r="C8" s="3151"/>
      <c r="D8" s="3171"/>
      <c r="E8" s="140" t="s">
        <v>2121</v>
      </c>
      <c r="F8" s="2425"/>
      <c r="G8" s="2425"/>
      <c r="H8" s="2425"/>
      <c r="I8" s="1830"/>
    </row>
    <row r="9" spans="1:12" ht="12.75">
      <c r="A9" s="3148"/>
      <c r="B9" s="3075"/>
      <c r="C9" s="3153"/>
      <c r="D9" s="3171"/>
      <c r="E9" s="140" t="s">
        <v>2122</v>
      </c>
      <c r="F9" s="2425"/>
      <c r="G9" s="2425"/>
      <c r="H9" s="2425"/>
      <c r="I9" s="1830"/>
    </row>
    <row r="10" spans="1:12" ht="12.75">
      <c r="A10" s="3148" t="s">
        <v>2123</v>
      </c>
      <c r="B10" s="3075">
        <v>15</v>
      </c>
      <c r="C10" s="3151"/>
      <c r="D10" s="3171"/>
      <c r="E10" s="140" t="s">
        <v>2124</v>
      </c>
      <c r="F10" s="2425"/>
      <c r="G10" s="2425"/>
      <c r="H10" s="2425"/>
      <c r="I10" s="1830"/>
    </row>
    <row r="11" spans="1:12" ht="12.75">
      <c r="A11" s="3148"/>
      <c r="B11" s="3075"/>
      <c r="C11" s="3153"/>
      <c r="D11" s="3171"/>
      <c r="E11" s="140" t="s">
        <v>2125</v>
      </c>
      <c r="F11" s="2425"/>
      <c r="G11" s="2425"/>
      <c r="H11" s="2425"/>
      <c r="I11" s="1830"/>
    </row>
    <row r="12" spans="1:12" ht="12.75">
      <c r="A12" s="3148" t="s">
        <v>2126</v>
      </c>
      <c r="B12" s="3075">
        <v>15</v>
      </c>
      <c r="C12" s="3151"/>
      <c r="D12" s="3171"/>
      <c r="E12" s="140" t="s">
        <v>2127</v>
      </c>
      <c r="F12" s="2425"/>
      <c r="G12" s="2425"/>
      <c r="H12" s="2425"/>
      <c r="I12" s="1830"/>
    </row>
    <row r="13" spans="1:12" ht="12.75">
      <c r="A13" s="3148"/>
      <c r="B13" s="3075"/>
      <c r="C13" s="3153"/>
      <c r="D13" s="3171"/>
      <c r="E13" s="140" t="s">
        <v>2128</v>
      </c>
      <c r="F13" s="2425"/>
      <c r="G13" s="2425"/>
      <c r="H13" s="2425"/>
      <c r="I13" s="1830"/>
    </row>
    <row r="14" spans="1:12" ht="12.75">
      <c r="A14" s="3148" t="s">
        <v>2129</v>
      </c>
      <c r="B14" s="3075">
        <v>30</v>
      </c>
      <c r="C14" s="3151">
        <v>6</v>
      </c>
      <c r="D14" s="3171">
        <v>4</v>
      </c>
      <c r="E14" s="140" t="s">
        <v>2130</v>
      </c>
      <c r="F14" s="2425"/>
      <c r="G14" s="2425"/>
      <c r="H14" s="2425"/>
      <c r="I14" s="1830"/>
    </row>
    <row r="15" spans="1:12" ht="12.75">
      <c r="A15" s="3148"/>
      <c r="B15" s="3075"/>
      <c r="C15" s="3152"/>
      <c r="D15" s="3171"/>
      <c r="E15" s="140" t="s">
        <v>2131</v>
      </c>
      <c r="F15" s="2425"/>
      <c r="G15" s="2425"/>
      <c r="H15" s="2425"/>
      <c r="I15" s="1830"/>
    </row>
    <row r="16" spans="1:12" ht="12.75">
      <c r="A16" s="3148"/>
      <c r="B16" s="3075"/>
      <c r="C16" s="3153"/>
      <c r="D16" s="3171"/>
      <c r="E16" s="140" t="s">
        <v>2132</v>
      </c>
      <c r="F16" s="2425"/>
      <c r="G16" s="2425"/>
      <c r="H16" s="2425"/>
      <c r="I16" s="1830"/>
    </row>
    <row r="17" spans="1:35" ht="15">
      <c r="A17" s="2426" t="s">
        <v>2133</v>
      </c>
      <c r="B17" s="64"/>
      <c r="C17" s="141">
        <f>SUM(C5:C16)</f>
        <v>6</v>
      </c>
      <c r="D17" s="141">
        <f>SUM(D5:D16)</f>
        <v>4</v>
      </c>
      <c r="E17" s="138"/>
      <c r="F17" s="138"/>
      <c r="G17" s="138"/>
      <c r="H17" s="138"/>
      <c r="I17" s="138"/>
      <c r="K17" s="2424"/>
      <c r="L17" s="2427" t="s">
        <v>2134</v>
      </c>
      <c r="M17" s="2427" t="s">
        <v>2135</v>
      </c>
    </row>
    <row r="18" spans="1:35" ht="15.75" thickBot="1">
      <c r="A18" s="2428" t="s">
        <v>2136</v>
      </c>
      <c r="B18" s="2429"/>
      <c r="C18" s="142">
        <f>ROUND(C17/SUM(C17:D17),2)</f>
        <v>0.6</v>
      </c>
      <c r="D18" s="142">
        <f>1-C18</f>
        <v>0.4</v>
      </c>
      <c r="E18" s="138"/>
      <c r="F18" s="138"/>
      <c r="G18" s="138"/>
      <c r="H18" s="138"/>
      <c r="I18" s="138"/>
      <c r="K18" s="2424" t="s">
        <v>2137</v>
      </c>
      <c r="L18" s="2424">
        <f>IF(C1="",'数据-汇总表'!E3,SUMIF(项目类型,C1,'数据-汇总表'!E17:E26)+SUMIF(项目类型,C1,'数据-汇总表'!I17:I26))</f>
        <v>405562.81999999995</v>
      </c>
      <c r="M18" s="2424">
        <f>IF(C1="",'数据-汇总表'!E3,SUMIF(项目类型,C1,'数据-汇总表'!E17:E26))</f>
        <v>405562.81999999995</v>
      </c>
    </row>
    <row r="19" spans="1:35" ht="15">
      <c r="A19" s="2430" t="s">
        <v>2138</v>
      </c>
      <c r="B19" s="2431" t="s">
        <v>2139</v>
      </c>
      <c r="C19" s="143">
        <f ca="1">SUMIF(INDIRECT("'"&amp;C4&amp;"'"&amp;"!A:A"),结果表!B19,INDIRECT("'"&amp;C4&amp;"'"&amp;"!B:B"))</f>
        <v>251237</v>
      </c>
      <c r="D19" s="144">
        <f ca="1">SUMIF(INDIRECT("'"&amp;D4&amp;"'"&amp;"!A:A"),结果表!B19,INDIRECT("'"&amp;D4&amp;"'"&amp;"!B:B"))</f>
        <v>179506</v>
      </c>
      <c r="E19" s="2430" t="s">
        <v>2140</v>
      </c>
      <c r="F19" s="2431" t="s">
        <v>2139</v>
      </c>
      <c r="G19" s="145">
        <f ca="1">ROUND(C19*$C$18+D19*$D$18,0)</f>
        <v>222545</v>
      </c>
      <c r="H19" s="2432" t="s">
        <v>2141</v>
      </c>
      <c r="I19" s="138"/>
      <c r="K19" s="2424" t="s">
        <v>2142</v>
      </c>
      <c r="L19" s="2424">
        <f>IF(C1="",'数据-汇总表'!D3,SUMIF(项目类型,C1,'数据-汇总表'!D17:D26)+SUMIF(项目类型,C1,'数据-汇总表'!H17:H27))</f>
        <v>72072.02</v>
      </c>
      <c r="M19" s="2424">
        <f>IF(C1="",'数据-汇总表'!D3,SUMIF(项目类型,C1,'数据-汇总表'!D17:D26))</f>
        <v>72072.02</v>
      </c>
    </row>
    <row r="20" spans="1:35" ht="15">
      <c r="A20" s="2433"/>
      <c r="B20" s="1247" t="s">
        <v>2143</v>
      </c>
      <c r="C20" s="146">
        <f ca="1">SUMIF(INDIRECT("'"&amp;C4&amp;"'"&amp;"!A:A"),结果表!B20,INDIRECT("'"&amp;C4&amp;"'"&amp;"!B:B"))</f>
        <v>6195</v>
      </c>
      <c r="D20" s="147">
        <f ca="1">SUMIF(INDIRECT("'"&amp;D4&amp;"'"&amp;"!A:A"),结果表!B20,INDIRECT("'"&amp;D4&amp;"'"&amp;"!B:B"))</f>
        <v>4426</v>
      </c>
      <c r="E20" s="2433"/>
      <c r="F20" s="1247" t="s">
        <v>2143</v>
      </c>
      <c r="G20" s="148">
        <f ca="1">ROUND(C20*$C$18+D20*$D$18,0)</f>
        <v>5487</v>
      </c>
      <c r="H20" s="980" t="s">
        <v>2144</v>
      </c>
      <c r="I20" s="138"/>
      <c r="J20" s="795">
        <f ca="1">ROUND(G19/'数据-汇总表'!F31*10000,0)</f>
        <v>8252</v>
      </c>
    </row>
    <row r="21" spans="1:35" ht="15" customHeight="1" thickBot="1">
      <c r="A21" s="1000"/>
      <c r="B21" s="2434" t="s">
        <v>2145</v>
      </c>
      <c r="C21" s="789">
        <f ca="1">ROUND(C19*10000/L19,0)</f>
        <v>34859</v>
      </c>
      <c r="D21" s="790">
        <f ca="1">ROUND(D19*10000/L19,0)</f>
        <v>24906</v>
      </c>
      <c r="E21" s="1000"/>
      <c r="F21" s="2434" t="s">
        <v>2145</v>
      </c>
      <c r="G21" s="149">
        <f ca="1">ROUND(G19*10000/L19,0)</f>
        <v>30878</v>
      </c>
      <c r="H21" s="2435" t="s">
        <v>2144</v>
      </c>
      <c r="I21" s="138"/>
    </row>
    <row r="22" spans="1:35" ht="15" thickBot="1">
      <c r="A22" s="2276" t="s">
        <v>2146</v>
      </c>
      <c r="B22" s="2436"/>
      <c r="C22" s="2437"/>
      <c r="D22" s="791">
        <f ca="1">IF(C19&lt;D19,D19/C19-1,C19/D19-1)</f>
        <v>0.39960224170779801</v>
      </c>
      <c r="E22" s="138"/>
      <c r="F22" s="138"/>
      <c r="G22" s="138"/>
      <c r="H22" s="138"/>
      <c r="I22" s="138"/>
    </row>
    <row r="23" spans="1:35" ht="13.5" thickBot="1">
      <c r="A23" s="2414"/>
      <c r="B23" s="2414"/>
      <c r="C23" s="2414"/>
      <c r="D23" s="2414"/>
      <c r="E23" s="138"/>
      <c r="F23" s="138"/>
      <c r="G23" s="138"/>
      <c r="H23" s="138"/>
      <c r="I23" s="138"/>
    </row>
    <row r="24" spans="1:35" ht="14.25">
      <c r="A24" s="3142" t="s">
        <v>2147</v>
      </c>
      <c r="B24" s="2431" t="s">
        <v>2139</v>
      </c>
      <c r="C24" s="145">
        <f>IF(B30=0,0,D30)</f>
        <v>0</v>
      </c>
      <c r="D24" s="2438"/>
      <c r="E24" s="138"/>
      <c r="F24" s="138"/>
      <c r="G24" s="138"/>
      <c r="H24" s="138"/>
      <c r="I24" s="138"/>
    </row>
    <row r="25" spans="1:35" ht="14.25">
      <c r="A25" s="3143"/>
      <c r="B25" s="1247" t="s">
        <v>2143</v>
      </c>
      <c r="C25" s="150">
        <f>IF(B30=0,0,C30)</f>
        <v>0</v>
      </c>
      <c r="D25" s="2439"/>
      <c r="E25" s="138"/>
      <c r="F25" s="138"/>
      <c r="G25" s="138"/>
      <c r="H25" s="138"/>
      <c r="I25" s="138"/>
    </row>
    <row r="26" spans="1:35" ht="13.5" customHeight="1">
      <c r="A26" s="2440" t="s">
        <v>2148</v>
      </c>
      <c r="B26" s="151" t="s">
        <v>2149</v>
      </c>
      <c r="C26" s="151" t="s">
        <v>2150</v>
      </c>
      <c r="D26" s="152" t="s">
        <v>2151</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2152</v>
      </c>
      <c r="B30" s="151"/>
      <c r="C30" s="151"/>
      <c r="D30" s="151"/>
      <c r="E30" s="2911" t="s">
        <v>3024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2153</v>
      </c>
      <c r="B32" s="2444"/>
      <c r="C32" s="153">
        <f ca="1">IF(D32="总价",G19-C24,G20-C25)</f>
        <v>222545</v>
      </c>
      <c r="D32" s="2445" t="s">
        <v>2154</v>
      </c>
      <c r="E32" s="138"/>
      <c r="F32" s="138"/>
      <c r="G32" s="138"/>
      <c r="H32" s="138"/>
      <c r="I32" s="138"/>
    </row>
    <row r="33" spans="1:15" ht="15">
      <c r="A33" s="957" t="s">
        <v>2155</v>
      </c>
      <c r="B33" s="2446"/>
      <c r="C33" s="2447" t="s">
        <v>3379</v>
      </c>
      <c r="D33" s="2448" t="s">
        <v>3376</v>
      </c>
      <c r="E33" s="2449" t="s">
        <v>2156</v>
      </c>
      <c r="F33" s="2450" t="str">
        <f>IF(D32="楼面单价","取值（单价）","取值（总价）")</f>
        <v>取值（总价）</v>
      </c>
      <c r="G33" s="138"/>
      <c r="H33" s="138"/>
      <c r="I33" s="138"/>
    </row>
    <row r="34" spans="1:15" ht="15">
      <c r="A34" s="2451"/>
      <c r="B34" s="2452" t="s">
        <v>2157</v>
      </c>
      <c r="C34" s="157">
        <f ca="1">IF(C33="自定义",F34,C32-C35)</f>
        <v>187605</v>
      </c>
      <c r="D34" s="1055">
        <f ca="1">IF(C33="自定义",ROUND(C34/C32,3),IF(C33="收益比率",SUMIF(INDIRECT("'"&amp;D33&amp;"'"&amp;"!b:b"),"土地收益比率",INDIRECT("'"&amp;D33&amp;"'"&amp;"!c:c")),SUMIF(INDIRECT("'"&amp;D33&amp;"'"&amp;"!b:b"),"土地成本比率",INDIRECT("'"&amp;D33&amp;"'"&amp;"!c:c"))))</f>
        <v>0.84299999999999997</v>
      </c>
      <c r="E34" s="2453" t="s">
        <v>2158</v>
      </c>
      <c r="F34" s="1735"/>
      <c r="G34" s="138"/>
      <c r="H34" s="138"/>
      <c r="I34" s="138"/>
    </row>
    <row r="35" spans="1:15" ht="15.75" thickBot="1">
      <c r="A35" s="2454"/>
      <c r="B35" s="2455" t="s">
        <v>2159</v>
      </c>
      <c r="C35" s="1441">
        <f ca="1">IF(C33="自定义",F35,ROUND(C32*D35,0))</f>
        <v>34940</v>
      </c>
      <c r="D35" s="1442">
        <f ca="1">IF(C33="自定义",ROUND(C35/C32,3),IF(C33="收益比率",SUMIF(INDIRECT("'"&amp;D33&amp;"'"&amp;"!b:b"),"建筑物收益比率",INDIRECT("'"&amp;D33&amp;"'"&amp;"!c:c")),SUMIF(INDIRECT("'"&amp;D33&amp;"'"&amp;"!b:b"),"建筑物成本比率",INDIRECT("'"&amp;D33&amp;"'"&amp;"!c:c"))))</f>
        <v>0.157</v>
      </c>
      <c r="E35" s="2456" t="s">
        <v>2160</v>
      </c>
      <c r="F35" s="163"/>
      <c r="G35" s="138"/>
      <c r="H35" s="138"/>
      <c r="I35" s="138"/>
    </row>
    <row r="36" spans="1:15" ht="15.75" thickBot="1">
      <c r="A36" s="3160" t="s">
        <v>2161</v>
      </c>
      <c r="B36" s="2457" t="s">
        <v>2162</v>
      </c>
      <c r="C36" s="154"/>
      <c r="D36" s="2458"/>
      <c r="E36" s="2459"/>
      <c r="F36" s="2460"/>
      <c r="G36" s="138"/>
      <c r="H36" s="138"/>
      <c r="I36" s="138"/>
    </row>
    <row r="37" spans="1:15" ht="15.75" thickBot="1">
      <c r="A37" s="3161"/>
      <c r="B37" s="2262" t="s">
        <v>2163</v>
      </c>
      <c r="C37" s="156"/>
      <c r="D37" s="1392"/>
      <c r="E37" s="1392"/>
      <c r="F37" s="2460"/>
      <c r="G37" s="138"/>
      <c r="H37" s="138"/>
      <c r="I37" s="138"/>
    </row>
    <row r="38" spans="1:15" ht="15.75" thickBot="1">
      <c r="A38" s="3162"/>
      <c r="B38" s="2461" t="s">
        <v>2164</v>
      </c>
      <c r="C38" s="727"/>
      <c r="D38" s="2462" t="s">
        <v>2165</v>
      </c>
      <c r="E38" s="1392"/>
      <c r="F38" s="2460"/>
      <c r="G38" s="138"/>
      <c r="H38" s="138"/>
      <c r="I38" s="138"/>
    </row>
    <row r="39" spans="1:15" ht="15">
      <c r="A39" s="2433" t="s">
        <v>2166</v>
      </c>
      <c r="B39" s="2463" t="s">
        <v>2167</v>
      </c>
      <c r="C39" s="2464" t="s">
        <v>2168</v>
      </c>
      <c r="D39" s="2464" t="s">
        <v>2169</v>
      </c>
      <c r="E39" s="2465" t="s">
        <v>2170</v>
      </c>
      <c r="F39" s="2460"/>
      <c r="G39" s="138"/>
      <c r="H39" s="138"/>
      <c r="I39" s="138"/>
    </row>
    <row r="40" spans="1:15" ht="14.25">
      <c r="A40" s="2466" t="s">
        <v>2171</v>
      </c>
      <c r="B40" s="158"/>
      <c r="C40" s="159"/>
      <c r="D40" s="159"/>
      <c r="E40" s="160"/>
      <c r="F40" s="2460"/>
      <c r="G40" s="138"/>
      <c r="H40" s="138"/>
      <c r="I40" s="138"/>
    </row>
    <row r="41" spans="1:15" ht="14.25">
      <c r="A41" s="2466" t="s">
        <v>2172</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2173</v>
      </c>
      <c r="B44" s="2471"/>
      <c r="C44" s="2471"/>
      <c r="D44" s="2472"/>
      <c r="E44" s="2472"/>
      <c r="F44" s="2473"/>
      <c r="G44" s="2473"/>
      <c r="H44" s="2473"/>
      <c r="I44" s="2473"/>
      <c r="J44" s="2474" t="s">
        <v>2174</v>
      </c>
      <c r="K44" s="2475"/>
      <c r="L44" s="2475"/>
      <c r="M44" s="2475"/>
      <c r="N44" s="2475"/>
      <c r="O44" s="2475"/>
    </row>
    <row r="45" spans="1:15" ht="14.25" customHeight="1" thickBot="1">
      <c r="A45" s="3139" t="s">
        <v>2175</v>
      </c>
      <c r="B45" s="3140"/>
      <c r="C45" s="3141"/>
      <c r="D45" s="164">
        <f ca="1">ROUND(H101*F45,0)</f>
        <v>222545</v>
      </c>
      <c r="E45" s="165" t="s">
        <v>2176</v>
      </c>
      <c r="F45" s="166">
        <v>1</v>
      </c>
      <c r="G45" s="167" t="s">
        <v>2177</v>
      </c>
      <c r="H45" s="138"/>
      <c r="I45" s="138"/>
      <c r="J45" s="3199" t="s">
        <v>2178</v>
      </c>
      <c r="K45" s="3199"/>
      <c r="L45" s="3199"/>
      <c r="M45" s="3199"/>
      <c r="N45" s="3199"/>
      <c r="O45" s="3199"/>
    </row>
    <row r="46" spans="1:15" ht="14.25" customHeight="1">
      <c r="A46" s="3136" t="s">
        <v>2179</v>
      </c>
      <c r="B46" s="3137"/>
      <c r="C46" s="3137"/>
      <c r="D46" s="3137"/>
      <c r="E46" s="3137"/>
      <c r="F46" s="3137"/>
      <c r="G46" s="3138"/>
      <c r="H46" s="2476"/>
      <c r="I46" s="168"/>
      <c r="J46" s="1808">
        <v>1</v>
      </c>
      <c r="K46" s="3199" t="s">
        <v>2180</v>
      </c>
      <c r="L46" s="3199"/>
      <c r="M46" s="3219"/>
      <c r="N46" s="3219"/>
      <c r="O46" s="3219"/>
    </row>
    <row r="47" spans="1:15" ht="12" customHeight="1">
      <c r="A47" s="169" t="s">
        <v>2181</v>
      </c>
      <c r="B47" s="170"/>
      <c r="C47" s="171"/>
      <c r="D47" s="172" t="s">
        <v>2182</v>
      </c>
      <c r="E47" s="24" t="s">
        <v>2183</v>
      </c>
      <c r="F47" s="173" t="s">
        <v>2184</v>
      </c>
      <c r="G47" s="174" t="s">
        <v>2185</v>
      </c>
      <c r="H47" s="2476"/>
      <c r="I47" s="168"/>
      <c r="J47" s="1808">
        <v>2</v>
      </c>
      <c r="K47" s="3199" t="s">
        <v>2186</v>
      </c>
      <c r="L47" s="3199"/>
      <c r="M47" s="3220">
        <f>'数据-取费表'!B2</f>
        <v>43630</v>
      </c>
      <c r="N47" s="3220"/>
      <c r="O47" s="3220"/>
    </row>
    <row r="48" spans="1:15" ht="25.5">
      <c r="A48" s="3167" t="s">
        <v>2187</v>
      </c>
      <c r="B48" s="3150"/>
      <c r="C48" s="3150"/>
      <c r="D48" s="140">
        <f>IF(H48="情况1",0,IF(H48="情况2",D52,IF(H48="情况3",D53,IF(H48="情况4",D54))))</f>
        <v>0</v>
      </c>
      <c r="E48" s="1797" t="str">
        <f>IF(H48="情况4","(销售额-原购置价)×税（费）率","销售额×税（费）率")</f>
        <v>销售额×税（费）率</v>
      </c>
      <c r="F48" s="175" t="str">
        <f>IF(H48="情况1","免征",'数据-取费表'!B41)</f>
        <v>免征</v>
      </c>
      <c r="G48" s="2477" t="s">
        <v>2188</v>
      </c>
      <c r="H48" s="2478" t="s">
        <v>2189</v>
      </c>
      <c r="I48" s="2476"/>
      <c r="J48" s="1808">
        <v>3</v>
      </c>
      <c r="K48" s="3199" t="s">
        <v>2190</v>
      </c>
      <c r="L48" s="3199"/>
      <c r="M48" s="3221">
        <f ca="1">H101</f>
        <v>222545</v>
      </c>
      <c r="N48" s="3221"/>
      <c r="O48" s="3221"/>
    </row>
    <row r="49" spans="1:35" ht="25.5" customHeight="1">
      <c r="A49" s="176" t="s">
        <v>2191</v>
      </c>
      <c r="B49" s="3135" t="s">
        <v>2192</v>
      </c>
      <c r="C49" s="3135"/>
      <c r="D49" s="177">
        <v>0</v>
      </c>
      <c r="E49" s="23" t="s">
        <v>2193</v>
      </c>
      <c r="F49" s="28" t="s">
        <v>34</v>
      </c>
      <c r="G49" s="3205"/>
      <c r="H49" s="138"/>
      <c r="I49" s="2479"/>
      <c r="J49" s="1808">
        <v>4</v>
      </c>
      <c r="K49" s="3199" t="str">
        <f>IF(项目基本情况!E8="房地产抵押价值","房地产抵押价值","抵押担保权已注销时的房地产抵押价值")</f>
        <v>房地产抵押价值</v>
      </c>
      <c r="L49" s="3199"/>
      <c r="M49" s="3221">
        <f ca="1">IF(项目基本情况!E8="房地产抵押价值",H107,H109)</f>
        <v>222545</v>
      </c>
      <c r="N49" s="3221"/>
      <c r="O49" s="3221"/>
    </row>
    <row r="50" spans="1:35" ht="25.5" customHeight="1">
      <c r="A50" s="178"/>
      <c r="B50" s="3135" t="s">
        <v>2194</v>
      </c>
      <c r="C50" s="3135"/>
      <c r="D50" s="179"/>
      <c r="E50" s="31"/>
      <c r="F50" s="180"/>
      <c r="G50" s="3206"/>
      <c r="H50" s="138"/>
      <c r="I50" s="2479"/>
      <c r="J50" s="3199" t="s">
        <v>2195</v>
      </c>
      <c r="K50" s="3199"/>
      <c r="L50" s="3199"/>
      <c r="M50" s="3199"/>
      <c r="N50" s="3199"/>
      <c r="O50" s="3199"/>
    </row>
    <row r="51" spans="1:35" ht="12" customHeight="1">
      <c r="A51" s="181"/>
      <c r="B51" s="3135" t="s">
        <v>2196</v>
      </c>
      <c r="C51" s="3135"/>
      <c r="D51" s="182"/>
      <c r="E51" s="30"/>
      <c r="F51" s="180"/>
      <c r="G51" s="3207"/>
      <c r="H51" s="138"/>
      <c r="I51" s="2479"/>
      <c r="J51" s="2480" t="s">
        <v>2197</v>
      </c>
      <c r="K51" s="3199" t="s">
        <v>2198</v>
      </c>
      <c r="L51" s="3199"/>
      <c r="M51" s="2480" t="s">
        <v>2199</v>
      </c>
      <c r="N51" s="2480" t="s">
        <v>2200</v>
      </c>
      <c r="O51" s="2480" t="s">
        <v>2201</v>
      </c>
    </row>
    <row r="52" spans="1:35" ht="24" customHeight="1">
      <c r="A52" s="183" t="s">
        <v>2202</v>
      </c>
      <c r="B52" s="3135" t="s">
        <v>2203</v>
      </c>
      <c r="C52" s="3135"/>
      <c r="D52" s="182">
        <f ca="1">ROUND(D45*'数据-取费表'!B41/(1+'数据-取费表'!C42),0)</f>
        <v>11869</v>
      </c>
      <c r="E52" s="11" t="s">
        <v>2204</v>
      </c>
      <c r="F52" s="184">
        <f>'数据-取费表'!B41</f>
        <v>5.6000000000000001E-2</v>
      </c>
      <c r="G52" s="2481"/>
      <c r="H52" s="138"/>
      <c r="I52" s="2479"/>
      <c r="J52" s="1808">
        <v>1</v>
      </c>
      <c r="K52" s="3200" t="s">
        <v>2205</v>
      </c>
      <c r="L52" s="3200"/>
      <c r="M52" s="1750">
        <f>D48</f>
        <v>0</v>
      </c>
      <c r="N52" s="1808" t="str">
        <f>E48</f>
        <v>销售额×税（费）率</v>
      </c>
      <c r="O52" s="1751" t="str">
        <f>F48</f>
        <v>免征</v>
      </c>
    </row>
    <row r="53" spans="1:35" ht="12" customHeight="1">
      <c r="A53" s="183" t="s">
        <v>2206</v>
      </c>
      <c r="B53" s="3158" t="s">
        <v>2207</v>
      </c>
      <c r="C53" s="3159"/>
      <c r="D53" s="182">
        <f ca="1">ROUND(D45*'数据-取费表'!B41/(1+'数据-取费表'!C42),0)</f>
        <v>11869</v>
      </c>
      <c r="E53" s="11" t="s">
        <v>2204</v>
      </c>
      <c r="F53" s="184">
        <f>'数据-取费表'!B41</f>
        <v>5.6000000000000001E-2</v>
      </c>
      <c r="G53" s="2481"/>
      <c r="H53" s="138"/>
      <c r="I53" s="2479"/>
      <c r="J53" s="1808">
        <v>2</v>
      </c>
      <c r="K53" s="3200" t="s">
        <v>2208</v>
      </c>
      <c r="L53" s="3200"/>
      <c r="M53" s="1750">
        <f t="shared" ref="M53:O54" ca="1" si="0">D55</f>
        <v>111</v>
      </c>
      <c r="N53" s="1808" t="str">
        <f t="shared" si="0"/>
        <v>销售额×税（费）率</v>
      </c>
      <c r="O53" s="1751">
        <f t="shared" si="0"/>
        <v>5.0000000000000001E-4</v>
      </c>
    </row>
    <row r="54" spans="1:35" ht="12" customHeight="1">
      <c r="A54" s="183" t="s">
        <v>2209</v>
      </c>
      <c r="B54" s="3158" t="s">
        <v>2210</v>
      </c>
      <c r="C54" s="3159"/>
      <c r="D54" s="182">
        <f ca="1">C68</f>
        <v>11869</v>
      </c>
      <c r="E54" s="30" t="s">
        <v>2211</v>
      </c>
      <c r="F54" s="184">
        <f>'数据-取费表'!B41</f>
        <v>5.6000000000000001E-2</v>
      </c>
      <c r="G54" s="2481"/>
      <c r="H54" s="2482"/>
      <c r="I54" s="2479"/>
      <c r="J54" s="1808">
        <v>3</v>
      </c>
      <c r="K54" s="3200" t="s">
        <v>2212</v>
      </c>
      <c r="L54" s="3200"/>
      <c r="M54" s="1750">
        <f t="shared" ca="1" si="0"/>
        <v>125960</v>
      </c>
      <c r="N54" s="1808" t="str">
        <f t="shared" si="0"/>
        <v>增值额×税（费）率</v>
      </c>
      <c r="O54" s="1752" t="str">
        <f t="shared" si="0"/>
        <v>——</v>
      </c>
    </row>
    <row r="55" spans="1:35" ht="24" customHeight="1">
      <c r="A55" s="3149" t="s">
        <v>2213</v>
      </c>
      <c r="B55" s="3150"/>
      <c r="C55" s="3150"/>
      <c r="D55" s="185">
        <f ca="1">IF(H55="个人住宅",0,ROUND(D45*I55,0))</f>
        <v>111</v>
      </c>
      <c r="E55" s="11" t="s">
        <v>2214</v>
      </c>
      <c r="F55" s="184">
        <f>IF(H55="正常",I55,"免征")</f>
        <v>5.0000000000000001E-4</v>
      </c>
      <c r="G55" s="2481"/>
      <c r="H55" s="2478" t="s">
        <v>2215</v>
      </c>
      <c r="I55" s="186">
        <f>'数据-取费表'!B49</f>
        <v>5.0000000000000001E-4</v>
      </c>
      <c r="J55" s="1808" t="str">
        <f>IF(H59="非个人房产","",4)</f>
        <v/>
      </c>
      <c r="K55" s="3200" t="str">
        <f>IF(H59="非个人房产","——","个人所得税")</f>
        <v>——</v>
      </c>
      <c r="L55" s="3200"/>
      <c r="M55" s="1753" t="str">
        <f>D59</f>
        <v>——</v>
      </c>
      <c r="N55" s="1806" t="str">
        <f>E59</f>
        <v>——</v>
      </c>
      <c r="O55" s="1754" t="str">
        <f>F59</f>
        <v>——</v>
      </c>
    </row>
    <row r="56" spans="1:35" ht="24.75">
      <c r="A56" s="3149" t="s">
        <v>2216</v>
      </c>
      <c r="B56" s="3150"/>
      <c r="C56" s="3150"/>
      <c r="D56" s="185">
        <f ca="1">IF(H56="个人住宅",D57,D58)</f>
        <v>125960</v>
      </c>
      <c r="E56" s="11" t="s">
        <v>2217</v>
      </c>
      <c r="F56" s="184" t="str">
        <f>IF(H56="正常",F58,"免征")</f>
        <v>——</v>
      </c>
      <c r="G56" s="2483" t="s">
        <v>2218</v>
      </c>
      <c r="H56" s="2484" t="s">
        <v>2215</v>
      </c>
      <c r="I56" s="2485"/>
      <c r="J56" s="1808" t="str">
        <f>IF(项目基本情况!K6="上海银行",IF(J55="",4,J55+1),"")</f>
        <v/>
      </c>
      <c r="K56" s="3223" t="str">
        <f>IF(项目基本情况!K6="上海银行","其他处置费用","")</f>
        <v/>
      </c>
      <c r="L56" s="3224"/>
      <c r="M56" s="1750" t="str">
        <f>IF(项目基本情况!K6="上海银行",M69,"")</f>
        <v/>
      </c>
      <c r="N56" s="3226" t="str">
        <f>IF(项目基本情况!K6="上海银行","包含处置中涉及的律师、诉讼、拍卖、评估等费用","")</f>
        <v/>
      </c>
      <c r="O56" s="3227"/>
    </row>
    <row r="57" spans="1:35" ht="12.75">
      <c r="A57" s="183" t="s">
        <v>2191</v>
      </c>
      <c r="B57" s="3165" t="s">
        <v>2219</v>
      </c>
      <c r="C57" s="3174"/>
      <c r="D57" s="187">
        <v>0</v>
      </c>
      <c r="E57" s="23" t="s">
        <v>2193</v>
      </c>
      <c r="F57" s="155"/>
      <c r="G57" s="2481"/>
      <c r="H57" s="2485"/>
      <c r="I57" s="2485"/>
      <c r="J57" s="3200">
        <f>IF(AND(J55="",J56=""),4,IF(项目基本情况!K6="上海银行",结果表!J56+1,结果表!J55+1))</f>
        <v>4</v>
      </c>
      <c r="K57" s="3200" t="s">
        <v>2220</v>
      </c>
      <c r="L57" s="2486" t="s">
        <v>2221</v>
      </c>
      <c r="M57" s="1755"/>
      <c r="N57" s="1756">
        <f ca="1">SUMIF(M52:M56,"&lt;9e307")</f>
        <v>126071</v>
      </c>
      <c r="O57" s="2487"/>
      <c r="P57" s="1749">
        <f ca="1">N57/M49</f>
        <v>0.5664966635961266</v>
      </c>
    </row>
    <row r="58" spans="1:35" ht="24.75">
      <c r="A58" s="183" t="s">
        <v>2202</v>
      </c>
      <c r="B58" s="3165" t="s">
        <v>2222</v>
      </c>
      <c r="C58" s="3166"/>
      <c r="D58" s="185">
        <f ca="1">IF(H58="转让取得",C81,C97)</f>
        <v>125960</v>
      </c>
      <c r="E58" s="11" t="s">
        <v>2217</v>
      </c>
      <c r="F58" s="24" t="s">
        <v>34</v>
      </c>
      <c r="G58" s="2481"/>
      <c r="H58" s="2484" t="s">
        <v>2223</v>
      </c>
      <c r="I58" s="2485"/>
      <c r="J58" s="3200"/>
      <c r="K58" s="3200"/>
      <c r="L58" s="2486" t="s">
        <v>2224</v>
      </c>
      <c r="M58" s="1757"/>
      <c r="N58" s="2488" t="str">
        <f ca="1">NUMBERSTRING(INT(N57*10000),2)&amp;"元整"</f>
        <v>壹拾贰亿陆仟零柒拾壹万元整</v>
      </c>
      <c r="O58" s="2489"/>
    </row>
    <row r="59" spans="1:35" ht="24.75" thickBot="1">
      <c r="A59" s="3203" t="s">
        <v>2225</v>
      </c>
      <c r="B59" s="3204"/>
      <c r="C59" s="3204"/>
      <c r="D59" s="188" t="str">
        <f>IF(H59="非个人房产","——",IF(H59="个人住宅",0,ROUND(D45*I59,0)))</f>
        <v>——</v>
      </c>
      <c r="E59" s="189" t="str">
        <f>IF(H59="非个人房产","——","销售额×税（费）率")</f>
        <v>——</v>
      </c>
      <c r="F59" s="190" t="str">
        <f>IF(H59="非个人房产","——",IF(H59="个人住宅","免征",I59))</f>
        <v>——</v>
      </c>
      <c r="G59" s="2490" t="s">
        <v>2218</v>
      </c>
      <c r="H59" s="2484" t="s">
        <v>2226</v>
      </c>
      <c r="I59" s="191">
        <v>0.01</v>
      </c>
      <c r="J59" s="3201">
        <f>J57+1</f>
        <v>5</v>
      </c>
      <c r="K59" s="3200" t="s">
        <v>2227</v>
      </c>
      <c r="L59" s="1808" t="s">
        <v>2221</v>
      </c>
      <c r="M59" s="1758"/>
      <c r="N59" s="1759">
        <f ca="1">M49-N57</f>
        <v>96474</v>
      </c>
      <c r="O59" s="2491"/>
    </row>
    <row r="60" spans="1:35" ht="12" customHeight="1">
      <c r="A60" s="2492"/>
      <c r="B60" s="2414"/>
      <c r="C60" s="2414"/>
      <c r="D60" s="2414"/>
      <c r="E60" s="2162"/>
      <c r="F60" s="2485"/>
      <c r="G60" s="2485"/>
      <c r="H60" s="2493"/>
      <c r="I60" s="138"/>
      <c r="J60" s="3202"/>
      <c r="K60" s="3200"/>
      <c r="L60" s="2486" t="s">
        <v>2224</v>
      </c>
      <c r="M60" s="1757"/>
      <c r="N60" s="2488" t="str">
        <f ca="1">NUMBERSTRING(INT(N59*10000),2)&amp;"元整"</f>
        <v>玖亿陆仟肆佰柒拾肆万元整</v>
      </c>
      <c r="O60" s="2489"/>
    </row>
    <row r="61" spans="1:35" ht="13.5" thickBot="1">
      <c r="A61" s="3147" t="s">
        <v>2228</v>
      </c>
      <c r="B61" s="3147"/>
      <c r="C61" s="3147"/>
      <c r="D61" s="3147"/>
      <c r="E61" s="3147"/>
      <c r="F61" s="2485"/>
      <c r="G61" s="2485"/>
      <c r="H61" s="2493"/>
      <c r="I61" s="138"/>
      <c r="J61" s="1808">
        <f>J59+1</f>
        <v>6</v>
      </c>
      <c r="K61" s="3200" t="s">
        <v>2229</v>
      </c>
      <c r="L61" s="3200"/>
      <c r="M61" s="1760"/>
      <c r="N61" s="1761">
        <f ca="1">ROUND(N59*10000/'数据-汇总表'!E3,0)</f>
        <v>2379</v>
      </c>
      <c r="O61" s="2494"/>
    </row>
    <row r="62" spans="1:35" ht="12.75">
      <c r="A62" s="3163" t="s">
        <v>2230</v>
      </c>
      <c r="B62" s="3164"/>
      <c r="C62" s="1800"/>
      <c r="D62" s="1800" t="s">
        <v>2231</v>
      </c>
      <c r="E62" s="192" t="s">
        <v>2232</v>
      </c>
      <c r="F62" s="2485"/>
      <c r="G62" s="2485"/>
      <c r="H62" s="2493"/>
      <c r="I62" s="138"/>
    </row>
    <row r="63" spans="1:35" ht="12.75">
      <c r="A63" s="203" t="s">
        <v>775</v>
      </c>
      <c r="B63" s="193" t="s">
        <v>2233</v>
      </c>
      <c r="C63" s="194">
        <f ca="1">ROUND((C64+C65)/(1+'数据-取费表'!C42),0)</f>
        <v>211948</v>
      </c>
      <c r="D63" s="195"/>
      <c r="E63" s="196"/>
      <c r="F63" s="2485"/>
      <c r="G63" s="2485"/>
      <c r="H63" s="2493"/>
      <c r="I63" s="138"/>
      <c r="J63" s="3225" t="s">
        <v>2234</v>
      </c>
      <c r="K63" s="2495" t="s">
        <v>2235</v>
      </c>
      <c r="L63" s="1748">
        <f ca="1">IF(M49&gt;10000,M49*0.5%,IF(AND(M49&gt;1000,M49&lt;=10000),M49*1%,IF(AND(M49&gt;100,M49&lt;=1000),M49*3%,IF(AND(M49&gt;10,M49&lt;=100),M49*5%,M49*8%))))</f>
        <v>1112.7250000000001</v>
      </c>
      <c r="M63" s="24">
        <f ca="1">ROUND(L63,1)</f>
        <v>1112.7</v>
      </c>
      <c r="Z63" s="2419"/>
      <c r="AI63" s="2420"/>
    </row>
    <row r="64" spans="1:35" ht="14.25" customHeight="1">
      <c r="A64" s="197" t="s">
        <v>770</v>
      </c>
      <c r="B64" s="198" t="s">
        <v>2236</v>
      </c>
      <c r="C64" s="199">
        <f ca="1">D45</f>
        <v>222545</v>
      </c>
      <c r="D64" s="200" t="s">
        <v>32</v>
      </c>
      <c r="E64" s="201"/>
      <c r="F64" s="2485"/>
      <c r="G64" s="2485"/>
      <c r="H64" s="2493"/>
      <c r="I64" s="138"/>
      <c r="J64" s="3225"/>
      <c r="K64" s="2495" t="s">
        <v>2237</v>
      </c>
      <c r="L64" s="1748">
        <f ca="1">IF(M49&gt;2000,M49*0.5%,IF(AND(M49&gt;1000,M49&lt;=2000),M49*0.6%,IF(AND(M49&gt;500,M49&lt;=1000),M49*0.7%,IF(AND(M49&gt;200,M49&lt;=500),M49*0.8%,IF(AND(M49&gt;100,M49&lt;=200),M49*0.9%,IF(AND(M49&gt;50,M49&lt;=100),M49*1%,IF(AND(M49&gt;20,M49&lt;=50),M49*1.5%,IF(AND(M49&gt;10,M49&lt;=20),M49*2%,IF(AND(M49&gt;1,M49&lt;=10),M49*2.5%)))))))))</f>
        <v>1112.7250000000001</v>
      </c>
      <c r="M64" s="24">
        <f t="shared" ref="M64:M65" ca="1" si="1">ROUND(L64,1)</f>
        <v>1112.7</v>
      </c>
      <c r="N64" s="138" t="s">
        <v>2238</v>
      </c>
      <c r="Z64" s="2419"/>
      <c r="AI64" s="2420"/>
    </row>
    <row r="65" spans="1:35" ht="14.25" customHeight="1">
      <c r="A65" s="197" t="s">
        <v>771</v>
      </c>
      <c r="B65" s="198" t="s">
        <v>2239</v>
      </c>
      <c r="C65" s="202"/>
      <c r="D65" s="200"/>
      <c r="E65" s="201"/>
      <c r="F65" s="2485"/>
      <c r="G65" s="2485"/>
      <c r="H65" s="2493"/>
      <c r="I65" s="138"/>
      <c r="J65" s="3225"/>
      <c r="K65" s="2495" t="s">
        <v>2240</v>
      </c>
      <c r="L65" s="1748">
        <f ca="1">IF(M49&gt;1000,M49*0.1%,IF(AND(M49&gt;500,M49&lt;=1000),M49*0.5%,IF(AND(M49&gt;50,M49&lt;=500),M49*1%,IF(AND(M49&gt;1,M49&lt;=50),M49*1.5%))))</f>
        <v>222.54500000000002</v>
      </c>
      <c r="M65" s="24">
        <f t="shared" ca="1" si="1"/>
        <v>222.5</v>
      </c>
      <c r="N65" s="138" t="s">
        <v>2238</v>
      </c>
      <c r="Z65" s="2419"/>
      <c r="AI65" s="2420"/>
    </row>
    <row r="66" spans="1:35" ht="14.25" customHeight="1">
      <c r="A66" s="203" t="s">
        <v>772</v>
      </c>
      <c r="B66" s="204" t="s">
        <v>2241</v>
      </c>
      <c r="C66" s="205"/>
      <c r="D66" s="206" t="s">
        <v>32</v>
      </c>
      <c r="E66" s="1772" t="s">
        <v>1367</v>
      </c>
      <c r="F66" s="2485"/>
      <c r="G66" s="2485"/>
      <c r="H66" s="2493"/>
      <c r="I66" s="138"/>
      <c r="J66" s="3225"/>
      <c r="K66" s="2495" t="s">
        <v>2242</v>
      </c>
      <c r="L66" s="1748">
        <f ca="1">M49*0.5%</f>
        <v>1112.7250000000001</v>
      </c>
      <c r="M66" s="24">
        <f ca="1">IF(L66&gt;0.5,0.5,ROUND(L66,0))</f>
        <v>0.5</v>
      </c>
      <c r="N66" s="138" t="s">
        <v>2243</v>
      </c>
      <c r="Z66" s="2419"/>
      <c r="AI66" s="2420"/>
    </row>
    <row r="67" spans="1:35" ht="14.25" customHeight="1">
      <c r="A67" s="203" t="s">
        <v>773</v>
      </c>
      <c r="B67" s="204" t="s">
        <v>2244</v>
      </c>
      <c r="C67" s="207">
        <f ca="1">C63-C66</f>
        <v>211948</v>
      </c>
      <c r="D67" s="200" t="s">
        <v>32</v>
      </c>
      <c r="E67" s="201"/>
      <c r="F67" s="2485"/>
      <c r="G67" s="2485"/>
      <c r="H67" s="2493"/>
      <c r="I67" s="138"/>
      <c r="J67" s="3225"/>
      <c r="K67" s="2495" t="s">
        <v>2245</v>
      </c>
      <c r="L67" s="1748">
        <f ca="1">IF(M49&gt;=10000,(8.25+(M49-10000)*0.01%),IF(AND(M49&gt;=8000,M49&lt;10000),(7.85+(M49-8000)*0.02%),IF(AND(M49&gt;=5000,M49&lt;8000),(6.65+(M49-5000)*0.04%),IF(AND(M49&gt;=2000,M49&lt;5000),(4.25+(PM49-2000)*0.08%),IF(AND(M49&gt;=1000,M49&lt;2000),(2.75+(M49-1000)*0.15%),IF(AND(M49&gt;=100,M49&lt;1000),(0.5+(M49-100)*0.25%),IF(AND(M49&gt;0,M49&lt;100),M49*0.5%)))))))</f>
        <v>29.5045</v>
      </c>
      <c r="M67" s="24">
        <f ca="1">ROUND(L67*0.9,1)</f>
        <v>26.6</v>
      </c>
      <c r="Z67" s="2419"/>
      <c r="AI67" s="2420"/>
    </row>
    <row r="68" spans="1:35" ht="14.25" customHeight="1" thickBot="1">
      <c r="A68" s="208" t="s">
        <v>774</v>
      </c>
      <c r="B68" s="209" t="s">
        <v>2246</v>
      </c>
      <c r="C68" s="210">
        <f ca="1">IF(C67&lt;=0,0,ROUND(C67*D68,0))</f>
        <v>11869</v>
      </c>
      <c r="D68" s="211">
        <f>'数据-取费表'!B41</f>
        <v>5.6000000000000001E-2</v>
      </c>
      <c r="E68" s="212"/>
      <c r="F68" s="2485"/>
      <c r="G68" s="2485"/>
      <c r="H68" s="2493"/>
      <c r="I68" s="138"/>
      <c r="J68" s="3225"/>
      <c r="K68" s="2495" t="s">
        <v>2247</v>
      </c>
      <c r="L68" s="1748">
        <f ca="1">IF(M49&gt;10000,M49*0.5%,IF(AND(M49&gt;5000,M49&lt;=10000),M49*1%,IF(AND(M49&gt;1000,M49&lt;=5000),M49*2%,IF(AND(M49&gt;200,M49&lt;=1000),M49*3%,M49*5%))))</f>
        <v>1112.7250000000001</v>
      </c>
      <c r="M68" s="24">
        <f ca="1">ROUND(L68,1)</f>
        <v>1112.7</v>
      </c>
      <c r="Z68" s="2419"/>
      <c r="AI68" s="2420"/>
    </row>
    <row r="69" spans="1:35" s="2442" customFormat="1" ht="16.5" customHeight="1">
      <c r="A69" s="2496"/>
      <c r="B69" s="2497"/>
      <c r="C69" s="2498"/>
      <c r="D69" s="2499"/>
      <c r="E69" s="2500"/>
      <c r="F69" s="2162"/>
      <c r="G69" s="2162"/>
      <c r="H69" s="2161"/>
      <c r="I69" s="2414"/>
      <c r="J69" s="3225"/>
      <c r="K69" s="2495" t="s">
        <v>2248</v>
      </c>
      <c r="L69" s="2501"/>
      <c r="M69" s="24">
        <f ca="1">ROUND(SUM(M63:M68),0)</f>
        <v>3588</v>
      </c>
      <c r="N69" s="1749">
        <f ca="1">M69/M49</f>
        <v>1.6122581949718034E-2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84" t="s">
        <v>2249</v>
      </c>
      <c r="B70" s="3185"/>
      <c r="C70" s="3185"/>
      <c r="D70" s="3185"/>
      <c r="E70" s="3185"/>
      <c r="F70" s="3185"/>
      <c r="G70" s="3185"/>
      <c r="H70" s="318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63" t="s">
        <v>2230</v>
      </c>
      <c r="B71" s="3164"/>
      <c r="C71" s="1800"/>
      <c r="D71" s="1800" t="s">
        <v>2231</v>
      </c>
      <c r="E71" s="213" t="s">
        <v>2232</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2250</v>
      </c>
      <c r="C72" s="207">
        <f ca="1">ROUND(D45/(1+'数据-取费表'!C42),0)</f>
        <v>211948</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2251</v>
      </c>
      <c r="C73" s="207">
        <f ca="1">C74+C78</f>
        <v>1272</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2252</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2253</v>
      </c>
      <c r="C75" s="218"/>
      <c r="D75" s="200" t="s">
        <v>32</v>
      </c>
      <c r="E75" s="219" t="s">
        <v>2254</v>
      </c>
      <c r="F75" s="2507" t="s">
        <v>2255</v>
      </c>
      <c r="G75" s="219" t="s">
        <v>2256</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2257</v>
      </c>
      <c r="C76" s="200">
        <f>IF(F75="购房发票",ROUND(C75*H75*D76,0),0)</f>
        <v>0</v>
      </c>
      <c r="D76" s="222">
        <v>0.05</v>
      </c>
      <c r="E76" s="3158" t="s">
        <v>2258</v>
      </c>
      <c r="F76" s="3135"/>
      <c r="G76" s="3135"/>
      <c r="H76" s="318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09" t="s">
        <v>2261</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2262</v>
      </c>
      <c r="C78" s="225">
        <f ca="1">ROUND(D45*D78/(1+'数据-取费表'!C42),0)</f>
        <v>1272</v>
      </c>
      <c r="D78" s="226">
        <f>'数据-取费表'!B43</f>
        <v>6.000000000000001E-3</v>
      </c>
      <c r="E78" s="3144" t="s">
        <v>2263</v>
      </c>
      <c r="F78" s="3145"/>
      <c r="G78" s="3145"/>
      <c r="H78" s="315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2264</v>
      </c>
      <c r="C79" s="207">
        <f ca="1">C72-C73</f>
        <v>210676</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2265</v>
      </c>
      <c r="C80" s="227">
        <f ca="1">IF(C79&lt;=0,0,C79/C73)</f>
        <v>165.62578616352201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2266</v>
      </c>
      <c r="C81" s="228">
        <f ca="1">ROUND(IF(C79&lt;=0,0,IF(C80&gt;=200%,C79*60%-C73*35%,IF(C80&gt;=100%,C79*50%-C73*15%,IF(C80&gt;=50%,C79*40%-C73*5%,IF(C80&lt;50%,C79*30%,0))))),0)</f>
        <v>125960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84" t="s">
        <v>2267</v>
      </c>
      <c r="B83" s="3185"/>
      <c r="C83" s="3185"/>
      <c r="D83" s="3185"/>
      <c r="E83" s="3185"/>
      <c r="F83" s="3185"/>
      <c r="G83" s="3185"/>
      <c r="H83" s="318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63" t="s">
        <v>2230</v>
      </c>
      <c r="B84" s="3164"/>
      <c r="C84" s="1800"/>
      <c r="D84" s="1800" t="s">
        <v>2231</v>
      </c>
      <c r="E84" s="213" t="s">
        <v>2232</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2250</v>
      </c>
      <c r="C85" s="207">
        <f ca="1">ROUND(D45/(1+'数据-取费表'!C42),0)</f>
        <v>211948</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2251</v>
      </c>
      <c r="C86" s="207">
        <f ca="1">IF(H88="仅含出让金",C87+C90+C91+C92+C93+C94,C87+C91+C92+C93+C94)</f>
        <v>1272</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2268</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2269</v>
      </c>
      <c r="C88" s="236"/>
      <c r="D88" s="226"/>
      <c r="E88" s="237" t="s">
        <v>2270</v>
      </c>
      <c r="F88" s="1796"/>
      <c r="G88" s="238" t="s">
        <v>2271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2259</v>
      </c>
      <c r="C89" s="225">
        <f>ROUND(C88*D89,0)</f>
        <v>0</v>
      </c>
      <c r="D89" s="226">
        <f>'数据-取费表'!B48+'数据-取费表'!B49</f>
        <v>3.0499999999999999E-2</v>
      </c>
      <c r="E89" s="237" t="s">
        <v>2272</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2273</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2274</v>
      </c>
      <c r="B91" s="198" t="s">
        <v>2275</v>
      </c>
      <c r="C91" s="225">
        <f>IF(H91="——",成本法!C33,I91)</f>
        <v>0</v>
      </c>
      <c r="D91" s="226"/>
      <c r="E91" s="3144" t="s">
        <v>2276</v>
      </c>
      <c r="F91" s="3145"/>
      <c r="G91" s="3145"/>
      <c r="H91" s="2514" t="s">
        <v>2277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2278</v>
      </c>
      <c r="B92" s="198" t="s">
        <v>2279</v>
      </c>
      <c r="C92" s="225">
        <f>ROUND((C87+C90+C91)*D92,0)</f>
        <v>0</v>
      </c>
      <c r="D92" s="226">
        <v>0.1</v>
      </c>
      <c r="E92" s="3144" t="s">
        <v>2280</v>
      </c>
      <c r="F92" s="3145"/>
      <c r="G92" s="3145"/>
      <c r="H92" s="315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2281</v>
      </c>
      <c r="B93" s="198" t="s">
        <v>2262</v>
      </c>
      <c r="C93" s="225">
        <f ca="1">ROUND(D45*D93/(1+'数据-取费表'!C42),0)</f>
        <v>1272</v>
      </c>
      <c r="D93" s="226">
        <f>'数据-取费表'!B43</f>
        <v>6.000000000000001E-3</v>
      </c>
      <c r="E93" s="3144" t="s">
        <v>2263</v>
      </c>
      <c r="F93" s="3145"/>
      <c r="G93" s="3145"/>
      <c r="H93" s="315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2282</v>
      </c>
      <c r="B94" s="198" t="s">
        <v>2283</v>
      </c>
      <c r="C94" s="236">
        <f>ROUND((C87+C90+C91)*D94,0)</f>
        <v>0</v>
      </c>
      <c r="D94" s="226">
        <v>0.2</v>
      </c>
      <c r="E94" s="3155" t="s">
        <v>2284</v>
      </c>
      <c r="F94" s="3156"/>
      <c r="G94" s="3156"/>
      <c r="H94" s="315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2264</v>
      </c>
      <c r="C95" s="207">
        <f ca="1">ROUND(C85-C86,0)</f>
        <v>210676</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2265</v>
      </c>
      <c r="C96" s="227">
        <f ca="1">IF(C95&lt;=0,0,C95/C86)</f>
        <v>165.62578616352201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2266</v>
      </c>
      <c r="C97" s="228">
        <f ca="1">ROUND(IF(C95&lt;=0,0,IF(C96&gt;=200%,C95*60%-C86*35%,IF(C96&gt;=100%,C95*50%-C86*15%,IF(C96&gt;=50%,C95*40%-C86*5%,IF(C96&lt;50%,C95*30%,0))))),0)</f>
        <v>125960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2285</v>
      </c>
      <c r="B99" s="2414"/>
      <c r="C99" s="2414"/>
      <c r="D99" s="2414"/>
      <c r="E99" s="2162"/>
      <c r="F99" s="2162"/>
      <c r="G99" s="2162"/>
      <c r="H99" s="2161"/>
      <c r="I99" s="138"/>
    </row>
    <row r="100" spans="1:35" ht="18.75" customHeight="1">
      <c r="A100" s="3129" t="s">
        <v>2286</v>
      </c>
      <c r="B100" s="3130"/>
      <c r="C100" s="3130"/>
      <c r="D100" s="3146"/>
      <c r="E100" s="3130" t="s">
        <v>2287</v>
      </c>
      <c r="F100" s="3130"/>
      <c r="G100" s="3130"/>
      <c r="H100" s="3146"/>
      <c r="I100" s="138"/>
    </row>
    <row r="101" spans="1:35" ht="18.75" customHeight="1">
      <c r="A101" s="3208" t="s">
        <v>2288</v>
      </c>
      <c r="B101" s="3209"/>
      <c r="C101" s="736" t="str">
        <f>C4</f>
        <v>成本法</v>
      </c>
      <c r="D101" s="737" t="str">
        <f>D4</f>
        <v>假设开发法</v>
      </c>
      <c r="E101" s="3222" t="s">
        <v>2289</v>
      </c>
      <c r="F101" s="3176"/>
      <c r="G101" s="2516" t="s">
        <v>2290</v>
      </c>
      <c r="H101" s="1045">
        <f ca="1">H118</f>
        <v>222545</v>
      </c>
      <c r="I101" s="138"/>
    </row>
    <row r="102" spans="1:35" ht="18.75" customHeight="1">
      <c r="A102" s="3178" t="s">
        <v>2291</v>
      </c>
      <c r="B102" s="2516" t="s">
        <v>2290</v>
      </c>
      <c r="C102" s="736">
        <f ca="1">C19</f>
        <v>251237</v>
      </c>
      <c r="D102" s="737">
        <f ca="1">D19</f>
        <v>179506</v>
      </c>
      <c r="E102" s="3222"/>
      <c r="F102" s="3176"/>
      <c r="G102" s="2516" t="s">
        <v>2292</v>
      </c>
      <c r="H102" s="371">
        <f ca="1">I118</f>
        <v>5487</v>
      </c>
      <c r="I102" s="138"/>
    </row>
    <row r="103" spans="1:35" ht="42.75" customHeight="1">
      <c r="A103" s="3178"/>
      <c r="B103" s="2516" t="s">
        <v>2292</v>
      </c>
      <c r="C103" s="738">
        <f ca="1">C20</f>
        <v>6195</v>
      </c>
      <c r="D103" s="739">
        <f ca="1">D20</f>
        <v>4426</v>
      </c>
      <c r="E103" s="3217" t="s">
        <v>2293</v>
      </c>
      <c r="F103" s="3218"/>
      <c r="G103" s="2517" t="s">
        <v>2294</v>
      </c>
      <c r="H103" s="1045">
        <f>IF(D36="正常操作",H104+H105+H106,H105+H106)</f>
        <v>0</v>
      </c>
      <c r="I103" s="138"/>
    </row>
    <row r="104" spans="1:35" ht="18.75" customHeight="1">
      <c r="A104" s="3178" t="s">
        <v>2295</v>
      </c>
      <c r="B104" s="2518" t="s">
        <v>2290</v>
      </c>
      <c r="C104" s="740">
        <f ca="1">H118</f>
        <v>222545</v>
      </c>
      <c r="D104" s="741"/>
      <c r="E104" s="2262" t="s">
        <v>2296</v>
      </c>
      <c r="F104" s="2254"/>
      <c r="G104" s="2517" t="s">
        <v>2294</v>
      </c>
      <c r="H104" s="1046">
        <f>IF(D36="同一抵押权人同一抵押物续贷",C36&amp;"（未扣减，详见特别提示）",C36)</f>
        <v>0</v>
      </c>
      <c r="I104" s="138"/>
    </row>
    <row r="105" spans="1:35" ht="18.75" customHeight="1" thickBot="1">
      <c r="A105" s="3179"/>
      <c r="B105" s="2519" t="s">
        <v>2292</v>
      </c>
      <c r="C105" s="742">
        <f ca="1">I118</f>
        <v>5487</v>
      </c>
      <c r="D105" s="743"/>
      <c r="E105" s="2262" t="s">
        <v>2297</v>
      </c>
      <c r="F105" s="2254"/>
      <c r="G105" s="2517" t="s">
        <v>2294</v>
      </c>
      <c r="H105" s="1046">
        <f>C37</f>
        <v>0</v>
      </c>
      <c r="I105" s="138"/>
    </row>
    <row r="106" spans="1:35" ht="18.75" customHeight="1">
      <c r="A106" s="2414" t="s">
        <v>2298</v>
      </c>
      <c r="B106" s="2414"/>
      <c r="C106" s="2414"/>
      <c r="D106" s="2414"/>
      <c r="E106" s="2520" t="s">
        <v>2299</v>
      </c>
      <c r="F106" s="2254"/>
      <c r="G106" s="2517" t="s">
        <v>2294</v>
      </c>
      <c r="H106" s="1046">
        <f>C38</f>
        <v>0</v>
      </c>
      <c r="I106" s="138"/>
    </row>
    <row r="107" spans="1:35" ht="18.75" customHeight="1">
      <c r="A107" s="138"/>
      <c r="B107" s="138"/>
      <c r="C107" s="138"/>
      <c r="D107" s="138"/>
      <c r="E107" s="3175" t="str">
        <f>IF(项目基本情况!E8="已注销","——","3.房地产抵押价值")</f>
        <v>3.房地产抵押价值</v>
      </c>
      <c r="F107" s="3176"/>
      <c r="G107" s="2516" t="s">
        <v>2290</v>
      </c>
      <c r="H107" s="1045">
        <f ca="1">IF(E107="——","——",H101-H103)</f>
        <v>222545</v>
      </c>
      <c r="I107" s="138"/>
    </row>
    <row r="108" spans="1:35" ht="18.75" customHeight="1">
      <c r="A108" s="138"/>
      <c r="B108" s="138"/>
      <c r="C108" s="138"/>
      <c r="D108" s="138"/>
      <c r="E108" s="3175"/>
      <c r="F108" s="3176"/>
      <c r="G108" s="2516" t="s">
        <v>2292</v>
      </c>
      <c r="H108" s="371">
        <f ca="1">ROUND(H107*10000/'数据-汇总表'!E3,0)</f>
        <v>5487</v>
      </c>
      <c r="I108" s="138"/>
    </row>
    <row r="109" spans="1:35" ht="18.75" customHeight="1">
      <c r="A109" s="138"/>
      <c r="B109" s="138"/>
      <c r="C109" s="138"/>
      <c r="D109" s="138"/>
      <c r="E109" s="3175" t="str">
        <f>IF(项目基本情况!E8="已注销及未注销","4.抵押担保权已注销时的房地产抵押价值",IF(项目基本情况!E8="已注销","3.抵押担保权已注销时的房地产抵押价值","——"))</f>
        <v>——</v>
      </c>
      <c r="F109" s="3176"/>
      <c r="G109" s="2516" t="s">
        <v>2290</v>
      </c>
      <c r="H109" s="348" t="str">
        <f>IF(E109="——","——",H101-H105-H106)</f>
        <v>——</v>
      </c>
      <c r="I109" s="138"/>
    </row>
    <row r="110" spans="1:35" ht="18.75" customHeight="1">
      <c r="A110" s="138"/>
      <c r="B110" s="138"/>
      <c r="C110" s="138"/>
      <c r="D110" s="138"/>
      <c r="E110" s="3175"/>
      <c r="F110" s="3176"/>
      <c r="G110" s="2516" t="s">
        <v>2292</v>
      </c>
      <c r="H110" s="371" t="str">
        <f>IF(H109="——","——",ROUND(H109*10000/'数据-汇总表'!E3,0))</f>
        <v>——</v>
      </c>
      <c r="I110" s="138"/>
    </row>
    <row r="111" spans="1:35" ht="18.75" customHeight="1">
      <c r="A111" s="138"/>
      <c r="B111" s="138"/>
      <c r="C111" s="138"/>
      <c r="D111" s="138"/>
      <c r="E111" s="3210" t="str">
        <f>IF(项目基本情况!E9="抵押净值",IF(OR(项目基本情况!E8="已注销",项目基本情况!E8="房地产抵押价值"),"4.抵押净值","5.抵押净值"),"——")</f>
        <v>——</v>
      </c>
      <c r="F111" s="3211"/>
      <c r="G111" s="2516" t="s">
        <v>2290</v>
      </c>
      <c r="H111" s="1045" t="str">
        <f>IF(E111="——","——",N59)</f>
        <v>——</v>
      </c>
      <c r="I111" s="138"/>
    </row>
    <row r="112" spans="1:35" ht="18.75" customHeight="1" thickBot="1">
      <c r="A112" s="138"/>
      <c r="B112" s="138"/>
      <c r="C112" s="138"/>
      <c r="D112" s="138"/>
      <c r="E112" s="3212"/>
      <c r="F112" s="3213"/>
      <c r="G112" s="2521" t="s">
        <v>2292</v>
      </c>
      <c r="H112" s="790" t="str">
        <f>IF(E111="——","——",N61)</f>
        <v>——</v>
      </c>
      <c r="I112" s="138"/>
    </row>
    <row r="113" spans="1:11" ht="18.75" customHeight="1">
      <c r="A113" s="138"/>
      <c r="B113" s="138"/>
      <c r="C113" s="138"/>
      <c r="D113" s="138"/>
      <c r="E113" s="3180" t="s">
        <v>2298</v>
      </c>
      <c r="F113" s="3180"/>
      <c r="G113" s="3180"/>
      <c r="H113" s="3180"/>
      <c r="I113" s="138"/>
    </row>
    <row r="114" spans="1:11" ht="3.75" customHeight="1">
      <c r="A114" s="2414"/>
      <c r="B114" s="2414"/>
      <c r="C114" s="2414"/>
      <c r="D114" s="2414"/>
      <c r="E114" s="2492"/>
      <c r="F114" s="2492"/>
      <c r="G114" s="2492"/>
      <c r="H114" s="2492"/>
      <c r="I114" s="2414"/>
    </row>
    <row r="115" spans="1:11" ht="18.75" customHeight="1">
      <c r="A115" s="3193" t="s">
        <v>2300</v>
      </c>
      <c r="B115" s="3194"/>
      <c r="C115" s="3194"/>
      <c r="D115" s="3194"/>
      <c r="E115" s="3194"/>
      <c r="F115" s="3194"/>
      <c r="G115" s="3194"/>
      <c r="H115" s="3194"/>
      <c r="I115" s="3195"/>
    </row>
    <row r="116" spans="1:11" ht="27" customHeight="1">
      <c r="A116" s="3075" t="s">
        <v>2301</v>
      </c>
      <c r="B116" s="3181" t="s">
        <v>3389</v>
      </c>
      <c r="C116" s="3181" t="s">
        <v>3390</v>
      </c>
      <c r="D116" s="3197" t="s">
        <v>2302</v>
      </c>
      <c r="E116" s="3198"/>
      <c r="F116" s="3189" t="s">
        <v>2303</v>
      </c>
      <c r="G116" s="3189"/>
      <c r="H116" s="3075" t="s">
        <v>2304</v>
      </c>
      <c r="I116" s="3075"/>
    </row>
    <row r="117" spans="1:11" ht="18.75" customHeight="1">
      <c r="A117" s="3075"/>
      <c r="B117" s="3182"/>
      <c r="C117" s="3182"/>
      <c r="D117" s="1794" t="s">
        <v>2305</v>
      </c>
      <c r="E117" s="1794" t="s">
        <v>2306</v>
      </c>
      <c r="F117" s="1794" t="s">
        <v>2305</v>
      </c>
      <c r="G117" s="1794" t="s">
        <v>2307</v>
      </c>
      <c r="H117" s="1794" t="s">
        <v>2305</v>
      </c>
      <c r="I117" s="1794" t="s">
        <v>2307</v>
      </c>
    </row>
    <row r="118" spans="1:11" ht="24.75" customHeight="1">
      <c r="A118" s="2522" t="str">
        <f>项目基本情况!S2</f>
        <v>四川省成都市天府新区华阳街道广福社区“恒大天府半岛”居住项目六期出让国有建设用地使用权及在建建筑物房地产</v>
      </c>
      <c r="B118" s="1794">
        <f>M18</f>
        <v>405562.81999999995</v>
      </c>
      <c r="C118" s="1794">
        <f>M19</f>
        <v>72072.02</v>
      </c>
      <c r="D118" s="1794">
        <f ca="1">ROUND(IF(D32="总价",C34,E118*B118/10000),0)</f>
        <v>187605</v>
      </c>
      <c r="E118" s="1794">
        <f ca="1">ROUND(IF(C33="自定义",IF(D32="楼面单价",C34,D118*10000/B118),I118-G118),0)</f>
        <v>4625</v>
      </c>
      <c r="F118" s="1794">
        <f ca="1">ROUND(IF(D32="总价",C35,G118*B118/10000),0)</f>
        <v>34940</v>
      </c>
      <c r="G118" s="1794">
        <f ca="1">ROUND(IF(D32="楼面单价",C35,F118*10000/B118),0)</f>
        <v>862</v>
      </c>
      <c r="H118" s="1794">
        <f ca="1">ROUND(IF(D32="总价",C32,I118*B118/10000),0)</f>
        <v>222545</v>
      </c>
      <c r="I118" s="1794">
        <f ca="1">ROUND(IF(D32="楼面单价",C32,H118*10000/B118),0)</f>
        <v>5487</v>
      </c>
    </row>
    <row r="119" spans="1:11" ht="18.75" customHeight="1">
      <c r="A119" s="3075" t="s">
        <v>2308</v>
      </c>
      <c r="B119" s="3075"/>
      <c r="C119" s="3075"/>
      <c r="D119" s="3186" t="str">
        <f ca="1">NUMBERSTRING(INT(D118*10000),2)&amp;"元整"</f>
        <v>壹拾捌亿柒仟陆佰零伍万元整</v>
      </c>
      <c r="E119" s="3188"/>
      <c r="F119" s="3186" t="str">
        <f ca="1">NUMBERSTRING(INT(F118*10000),2)&amp;"元整"</f>
        <v>叁亿肆仟玖佰肆拾万元整</v>
      </c>
      <c r="G119" s="3188"/>
      <c r="H119" s="3186" t="str">
        <f ca="1">NUMBERSTRING(INT(H118*10000),2)&amp;"元整"</f>
        <v>贰拾贰亿贰仟伍佰肆拾伍万元整</v>
      </c>
      <c r="I119" s="3188"/>
    </row>
    <row r="120" spans="1:11" ht="18.75" customHeight="1">
      <c r="A120" s="3214" t="str">
        <f>IF(项目基本情况!B9="房地产市场价值","",MID(E103,3,LEN(E103)-2))</f>
        <v>估价师知悉的法定优先受偿款</v>
      </c>
      <c r="B120" s="3215"/>
      <c r="C120" s="3216"/>
      <c r="D120" s="3214">
        <f>H103</f>
        <v>0</v>
      </c>
      <c r="E120" s="3215"/>
      <c r="F120" s="3215"/>
      <c r="G120" s="3215"/>
      <c r="H120" s="3215"/>
      <c r="I120" s="3216"/>
      <c r="K120" s="2419" t="str">
        <f>IF(D120=0,"故，本次评估不存在"&amp;A120,"故，本次评估"&amp;A120&amp;"为人民币"&amp;D120&amp;"万元整。")</f>
        <v>故，本次评估不存在估价师知悉的法定优先受偿款</v>
      </c>
    </row>
    <row r="121" spans="1:11" ht="18.75" customHeight="1">
      <c r="A121" s="3190" t="s">
        <v>2308</v>
      </c>
      <c r="B121" s="3191"/>
      <c r="C121" s="3192"/>
      <c r="D121" s="3186" t="str">
        <f>IF(D120=0,"零元整",NUMBERSTRING(INT(D120*10000),2)&amp;"元整")</f>
        <v>零元整</v>
      </c>
      <c r="E121" s="3187"/>
      <c r="F121" s="3187"/>
      <c r="G121" s="3187"/>
      <c r="H121" s="3187"/>
      <c r="I121" s="3188"/>
    </row>
    <row r="122" spans="1:11" ht="18.75" customHeight="1">
      <c r="A122" s="3177" t="str">
        <f>IF(项目基本情况!B9="房地产市场价值","",MID(E107,3,LEN(E107)-2))</f>
        <v>房地产抵押价值</v>
      </c>
      <c r="B122" s="3177"/>
      <c r="C122" s="3177"/>
      <c r="D122" s="3214">
        <f ca="1">H107</f>
        <v>222545</v>
      </c>
      <c r="E122" s="3215"/>
      <c r="F122" s="3215"/>
      <c r="G122" s="3215"/>
      <c r="H122" s="3215"/>
      <c r="I122" s="3216"/>
    </row>
    <row r="123" spans="1:11" ht="18.75" customHeight="1">
      <c r="A123" s="3075" t="s">
        <v>2308</v>
      </c>
      <c r="B123" s="3075"/>
      <c r="C123" s="3075"/>
      <c r="D123" s="3186" t="str">
        <f ca="1">NUMBERSTRING(INT(D122*10000),2)&amp;"元整"</f>
        <v>贰拾贰亿贰仟伍佰肆拾伍万元整</v>
      </c>
      <c r="E123" s="3187"/>
      <c r="F123" s="3187"/>
      <c r="G123" s="3187"/>
      <c r="H123" s="3187"/>
      <c r="I123" s="3188"/>
    </row>
    <row r="124" spans="1:11" ht="18.75" hidden="1" customHeight="1">
      <c r="A124" s="3177" t="str">
        <f>IF(项目基本情况!B9="房地产市场价值","",MID(E109,3,LEN(E109)-2))</f>
        <v/>
      </c>
      <c r="B124" s="3177"/>
      <c r="C124" s="3177"/>
      <c r="D124" s="3214" t="str">
        <f>H109</f>
        <v>——</v>
      </c>
      <c r="E124" s="3215"/>
      <c r="F124" s="3215"/>
      <c r="G124" s="3215"/>
      <c r="H124" s="3215"/>
      <c r="I124" s="3216"/>
    </row>
    <row r="125" spans="1:11" ht="18.75" hidden="1" customHeight="1">
      <c r="A125" s="3075" t="s">
        <v>2308</v>
      </c>
      <c r="B125" s="3075"/>
      <c r="C125" s="3075"/>
      <c r="D125" s="3186" t="e">
        <f>NUMBERSTRING(INT(D124*10000),2)&amp;"元整"</f>
        <v>#VALUE!</v>
      </c>
      <c r="E125" s="3187"/>
      <c r="F125" s="3187"/>
      <c r="G125" s="3187"/>
      <c r="H125" s="3187"/>
      <c r="I125" s="3188"/>
    </row>
    <row r="126" spans="1:11" ht="18.75" hidden="1" customHeight="1">
      <c r="A126" s="3177" t="str">
        <f>IF(项目基本情况!B9="房地产市场价值","",MID(E111,3,LEN(E111)-2))</f>
        <v/>
      </c>
      <c r="B126" s="3177"/>
      <c r="C126" s="3177"/>
      <c r="D126" s="3214" t="str">
        <f>H111</f>
        <v>——</v>
      </c>
      <c r="E126" s="3215"/>
      <c r="F126" s="3215"/>
      <c r="G126" s="3215"/>
      <c r="H126" s="3215"/>
      <c r="I126" s="3216"/>
    </row>
    <row r="127" spans="1:11" ht="18.75" hidden="1" customHeight="1">
      <c r="A127" s="3075" t="s">
        <v>2308</v>
      </c>
      <c r="B127" s="3075"/>
      <c r="C127" s="3075"/>
      <c r="D127" s="3186" t="e">
        <f>NUMBERSTRING(INT(D126*10000),2)&amp;"元整"</f>
        <v>#VALUE!</v>
      </c>
      <c r="E127" s="3187"/>
      <c r="F127" s="3187"/>
      <c r="G127" s="3187"/>
      <c r="H127" s="3187"/>
      <c r="I127" s="3188"/>
    </row>
    <row r="128" spans="1:11" ht="21.75" customHeight="1">
      <c r="A128" s="3196" t="s">
        <v>2309</v>
      </c>
      <c r="B128" s="3196"/>
      <c r="C128" s="3196"/>
      <c r="D128" s="3196"/>
      <c r="E128" s="3196"/>
      <c r="F128" s="3196"/>
      <c r="G128" s="3196"/>
      <c r="H128" s="3196"/>
      <c r="I128" s="3196"/>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A5" sqref="A5"/>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c r="C1" s="242"/>
      <c r="D1" s="242"/>
      <c r="E1" s="242"/>
      <c r="F1" s="242"/>
      <c r="G1" s="1379">
        <f>MATCH(B1,'数据-取费表'!A6:A16,0)+5</f>
        <v>9</v>
      </c>
    </row>
    <row r="2" spans="1:9" s="244" customFormat="1" ht="18" customHeight="1">
      <c r="A2" s="245" t="s">
        <v>2318</v>
      </c>
      <c r="B2" s="246">
        <f ca="1">IF(D2="——",C52,C52-E2)</f>
        <v>251237</v>
      </c>
      <c r="C2" s="243" t="s">
        <v>2319</v>
      </c>
      <c r="D2" s="2545" t="s">
        <v>70</v>
      </c>
      <c r="E2" s="1440"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6195</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185219</v>
      </c>
      <c r="D5" s="255" t="s">
        <v>2325</v>
      </c>
      <c r="E5" s="256" t="s">
        <v>2326</v>
      </c>
      <c r="F5" s="256" t="s">
        <v>2327</v>
      </c>
      <c r="G5" s="257"/>
    </row>
    <row r="6" spans="1:9" s="258" customFormat="1" ht="13.5" customHeight="1">
      <c r="A6" s="949" t="s">
        <v>2328</v>
      </c>
      <c r="B6" s="259" t="s">
        <v>2329</v>
      </c>
      <c r="C6" s="260">
        <f>'土地比较法-住宅、综合'!B2</f>
        <v>179737</v>
      </c>
      <c r="D6" s="261"/>
      <c r="E6" s="262"/>
      <c r="F6" s="262"/>
      <c r="G6" s="263"/>
    </row>
    <row r="7" spans="1:9" s="258" customFormat="1" ht="13.5" customHeight="1">
      <c r="A7" s="949" t="s">
        <v>2330</v>
      </c>
      <c r="B7" s="259" t="s">
        <v>2331</v>
      </c>
      <c r="C7" s="264">
        <f>ROUND(C6*F7,0)</f>
        <v>5482</v>
      </c>
      <c r="D7" s="264"/>
      <c r="E7" s="262"/>
      <c r="F7" s="265">
        <f>'数据-取费表'!B48+'数据-取费表'!B49</f>
        <v>3.0499999999999999E-2</v>
      </c>
      <c r="G7" s="263"/>
    </row>
    <row r="8" spans="1:9" s="267" customFormat="1">
      <c r="A8" s="949" t="s">
        <v>2332</v>
      </c>
      <c r="B8" s="259" t="s">
        <v>2333</v>
      </c>
      <c r="C8" s="264">
        <f>IF(G8="已包含在土地购买价格中","0",IF(B1="",'数据-取费表'!B29,IF(G9="全部缴纳",C9+C10,H9)))</f>
        <v>0</v>
      </c>
      <c r="D8" s="266"/>
      <c r="E8" s="264"/>
      <c r="F8" s="265"/>
      <c r="G8" s="2548" t="s">
        <v>3380</v>
      </c>
    </row>
    <row r="9" spans="1:9" s="258" customFormat="1" ht="13.5" customHeight="1">
      <c r="A9" s="950" t="s">
        <v>800</v>
      </c>
      <c r="B9" s="268" t="s">
        <v>2334</v>
      </c>
      <c r="C9" s="269">
        <f ca="1">ROUND(D9*E9/10000,0)</f>
        <v>5284</v>
      </c>
      <c r="D9" s="1032">
        <f ca="1">IF(B1="",'数据-汇总表'!E5,IF(INDIRECT("'数据-取费表'!c"&amp;$G$1)="住宅",INDIRECT("'数据-取费表'!k"&amp;$G$1),0))</f>
        <v>240173.61</v>
      </c>
      <c r="E9" s="269">
        <f>'数据-取费表'!B27</f>
        <v>220</v>
      </c>
      <c r="F9" s="265"/>
      <c r="G9" s="2549"/>
      <c r="H9" s="1390"/>
      <c r="I9" s="2550" t="s">
        <v>2335</v>
      </c>
    </row>
    <row r="10" spans="1:9" s="258" customFormat="1" ht="13.5" customHeight="1">
      <c r="A10" s="950" t="s">
        <v>801</v>
      </c>
      <c r="B10" s="268" t="s">
        <v>2336</v>
      </c>
      <c r="C10" s="269">
        <f ca="1">ROUND(D10*E10/10000,0)</f>
        <v>3639</v>
      </c>
      <c r="D10" s="1032">
        <f ca="1">IF(B1="",'数据-汇总表'!E6,IF(INDIRECT("'数据-取费表'!c"&amp;$G$1)="住宅",INDIRECT("'数据-取费表'!s"&amp;$G$1),INDIRECT("'数据-取费表'!k"&amp;$G$1)+INDIRECT("'数据-取费表'!s"&amp;$G$1)))</f>
        <v>165389.20999999996</v>
      </c>
      <c r="E10" s="269">
        <f>'数据-取费表'!B28</f>
        <v>220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405562.81999999995</v>
      </c>
      <c r="E19" s="255">
        <f>'数据-取费表'!B31</f>
        <v>250</v>
      </c>
      <c r="F19" s="275"/>
      <c r="G19" s="2548" t="s">
        <v>3381</v>
      </c>
    </row>
    <row r="20" spans="1:7" s="258" customFormat="1" ht="13.5" customHeight="1">
      <c r="A20" s="299" t="s">
        <v>2349</v>
      </c>
      <c r="B20" s="254" t="s">
        <v>2350</v>
      </c>
      <c r="C20" s="276">
        <f>ROUND((C5+C19)*F20,0)</f>
        <v>3704</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4">
        <f ca="1">ROUND(SUM(C23:C25),0)</f>
        <v>4391</v>
      </c>
      <c r="D22" s="279">
        <f ca="1">C26</f>
        <v>2.0000000000000001E-4</v>
      </c>
      <c r="E22" s="280" t="s">
        <v>2354</v>
      </c>
      <c r="F22" s="281">
        <f ca="1">'数据-取费表'!B40</f>
        <v>4.7500000000000001E-2</v>
      </c>
      <c r="G22" s="278" t="str">
        <f>IF('数据-取费表'!B22&lt;=1,"单利计息","复利计息")</f>
        <v>复利计息</v>
      </c>
    </row>
    <row r="23" spans="1:7" s="258" customFormat="1" ht="13.5" customHeight="1">
      <c r="A23" s="951" t="s">
        <v>2358</v>
      </c>
      <c r="B23" s="259" t="s">
        <v>2359</v>
      </c>
      <c r="C23" s="1355">
        <f ca="1">ROUND(IF('数据-取费表'!B22&lt;=1,C5*F22*'数据-取费表'!B23,C5*(POWER((1+F22),'数据-取费表'!B23)-1)),0)</f>
        <v>4348</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43</v>
      </c>
      <c r="D25" s="282"/>
      <c r="E25" s="285"/>
      <c r="F25" s="283"/>
      <c r="G25" s="286" t="s">
        <v>2366</v>
      </c>
    </row>
    <row r="26" spans="1:7" s="258" customFormat="1">
      <c r="A26" s="951" t="s">
        <v>795</v>
      </c>
      <c r="B26" s="259" t="s">
        <v>2367</v>
      </c>
      <c r="C26" s="282">
        <f ca="1">ROUND(IF('数据-取费表'!B22&lt;=1,F21*F22*'数据-取费表'!B23/2,F21*(POWER((1+F22),'数据-取费表'!B23/2)-1)),4)</f>
        <v>2.0000000000000001E-4</v>
      </c>
      <c r="D26" s="282"/>
      <c r="E26" s="285"/>
      <c r="F26" s="283"/>
      <c r="G26" s="287"/>
    </row>
    <row r="27" spans="1:7" s="258" customFormat="1" ht="24.75">
      <c r="A27" s="299" t="s">
        <v>2368</v>
      </c>
      <c r="B27" s="288" t="s">
        <v>2369</v>
      </c>
      <c r="C27" s="289">
        <f ca="1">C28</f>
        <v>2834</v>
      </c>
      <c r="D27" s="279">
        <f ca="1">C29</f>
        <v>2.9999999999999997E-4</v>
      </c>
      <c r="E27" s="280" t="s">
        <v>2370</v>
      </c>
      <c r="F27" s="290">
        <f ca="1">IF(B1="",'数据-取费表'!Q16,INDIRECT("'数据-取费表'!q"&amp;$G$1))</f>
        <v>0.09</v>
      </c>
      <c r="G27" s="291" t="s">
        <v>2371</v>
      </c>
    </row>
    <row r="28" spans="1:7" s="258" customFormat="1" ht="13.5" customHeight="1">
      <c r="A28" s="951" t="s">
        <v>791</v>
      </c>
      <c r="B28" s="292" t="s">
        <v>2372</v>
      </c>
      <c r="C28" s="293">
        <f ca="1">ROUND((C5+C19+C20)*F27*'数据-取费表'!B21/'数据-取费表'!B20,0)</f>
        <v>2834</v>
      </c>
      <c r="D28" s="279"/>
      <c r="E28" s="280"/>
      <c r="F28" s="290"/>
      <c r="G28" s="291"/>
    </row>
    <row r="29" spans="1:7" s="258" customFormat="1" ht="13.5" customHeight="1">
      <c r="A29" s="951" t="s">
        <v>792</v>
      </c>
      <c r="B29" s="292" t="s">
        <v>2373</v>
      </c>
      <c r="C29" s="282">
        <f ca="1">ROUND(C21*F27*'数据-取费表'!B21/'数据-取费表'!B20,4)</f>
        <v>2.9999999999999997E-4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211777</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32472</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28131</v>
      </c>
      <c r="D34" s="261"/>
      <c r="E34" s="264"/>
      <c r="F34" s="301">
        <f ca="1">IF('数据-取费表'!B24=0,1,IF(B1="",'数据-取费表'!N16,INDIRECT("'数据-取费表'!n"&amp;$G$1)))</f>
        <v>0.25</v>
      </c>
      <c r="G34" s="263" t="s">
        <v>2382</v>
      </c>
    </row>
    <row r="35" spans="1:7" ht="13.5" customHeight="1">
      <c r="A35" s="951" t="s">
        <v>796</v>
      </c>
      <c r="B35" s="259" t="s">
        <v>2383</v>
      </c>
      <c r="C35" s="264">
        <f ca="1">ROUND(C34*F35,0)</f>
        <v>844</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540</v>
      </c>
      <c r="D36" s="264"/>
      <c r="E36" s="264"/>
      <c r="F36" s="303">
        <f>'数据-取费表'!B34</f>
        <v>0.03</v>
      </c>
      <c r="G36" s="304" t="s">
        <v>2386</v>
      </c>
    </row>
    <row r="37" spans="1:7" s="302" customFormat="1" ht="13.5" customHeight="1">
      <c r="A37" s="951" t="s">
        <v>798</v>
      </c>
      <c r="B37" s="259" t="s">
        <v>2387</v>
      </c>
      <c r="C37" s="293">
        <f ca="1">ROUND(E37*D37*F34/10000,0)</f>
        <v>2535</v>
      </c>
      <c r="D37" s="261">
        <f ca="1">D19</f>
        <v>405562.81999999995</v>
      </c>
      <c r="E37" s="293">
        <f>'数据-取费表'!B35</f>
        <v>250</v>
      </c>
      <c r="F37" s="303"/>
      <c r="G37" s="305" t="s">
        <v>2388</v>
      </c>
    </row>
    <row r="38" spans="1:7" ht="13.5" customHeight="1">
      <c r="A38" s="951" t="s">
        <v>799</v>
      </c>
      <c r="B38" s="259" t="s">
        <v>2389</v>
      </c>
      <c r="C38" s="264">
        <f ca="1">ROUND(C34*F38,0)</f>
        <v>422</v>
      </c>
      <c r="D38" s="264"/>
      <c r="E38" s="264"/>
      <c r="F38" s="303">
        <f>'数据-取费表'!B36</f>
        <v>1.4999999999999999E-2</v>
      </c>
      <c r="G38" s="263" t="s">
        <v>2384</v>
      </c>
    </row>
    <row r="39" spans="1:7" s="258" customFormat="1" ht="13.5" customHeight="1">
      <c r="A39" s="299" t="s">
        <v>2390</v>
      </c>
      <c r="B39" s="254" t="s">
        <v>2391</v>
      </c>
      <c r="C39" s="276">
        <f ca="1">ROUND(C33*F20,0)</f>
        <v>649</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387</v>
      </c>
      <c r="D41" s="279">
        <f ca="1">C44</f>
        <v>2.0000000000000001E-4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379</v>
      </c>
      <c r="D42" s="282"/>
      <c r="E42" s="282"/>
      <c r="F42" s="283"/>
      <c r="G42" s="3228" t="s">
        <v>2400</v>
      </c>
    </row>
    <row r="43" spans="1:7" ht="13.5" customHeight="1">
      <c r="A43" s="951" t="s">
        <v>792</v>
      </c>
      <c r="B43" s="259" t="s">
        <v>2401</v>
      </c>
      <c r="C43" s="282">
        <f ca="1">ROUND(IF('数据-取费表'!B22&lt;=1,C39*F22*'数据-取费表'!B21/2,C39*(POWER((1+F22),'数据-取费表'!B21/2)-1)),0)</f>
        <v>8</v>
      </c>
      <c r="D43" s="282"/>
      <c r="E43" s="282"/>
      <c r="F43" s="283"/>
      <c r="G43" s="3229"/>
    </row>
    <row r="44" spans="1:7" ht="13.5" customHeight="1">
      <c r="A44" s="951" t="s">
        <v>793</v>
      </c>
      <c r="B44" s="259" t="s">
        <v>2402</v>
      </c>
      <c r="C44" s="282">
        <f ca="1">ROUND(IF('数据-取费表'!B22&lt;=1,C40*F22*'数据-取费表'!B21/2,C40*(POWER((1+F22),'数据-取费表'!B21/2)-1)),4)</f>
        <v>2.0000000000000001E-4</v>
      </c>
      <c r="D44" s="282"/>
      <c r="E44" s="282"/>
      <c r="F44" s="283"/>
      <c r="G44" s="3230"/>
    </row>
    <row r="45" spans="1:7" s="258" customFormat="1" ht="13.5" customHeight="1">
      <c r="A45" s="299" t="s">
        <v>2403</v>
      </c>
      <c r="B45" s="288" t="s">
        <v>2369</v>
      </c>
      <c r="C45" s="289">
        <f ca="1">C46</f>
        <v>2981</v>
      </c>
      <c r="D45" s="279">
        <f ca="1">C47</f>
        <v>1.8E-3</v>
      </c>
      <c r="E45" s="280" t="s">
        <v>2395</v>
      </c>
      <c r="F45" s="290"/>
      <c r="G45" s="291" t="s">
        <v>2404</v>
      </c>
    </row>
    <row r="46" spans="1:7" s="258" customFormat="1" ht="13.5" customHeight="1">
      <c r="A46" s="951" t="s">
        <v>791</v>
      </c>
      <c r="B46" s="292" t="s">
        <v>2405</v>
      </c>
      <c r="C46" s="293">
        <f ca="1">ROUND((C33+C39)*F27,0)</f>
        <v>2981</v>
      </c>
      <c r="D46" s="307"/>
      <c r="E46" s="280"/>
      <c r="F46" s="290"/>
      <c r="G46" s="291"/>
    </row>
    <row r="47" spans="1:7" s="258" customFormat="1" ht="13.5" customHeight="1">
      <c r="A47" s="951" t="s">
        <v>792</v>
      </c>
      <c r="B47" s="292" t="s">
        <v>2406</v>
      </c>
      <c r="C47" s="282">
        <f ca="1">ROUND(C40*F27,4)</f>
        <v>1.8E-3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39460</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39460</v>
      </c>
      <c r="D51" s="276"/>
      <c r="E51" s="276"/>
      <c r="F51" s="308"/>
      <c r="G51" s="278" t="s">
        <v>2416</v>
      </c>
    </row>
    <row r="52" spans="1:7" s="252" customFormat="1" ht="16.5" thickBot="1">
      <c r="A52" s="309" t="s">
        <v>2417</v>
      </c>
      <c r="B52" s="310"/>
      <c r="C52" s="311">
        <f ca="1">C31+C51</f>
        <v>251237</v>
      </c>
      <c r="D52" s="310"/>
      <c r="E52" s="310"/>
      <c r="F52" s="310"/>
      <c r="G52" s="312"/>
    </row>
    <row r="55" spans="1:7" ht="15">
      <c r="B55" s="314" t="s">
        <v>2418</v>
      </c>
      <c r="C55" s="315"/>
    </row>
    <row r="56" spans="1:7">
      <c r="B56" s="317" t="s">
        <v>1509</v>
      </c>
      <c r="C56" s="319">
        <f ca="1">1-C57</f>
        <v>0.84299999999999997</v>
      </c>
    </row>
    <row r="57" spans="1:7">
      <c r="B57" s="317" t="s">
        <v>1510</v>
      </c>
      <c r="C57" s="318">
        <f ca="1">ROUND(C51/C52,3)</f>
        <v>0.157</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2317</v>
      </c>
      <c r="B1" s="1936"/>
      <c r="C1" s="2551" t="s">
        <v>2419</v>
      </c>
      <c r="D1" s="242"/>
      <c r="E1" s="242"/>
      <c r="F1" s="242"/>
      <c r="G1" s="1379">
        <f>MATCH(B1,'数据-取费表'!A6:A16,0)+5</f>
        <v>9</v>
      </c>
      <c r="H1" s="1282" t="str">
        <f>IF(ISERROR(FIND("住宅",B1)),"非住宅","住宅")</f>
        <v>非住宅</v>
      </c>
    </row>
    <row r="2" spans="1:8" s="244" customFormat="1" ht="18" customHeight="1">
      <c r="A2" s="245" t="s">
        <v>2318</v>
      </c>
      <c r="B2" s="246">
        <f ca="1">ROUND(IF(D2="——",C52/10000,C52/10000-E2),0)</f>
        <v>192772</v>
      </c>
      <c r="C2" s="243" t="s">
        <v>2319</v>
      </c>
      <c r="D2" s="2545" t="s">
        <v>70</v>
      </c>
      <c r="E2" s="1440"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4753</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89223820</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'数据-取费表'!B48+'数据-取费表'!B49</f>
        <v>3.0499999999999999E-2</v>
      </c>
      <c r="G7" s="263"/>
    </row>
    <row r="8" spans="1:8" s="267" customFormat="1">
      <c r="A8" s="949" t="s">
        <v>2332</v>
      </c>
      <c r="B8" s="259" t="s">
        <v>2333</v>
      </c>
      <c r="C8" s="264">
        <f ca="1">IF(G8="已包含在土地购买价格中",0,C9+C10)</f>
        <v>89223820</v>
      </c>
      <c r="D8" s="266"/>
      <c r="E8" s="264"/>
      <c r="F8" s="265"/>
      <c r="G8" s="2548"/>
    </row>
    <row r="9" spans="1:8" s="258" customFormat="1" ht="13.5" customHeight="1">
      <c r="A9" s="950" t="s">
        <v>800</v>
      </c>
      <c r="B9" s="268" t="s">
        <v>2334</v>
      </c>
      <c r="C9" s="269">
        <f ca="1">ROUND(D9*E9,0)</f>
        <v>52838194</v>
      </c>
      <c r="D9" s="1032">
        <f ca="1">IF(B1="",'数据-汇总表'!E5,IF(INDIRECT("'数据-取费表'!c"&amp;$G$1)="住宅",INDIRECT("'数据-取费表'!k"&amp;$G$1),0))</f>
        <v>240173.61</v>
      </c>
      <c r="E9" s="269">
        <f>'数据-取费表'!B27</f>
        <v>220</v>
      </c>
      <c r="F9" s="265"/>
      <c r="G9" s="270"/>
    </row>
    <row r="10" spans="1:8" s="258" customFormat="1" ht="13.5" customHeight="1">
      <c r="A10" s="950" t="s">
        <v>801</v>
      </c>
      <c r="B10" s="268" t="s">
        <v>2336</v>
      </c>
      <c r="C10" s="269">
        <f ca="1">ROUND(D10*E10,0)</f>
        <v>36385626</v>
      </c>
      <c r="D10" s="1032">
        <f ca="1">IF(B1="",'数据-汇总表'!E6,IF(INDIRECT("'数据-取费表'!c"&amp;$G$1)="住宅",INDIRECT("'数据-取费表'!s"&amp;$G$1),INDIRECT("'数据-取费表'!k"&amp;$G$1)+INDIRECT("'数据-取费表'!s"&amp;$G$1)))</f>
        <v>165389.20999999996</v>
      </c>
      <c r="E10" s="269">
        <f>'数据-取费表'!B28</f>
        <v>220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101390705</v>
      </c>
      <c r="D19" s="1036">
        <f ca="1">D9+D10</f>
        <v>405562.81999999995</v>
      </c>
      <c r="E19" s="255">
        <f>'数据-取费表'!B31</f>
        <v>250</v>
      </c>
      <c r="F19" s="275"/>
      <c r="G19" s="2548"/>
    </row>
    <row r="20" spans="1:7" s="258" customFormat="1" ht="13.5" customHeight="1">
      <c r="A20" s="299" t="s">
        <v>2430</v>
      </c>
      <c r="B20" s="254" t="s">
        <v>2431</v>
      </c>
      <c r="C20" s="276">
        <f ca="1">ROUND((C5+C19)*F20,0)</f>
        <v>3812291</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0">
        <f ca="1">ROUND(SUM(C23:C25),0)</f>
        <v>28748046</v>
      </c>
      <c r="D22" s="279">
        <f ca="1">C26</f>
        <v>1.4E-3</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13327890</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15145330</v>
      </c>
      <c r="D24" s="282"/>
      <c r="E24" s="282"/>
      <c r="F24" s="283"/>
      <c r="G24" s="284" t="s">
        <v>2442</v>
      </c>
    </row>
    <row r="25" spans="1:7" s="258" customFormat="1" ht="24">
      <c r="A25" s="951" t="s">
        <v>2332</v>
      </c>
      <c r="B25" s="259" t="s">
        <v>2443</v>
      </c>
      <c r="C25" s="1381">
        <f ca="1">ROUND(IF('数据-取费表'!B22&lt;=1,C20*F22*'数据-取费表'!B22/2,C20*(POWER((1+F22),'数据-取费表'!B22/2)-1)),0)</f>
        <v>274826</v>
      </c>
      <c r="D25" s="282"/>
      <c r="E25" s="285"/>
      <c r="F25" s="283"/>
      <c r="G25" s="286" t="s">
        <v>2444</v>
      </c>
    </row>
    <row r="26" spans="1:7" s="258" customFormat="1">
      <c r="A26" s="951"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17498413</v>
      </c>
      <c r="D27" s="279">
        <f ca="1">C29</f>
        <v>1.8E-3</v>
      </c>
      <c r="E27" s="280" t="s">
        <v>2370</v>
      </c>
      <c r="F27" s="290">
        <f ca="1">IF(B1="",'数据-取费表'!Q16,INDIRECT("'数据-取费表'!q"&amp;$G$1))</f>
        <v>0.09</v>
      </c>
      <c r="G27" s="291" t="s">
        <v>2371</v>
      </c>
    </row>
    <row r="28" spans="1:7" s="258" customFormat="1" ht="13.5" customHeight="1">
      <c r="A28" s="951" t="s">
        <v>791</v>
      </c>
      <c r="B28" s="292" t="s">
        <v>2372</v>
      </c>
      <c r="C28" s="293">
        <f ca="1">ROUND((C5+C19+C20)*F27,0)</f>
        <v>17498413</v>
      </c>
      <c r="D28" s="279"/>
      <c r="E28" s="280"/>
      <c r="F28" s="290"/>
      <c r="G28" s="291"/>
    </row>
    <row r="29" spans="1:7" s="258" customFormat="1" ht="13.5" customHeight="1">
      <c r="A29" s="951" t="s">
        <v>792</v>
      </c>
      <c r="B29" s="292" t="s">
        <v>2373</v>
      </c>
      <c r="C29" s="282">
        <f ca="1">ROUND(C21*F27,4)</f>
        <v>1.8E-3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260609935</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1298861076</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1125219852</v>
      </c>
      <c r="D34" s="261"/>
      <c r="E34" s="264"/>
      <c r="F34" s="301"/>
      <c r="G34" s="263"/>
    </row>
    <row r="35" spans="1:7" ht="13.5" customHeight="1">
      <c r="A35" s="951" t="s">
        <v>796</v>
      </c>
      <c r="B35" s="259" t="s">
        <v>2383</v>
      </c>
      <c r="C35" s="264">
        <f ca="1">ROUND(C34*F35,0)</f>
        <v>33756596</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21615625</v>
      </c>
      <c r="D36" s="264"/>
      <c r="E36" s="264"/>
      <c r="F36" s="303">
        <f>'数据-取费表'!B34</f>
        <v>0.03</v>
      </c>
      <c r="G36" s="304" t="s">
        <v>2386</v>
      </c>
    </row>
    <row r="37" spans="1:7" s="302" customFormat="1" ht="13.5" customHeight="1">
      <c r="A37" s="951" t="s">
        <v>798</v>
      </c>
      <c r="B37" s="259" t="s">
        <v>2387</v>
      </c>
      <c r="C37" s="293">
        <f ca="1">ROUND(E37*D37,0)</f>
        <v>101390705</v>
      </c>
      <c r="D37" s="261">
        <f ca="1">D19</f>
        <v>405562.81999999995</v>
      </c>
      <c r="E37" s="293">
        <f>'数据-取费表'!B35</f>
        <v>250</v>
      </c>
      <c r="F37" s="303"/>
      <c r="G37" s="305"/>
    </row>
    <row r="38" spans="1:7" ht="13.5" customHeight="1">
      <c r="A38" s="951" t="s">
        <v>799</v>
      </c>
      <c r="B38" s="259" t="s">
        <v>2389</v>
      </c>
      <c r="C38" s="264">
        <f ca="1">ROUND(C34*F38,0)</f>
        <v>16878298</v>
      </c>
      <c r="D38" s="264"/>
      <c r="E38" s="264"/>
      <c r="F38" s="303">
        <f>'数据-取费表'!B36</f>
        <v>1.4999999999999999E-2</v>
      </c>
      <c r="G38" s="263" t="s">
        <v>2384</v>
      </c>
    </row>
    <row r="39" spans="1:7" s="258" customFormat="1" ht="13.5" customHeight="1">
      <c r="A39" s="299" t="s">
        <v>2390</v>
      </c>
      <c r="B39" s="254" t="s">
        <v>2391</v>
      </c>
      <c r="C39" s="276">
        <f ca="1">ROUND(C33*F20,0)</f>
        <v>25977222</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95506946</v>
      </c>
      <c r="D41" s="279">
        <f ca="1">C44</f>
        <v>1.4E-3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93634261</v>
      </c>
      <c r="D42" s="282"/>
      <c r="E42" s="282"/>
      <c r="F42" s="283"/>
      <c r="G42" s="3228" t="s">
        <v>2447</v>
      </c>
    </row>
    <row r="43" spans="1:7" ht="13.5" customHeight="1">
      <c r="A43" s="951" t="s">
        <v>792</v>
      </c>
      <c r="B43" s="259" t="s">
        <v>2401</v>
      </c>
      <c r="C43" s="282">
        <f ca="1">ROUND(IF('数据-取费表'!B22&lt;=1,C39*F22*'数据-取费表'!B20/2,C39*(POWER((1+F22),'数据-取费表'!B20/2)-1)),0)</f>
        <v>1872685</v>
      </c>
      <c r="D43" s="282"/>
      <c r="E43" s="282"/>
      <c r="F43" s="283"/>
      <c r="G43" s="3229"/>
    </row>
    <row r="44" spans="1:7" ht="13.5" customHeight="1">
      <c r="A44" s="951" t="s">
        <v>793</v>
      </c>
      <c r="B44" s="259" t="s">
        <v>2402</v>
      </c>
      <c r="C44" s="282">
        <f ca="1">ROUND(IF('数据-取费表'!B22&lt;=1,C40*F22*'数据-取费表'!B20/2,C40*(POWER((1+F22),'数据-取费表'!B20/2)-1)),4)</f>
        <v>1.4E-3</v>
      </c>
      <c r="D44" s="282"/>
      <c r="E44" s="282"/>
      <c r="F44" s="283"/>
      <c r="G44" s="3230"/>
    </row>
    <row r="45" spans="1:7" s="258" customFormat="1" ht="13.5" customHeight="1">
      <c r="A45" s="299" t="s">
        <v>2403</v>
      </c>
      <c r="B45" s="288" t="s">
        <v>2369</v>
      </c>
      <c r="C45" s="289">
        <f ca="1">C46</f>
        <v>119235447</v>
      </c>
      <c r="D45" s="279">
        <f ca="1">C47</f>
        <v>1.8E-3</v>
      </c>
      <c r="E45" s="280" t="s">
        <v>2395</v>
      </c>
      <c r="F45" s="290"/>
      <c r="G45" s="291" t="s">
        <v>2404</v>
      </c>
    </row>
    <row r="46" spans="1:7" s="258" customFormat="1" ht="13.5" customHeight="1">
      <c r="A46" s="951" t="s">
        <v>791</v>
      </c>
      <c r="B46" s="292" t="s">
        <v>2405</v>
      </c>
      <c r="C46" s="293">
        <f ca="1">ROUND((C33+C39)*F27,0)</f>
        <v>119235447</v>
      </c>
      <c r="D46" s="307"/>
      <c r="E46" s="280"/>
      <c r="F46" s="290"/>
      <c r="G46" s="291"/>
    </row>
    <row r="47" spans="1:7" s="258" customFormat="1" ht="13.5" customHeight="1">
      <c r="A47" s="951" t="s">
        <v>792</v>
      </c>
      <c r="B47" s="292" t="s">
        <v>2406</v>
      </c>
      <c r="C47" s="282">
        <f ca="1">ROUND(C40*F27,4)</f>
        <v>1.8E-3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1667114988</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1667114988</v>
      </c>
      <c r="D51" s="276"/>
      <c r="E51" s="276"/>
      <c r="F51" s="308"/>
      <c r="G51" s="278" t="s">
        <v>2416</v>
      </c>
    </row>
    <row r="52" spans="1:7" s="252" customFormat="1" ht="16.5" thickBot="1">
      <c r="A52" s="309" t="s">
        <v>2417</v>
      </c>
      <c r="B52" s="310"/>
      <c r="C52" s="311">
        <f ca="1">C31+C51</f>
        <v>1927724923</v>
      </c>
      <c r="D52" s="310"/>
      <c r="E52" s="310"/>
      <c r="F52" s="310"/>
      <c r="G52" s="312"/>
    </row>
    <row r="55" spans="1:7" ht="15">
      <c r="B55" s="314" t="s">
        <v>2418</v>
      </c>
      <c r="C55" s="315"/>
    </row>
    <row r="56" spans="1:7">
      <c r="B56" s="317" t="s">
        <v>1509</v>
      </c>
      <c r="C56" s="319">
        <f ca="1">1-C57</f>
        <v>0.13500000000000001</v>
      </c>
    </row>
    <row r="57" spans="1:7">
      <c r="B57" s="317" t="s">
        <v>1510</v>
      </c>
      <c r="C57" s="318">
        <f ca="1">ROUND(C51/C52,3)</f>
        <v>0.86499999999999999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abSelected="1" topLeftCell="A6" zoomScale="80" zoomScaleNormal="80" zoomScalePageLayoutView="80" workbookViewId="0">
      <selection activeCell="G16" sqref="G1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179737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4432</v>
      </c>
      <c r="C3" s="247" t="s">
        <v>2734</v>
      </c>
      <c r="D3" s="1582"/>
      <c r="E3" s="2989" t="s">
        <v>3401</v>
      </c>
      <c r="F3" s="1126"/>
      <c r="G3" s="2989" t="s">
        <v>3400</v>
      </c>
      <c r="H3" s="1125"/>
      <c r="I3" s="2989" t="s">
        <v>3399</v>
      </c>
      <c r="J3" s="1125"/>
      <c r="K3" s="1127"/>
      <c r="L3" s="1128"/>
      <c r="M3" s="1129"/>
      <c r="N3" s="1129"/>
      <c r="O3" s="1129"/>
      <c r="P3" s="768"/>
      <c r="Q3" s="768"/>
      <c r="R3" s="768"/>
      <c r="S3" s="768"/>
      <c r="T3" s="768"/>
      <c r="U3" s="768"/>
      <c r="V3" s="768"/>
      <c r="W3" s="768"/>
      <c r="X3" s="768"/>
      <c r="Y3" s="768"/>
      <c r="Z3" s="768"/>
      <c r="AA3" s="768"/>
      <c r="AB3" s="786"/>
      <c r="AC3" s="782"/>
    </row>
    <row r="4" spans="1:30" ht="15">
      <c r="A4" s="401" t="s">
        <v>2633</v>
      </c>
      <c r="B4" s="402"/>
      <c r="C4" s="3235" t="s">
        <v>2634</v>
      </c>
      <c r="D4" s="3248"/>
      <c r="E4" s="3249" t="s">
        <v>2635</v>
      </c>
      <c r="F4" s="3250"/>
      <c r="G4" s="3235" t="s">
        <v>2636</v>
      </c>
      <c r="H4" s="3248"/>
      <c r="I4" s="3235" t="s">
        <v>2637</v>
      </c>
      <c r="J4" s="3248"/>
      <c r="K4" s="610" t="s">
        <v>2638</v>
      </c>
      <c r="L4" s="1130"/>
      <c r="M4" s="1131"/>
      <c r="N4" s="1131"/>
      <c r="O4" s="1131"/>
      <c r="P4" s="3251" t="s">
        <v>2639</v>
      </c>
      <c r="Q4" s="3252"/>
      <c r="R4" s="3257" t="s">
        <v>2635</v>
      </c>
      <c r="S4" s="3258"/>
      <c r="T4" s="3257" t="s">
        <v>2636</v>
      </c>
      <c r="U4" s="3258"/>
      <c r="V4" s="3244" t="s">
        <v>2637</v>
      </c>
      <c r="W4" s="3244"/>
      <c r="X4" s="1812"/>
      <c r="Y4" s="3257" t="s">
        <v>2639</v>
      </c>
      <c r="Z4" s="3258"/>
      <c r="AA4" s="3245" t="s">
        <v>2635</v>
      </c>
      <c r="AB4" s="3246" t="s">
        <v>2636</v>
      </c>
      <c r="AC4" s="3245" t="s">
        <v>2637</v>
      </c>
    </row>
    <row r="5" spans="1:30" ht="15">
      <c r="A5" s="404"/>
      <c r="B5" s="405"/>
      <c r="C5" s="3265" t="s">
        <v>2530</v>
      </c>
      <c r="D5" s="3266"/>
      <c r="E5" s="3272" t="str">
        <f>土地案例!E18</f>
        <v>天府新区华阳街道鹤林村五组(剑南大道东侧、沈阳路南侧)</v>
      </c>
      <c r="F5" s="3273"/>
      <c r="G5" s="3265" t="str">
        <f>土地案例!E19</f>
        <v>天府新区华阳街道香山村六组、八组、九组(天府大道西侧、梓州大道南侧)</v>
      </c>
      <c r="H5" s="3266"/>
      <c r="I5" s="3265" t="str">
        <f>土地案例!E20</f>
        <v>天府新区华阳街道一心村九组、鹤林村五组(剑南大道东侧、沈阳路南侧)</v>
      </c>
      <c r="J5" s="3266"/>
      <c r="K5" s="610"/>
      <c r="L5" s="1130"/>
      <c r="M5" s="1131"/>
      <c r="N5" s="1131"/>
      <c r="O5" s="1131"/>
      <c r="P5" s="3253"/>
      <c r="Q5" s="3254"/>
      <c r="R5" s="3259"/>
      <c r="S5" s="3260"/>
      <c r="T5" s="3259"/>
      <c r="U5" s="3260"/>
      <c r="V5" s="3244"/>
      <c r="W5" s="3244"/>
      <c r="X5" s="1812"/>
      <c r="Y5" s="3259"/>
      <c r="Z5" s="3260"/>
      <c r="AA5" s="3246"/>
      <c r="AB5" s="3246"/>
      <c r="AC5" s="3246"/>
    </row>
    <row r="6" spans="1:30" ht="15.75" thickBot="1">
      <c r="A6" s="406"/>
      <c r="B6" s="407"/>
      <c r="C6" s="3263" t="s">
        <v>2534</v>
      </c>
      <c r="D6" s="3264"/>
      <c r="E6" s="3270" t="str">
        <f>土地案例!G18</f>
        <v>TF(07):2017-36</v>
      </c>
      <c r="F6" s="3271"/>
      <c r="G6" s="3263" t="str">
        <f>土地案例!G19</f>
        <v>TF(07):2017-38</v>
      </c>
      <c r="H6" s="3264"/>
      <c r="I6" s="3263" t="str">
        <f>土地案例!G20</f>
        <v>TF(07):2017-37</v>
      </c>
      <c r="J6" s="3264"/>
      <c r="K6" s="610" t="s">
        <v>2535</v>
      </c>
      <c r="L6" s="1130"/>
      <c r="M6" s="1131"/>
      <c r="N6" s="1131"/>
      <c r="O6" s="1131"/>
      <c r="P6" s="3255"/>
      <c r="Q6" s="3256"/>
      <c r="R6" s="3259"/>
      <c r="S6" s="3260"/>
      <c r="T6" s="3261"/>
      <c r="U6" s="3262"/>
      <c r="V6" s="3244"/>
      <c r="W6" s="3244"/>
      <c r="X6" s="1812"/>
      <c r="Y6" s="3261"/>
      <c r="Z6" s="3262"/>
      <c r="AA6" s="3247"/>
      <c r="AB6" s="3247"/>
      <c r="AC6" s="3247"/>
    </row>
    <row r="7" spans="1:30" s="117" customFormat="1" ht="15.75" thickBot="1">
      <c r="A7" s="408" t="s">
        <v>2536</v>
      </c>
      <c r="B7" s="409"/>
      <c r="C7" s="410">
        <f>'数据-取费表'!B2</f>
        <v>43630</v>
      </c>
      <c r="D7" s="411">
        <v>100</v>
      </c>
      <c r="E7" s="412" t="str">
        <f>土地案例!L18</f>
        <v>2017-12-28</v>
      </c>
      <c r="F7" s="413">
        <f>SUMIF(70:70,YEAR(E7)&amp;"-"&amp;INT((MONTH(E7)+2)/3),71:71)</f>
        <v>97</v>
      </c>
      <c r="G7" s="2692" t="str">
        <f>土地案例!L19</f>
        <v>2017-12-28</v>
      </c>
      <c r="H7" s="411">
        <f>SUMIF(70:70,YEAR(G7)&amp;"-"&amp;INT((MONTH(G7)+2)/3),71:71)</f>
        <v>97</v>
      </c>
      <c r="I7" s="2692" t="str">
        <f>土地案例!L20</f>
        <v>2017-12-28</v>
      </c>
      <c r="J7" s="411">
        <f>SUMIF(70:70,YEAR(I7)&amp;"-"&amp;INT((MONTH(I7)+2)/3),71:71)</f>
        <v>97</v>
      </c>
      <c r="K7" s="611"/>
      <c r="L7" s="1132"/>
      <c r="M7" s="1133"/>
      <c r="N7" s="1133"/>
      <c r="O7" s="1133"/>
      <c r="P7" s="3267" t="s">
        <v>2537</v>
      </c>
      <c r="Q7" s="3269"/>
      <c r="R7" s="770" t="s">
        <v>17</v>
      </c>
      <c r="S7" s="771">
        <f t="shared" ref="S7:S15" si="0">F7</f>
        <v>97</v>
      </c>
      <c r="T7" s="770" t="s">
        <v>17</v>
      </c>
      <c r="U7" s="771">
        <f t="shared" ref="U7:U15" si="1">H7</f>
        <v>97</v>
      </c>
      <c r="V7" s="770" t="s">
        <v>17</v>
      </c>
      <c r="W7" s="771">
        <f t="shared" ref="W7:W15" si="2">J7</f>
        <v>97</v>
      </c>
      <c r="X7" s="772"/>
      <c r="Y7" s="3267" t="s">
        <v>2537</v>
      </c>
      <c r="Z7" s="3268"/>
      <c r="AA7" s="773">
        <f>D7/F7</f>
        <v>1.0309278350515463</v>
      </c>
      <c r="AB7" s="773">
        <f>D7/H7</f>
        <v>1.0309278350515463</v>
      </c>
      <c r="AC7" s="773">
        <f>D7/J7</f>
        <v>1.0309278350515463</v>
      </c>
    </row>
    <row r="8" spans="1:30" s="117" customFormat="1" ht="15.75" thickBot="1">
      <c r="A8" s="408" t="s">
        <v>2538</v>
      </c>
      <c r="B8" s="409"/>
      <c r="C8" s="414" t="s">
        <v>2539</v>
      </c>
      <c r="D8" s="411">
        <v>100</v>
      </c>
      <c r="E8" s="414" t="s">
        <v>3340</v>
      </c>
      <c r="F8" s="413">
        <f>SUMIF(73:73,E8,74:74)-SUMIF(73:73,C8,74:74)+100</f>
        <v>100</v>
      </c>
      <c r="G8" s="414" t="s">
        <v>3340</v>
      </c>
      <c r="H8" s="411">
        <f>SUMIF(73:73,G8,74:74)-SUMIF(73:73,C8,74:74)+100</f>
        <v>100</v>
      </c>
      <c r="I8" s="414" t="s">
        <v>3340</v>
      </c>
      <c r="J8" s="411">
        <f>SUMIF(73:73,I8,74:74)-SUMIF(73:73,C8,74:74)+100</f>
        <v>100</v>
      </c>
      <c r="K8" s="611"/>
      <c r="L8" s="1132"/>
      <c r="M8" s="1133"/>
      <c r="N8" s="1133"/>
      <c r="O8" s="1133"/>
      <c r="P8" s="3267" t="s">
        <v>2540</v>
      </c>
      <c r="Q8" s="3268"/>
      <c r="R8" s="770" t="s">
        <v>17</v>
      </c>
      <c r="S8" s="771">
        <f t="shared" si="0"/>
        <v>100</v>
      </c>
      <c r="T8" s="770" t="s">
        <v>17</v>
      </c>
      <c r="U8" s="771">
        <f t="shared" si="1"/>
        <v>100</v>
      </c>
      <c r="V8" s="770" t="s">
        <v>17</v>
      </c>
      <c r="W8" s="771">
        <f t="shared" si="2"/>
        <v>100</v>
      </c>
      <c r="X8" s="772"/>
      <c r="Y8" s="3267" t="s">
        <v>2540</v>
      </c>
      <c r="Z8" s="3268"/>
      <c r="AA8" s="773">
        <f t="shared" ref="AA8:AA45" si="3">D8/F8</f>
        <v>1</v>
      </c>
      <c r="AB8" s="773">
        <f t="shared" ref="AB8:AB45" si="4">D8/H8</f>
        <v>1</v>
      </c>
      <c r="AC8" s="773">
        <f t="shared" ref="AC8:AC45" si="5">D8/J8</f>
        <v>1</v>
      </c>
    </row>
    <row r="9" spans="1:30" s="117" customFormat="1" ht="57">
      <c r="A9" s="415" t="s">
        <v>2541</v>
      </c>
      <c r="B9" s="71" t="s">
        <v>2542</v>
      </c>
      <c r="C9" s="2695" t="s">
        <v>3391</v>
      </c>
      <c r="D9" s="135">
        <v>100</v>
      </c>
      <c r="E9" s="2695" t="s">
        <v>3180</v>
      </c>
      <c r="F9" s="135">
        <f>SUMIF(75:75,E9,76:76)-SUMIF(75:75,C9,76:76)+100</f>
        <v>100</v>
      </c>
      <c r="G9" s="2695" t="s">
        <v>3188</v>
      </c>
      <c r="H9" s="135">
        <f>SUMIF(75:75,G9,76:76)-SUMIF(75:75,C9,76:76)+100</f>
        <v>100</v>
      </c>
      <c r="I9" s="2695" t="s">
        <v>3194</v>
      </c>
      <c r="J9" s="135">
        <f>SUMIF(75:75,I9,76:76)-SUMIF(75:75,C9,76:76)+100</f>
        <v>100</v>
      </c>
      <c r="K9" s="611"/>
      <c r="L9" s="1132"/>
      <c r="M9" s="1133"/>
      <c r="N9" s="1133"/>
      <c r="O9" s="1134"/>
      <c r="P9" s="3238" t="s">
        <v>2543</v>
      </c>
      <c r="Q9" s="1794" t="str">
        <f t="shared" ref="Q9:Q15" si="6">B9</f>
        <v>用途</v>
      </c>
      <c r="R9" s="770" t="s">
        <v>17</v>
      </c>
      <c r="S9" s="771">
        <f t="shared" si="0"/>
        <v>100</v>
      </c>
      <c r="T9" s="770" t="s">
        <v>17</v>
      </c>
      <c r="U9" s="771">
        <f t="shared" si="1"/>
        <v>100</v>
      </c>
      <c r="V9" s="770" t="s">
        <v>17</v>
      </c>
      <c r="W9" s="771">
        <f t="shared" si="2"/>
        <v>100</v>
      </c>
      <c r="X9" s="772"/>
      <c r="Y9" s="3075"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38"/>
      <c r="Q10" s="1794" t="str">
        <f t="shared" si="6"/>
        <v>土地使用年限（年）</v>
      </c>
      <c r="R10" s="770" t="s">
        <v>17</v>
      </c>
      <c r="S10" s="771">
        <f t="shared" si="0"/>
        <v>107</v>
      </c>
      <c r="T10" s="770" t="s">
        <v>17</v>
      </c>
      <c r="U10" s="771">
        <f t="shared" si="1"/>
        <v>107</v>
      </c>
      <c r="V10" s="770" t="s">
        <v>17</v>
      </c>
      <c r="W10" s="771">
        <f t="shared" si="2"/>
        <v>107</v>
      </c>
      <c r="X10" s="772"/>
      <c r="Y10" s="3075"/>
      <c r="Z10" s="55" t="str">
        <f t="shared" si="7"/>
        <v>土地使用年限（年）</v>
      </c>
      <c r="AA10" s="773">
        <f t="shared" si="3"/>
        <v>0.93457943925233644</v>
      </c>
      <c r="AB10" s="773">
        <f t="shared" si="4"/>
        <v>0.93457943925233644</v>
      </c>
      <c r="AC10" s="773">
        <f t="shared" si="5"/>
        <v>0.93457943925233644</v>
      </c>
    </row>
    <row r="11" spans="1:30" ht="15">
      <c r="A11" s="428"/>
      <c r="B11" s="422" t="s">
        <v>2546</v>
      </c>
      <c r="C11" s="429">
        <f>'数据-汇总表'!I7</f>
        <v>3.52</v>
      </c>
      <c r="D11" s="136">
        <v>100</v>
      </c>
      <c r="E11" s="429">
        <v>2.5</v>
      </c>
      <c r="F11" s="136">
        <f>LOOKUP(E11,80:80,81:81)-LOOKUP(C11,80:80,81:81)+100</f>
        <v>106</v>
      </c>
      <c r="G11" s="430">
        <v>2.69</v>
      </c>
      <c r="H11" s="136">
        <f>LOOKUP(G11,80:80,81:81)-LOOKUP(C11,80:80,81:81)+100</f>
        <v>106</v>
      </c>
      <c r="I11" s="429">
        <v>2.11</v>
      </c>
      <c r="J11" s="136">
        <f>LOOKUP(I11,80:80,81:81)-LOOKUP(C11,80:80,81:81)+100</f>
        <v>106</v>
      </c>
      <c r="K11" s="673">
        <v>6</v>
      </c>
      <c r="L11" s="1138"/>
      <c r="M11" s="1131"/>
      <c r="N11" s="1131"/>
      <c r="O11" s="1139"/>
      <c r="P11" s="3238"/>
      <c r="Q11" s="1794" t="str">
        <f t="shared" si="6"/>
        <v>容积率</v>
      </c>
      <c r="R11" s="770" t="s">
        <v>17</v>
      </c>
      <c r="S11" s="771">
        <f t="shared" si="0"/>
        <v>106</v>
      </c>
      <c r="T11" s="770" t="s">
        <v>17</v>
      </c>
      <c r="U11" s="771">
        <f t="shared" si="1"/>
        <v>106</v>
      </c>
      <c r="V11" s="770" t="s">
        <v>17</v>
      </c>
      <c r="W11" s="771">
        <f t="shared" si="2"/>
        <v>106</v>
      </c>
      <c r="X11" s="772"/>
      <c r="Y11" s="3075"/>
      <c r="Z11" s="55" t="str">
        <f t="shared" si="7"/>
        <v>容积率</v>
      </c>
      <c r="AA11" s="773">
        <f t="shared" si="3"/>
        <v>0.94339622641509435</v>
      </c>
      <c r="AB11" s="773">
        <f t="shared" si="4"/>
        <v>0.94339622641509435</v>
      </c>
      <c r="AC11" s="773">
        <f t="shared" si="5"/>
        <v>0.94339622641509435</v>
      </c>
    </row>
    <row r="12" spans="1:30" s="117" customFormat="1" ht="15">
      <c r="A12" s="431"/>
      <c r="B12" s="2988" t="s">
        <v>3392</v>
      </c>
      <c r="C12" s="432">
        <v>0</v>
      </c>
      <c r="D12" s="433">
        <v>100</v>
      </c>
      <c r="E12" s="465" t="s">
        <v>3393</v>
      </c>
      <c r="F12" s="136">
        <f>SUMIF(82:82,E12,83:83)-SUMIF(82:82,C12,83:83)+100</f>
        <v>95</v>
      </c>
      <c r="G12" s="465" t="s">
        <v>3393</v>
      </c>
      <c r="H12" s="136">
        <f>SUMIF(82:82,G12,83:83)-SUMIF(82:82,C12,83:83)+100</f>
        <v>95</v>
      </c>
      <c r="I12" s="465" t="s">
        <v>3393</v>
      </c>
      <c r="J12" s="136">
        <f>SUMIF(82:82,I12,83:83)-SUMIF(82:82,C12,83:83)+100</f>
        <v>95</v>
      </c>
      <c r="K12" s="672"/>
      <c r="L12" s="1132"/>
      <c r="M12" s="1133"/>
      <c r="N12" s="1133"/>
      <c r="O12" s="1134"/>
      <c r="P12" s="3238"/>
      <c r="Q12" s="1794" t="str">
        <f t="shared" si="6"/>
        <v>配建</v>
      </c>
      <c r="R12" s="770" t="s">
        <v>17</v>
      </c>
      <c r="S12" s="771">
        <f t="shared" si="0"/>
        <v>95</v>
      </c>
      <c r="T12" s="770" t="s">
        <v>17</v>
      </c>
      <c r="U12" s="771">
        <f t="shared" si="1"/>
        <v>95</v>
      </c>
      <c r="V12" s="770" t="s">
        <v>17</v>
      </c>
      <c r="W12" s="771">
        <f t="shared" si="2"/>
        <v>95</v>
      </c>
      <c r="X12" s="772"/>
      <c r="Y12" s="3075"/>
      <c r="Z12" s="55" t="str">
        <f t="shared" si="7"/>
        <v>配建</v>
      </c>
      <c r="AA12" s="773">
        <f>D12/F12</f>
        <v>1.0526315789473684</v>
      </c>
      <c r="AB12" s="773">
        <f>D12/H12</f>
        <v>1.0526315789473684</v>
      </c>
      <c r="AC12" s="773">
        <f>D12/J12</f>
        <v>1.0526315789473684</v>
      </c>
    </row>
    <row r="13" spans="1:30" ht="15">
      <c r="A13" s="428"/>
      <c r="B13" s="2988" t="s">
        <v>3477</v>
      </c>
      <c r="C13" s="465" t="str">
        <f>C84</f>
        <v>0-10%（含）</v>
      </c>
      <c r="D13" s="435">
        <v>100</v>
      </c>
      <c r="E13" s="465" t="str">
        <f>C84</f>
        <v>0-10%（含）</v>
      </c>
      <c r="F13" s="136">
        <f>SUMIF(84:84,E13,85:85)-SUMIF(84:84,C13,85:85)+100</f>
        <v>100</v>
      </c>
      <c r="G13" s="465" t="str">
        <f>E13</f>
        <v>0-10%（含）</v>
      </c>
      <c r="H13" s="435">
        <f>SUMIF(84:84,G13,85:85)-SUMIF(84:84,C13,85:85)+100</f>
        <v>100</v>
      </c>
      <c r="I13" s="465" t="str">
        <f>E13</f>
        <v>0-10%（含）</v>
      </c>
      <c r="J13" s="435">
        <f>SUMIF(84:84,I13,85:85)-SUMIF(84:84,C13,85:85)+100</f>
        <v>100</v>
      </c>
      <c r="K13" s="672"/>
      <c r="L13" s="1140"/>
      <c r="M13" s="1131"/>
      <c r="N13" s="1131"/>
      <c r="O13" s="1139"/>
      <c r="P13" s="3238"/>
      <c r="Q13" s="1794" t="str">
        <f t="shared" si="6"/>
        <v>商业占比</v>
      </c>
      <c r="R13" s="770" t="s">
        <v>17</v>
      </c>
      <c r="S13" s="771">
        <f t="shared" si="0"/>
        <v>100</v>
      </c>
      <c r="T13" s="770" t="s">
        <v>17</v>
      </c>
      <c r="U13" s="771">
        <f t="shared" si="1"/>
        <v>100</v>
      </c>
      <c r="V13" s="770" t="s">
        <v>17</v>
      </c>
      <c r="W13" s="771">
        <f t="shared" si="2"/>
        <v>100</v>
      </c>
      <c r="X13" s="772"/>
      <c r="Y13" s="3075"/>
      <c r="Z13" s="55" t="str">
        <f t="shared" si="7"/>
        <v>商业占比</v>
      </c>
      <c r="AA13" s="773">
        <f>D13/F13</f>
        <v>1</v>
      </c>
      <c r="AB13" s="773">
        <f>D13/H13</f>
        <v>1</v>
      </c>
      <c r="AC13" s="773">
        <f>D13/J13</f>
        <v>1</v>
      </c>
    </row>
    <row r="14" spans="1:30" ht="15.75" thickBot="1">
      <c r="A14" s="436"/>
      <c r="B14" s="2600"/>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8"/>
      <c r="Q14" s="1794">
        <f t="shared" si="6"/>
        <v>0</v>
      </c>
      <c r="R14" s="770" t="s">
        <v>17</v>
      </c>
      <c r="S14" s="771">
        <f t="shared" si="0"/>
        <v>100</v>
      </c>
      <c r="T14" s="770" t="s">
        <v>17</v>
      </c>
      <c r="U14" s="771">
        <f t="shared" si="1"/>
        <v>100</v>
      </c>
      <c r="V14" s="770" t="s">
        <v>17</v>
      </c>
      <c r="W14" s="771">
        <f t="shared" si="2"/>
        <v>100</v>
      </c>
      <c r="X14" s="772"/>
      <c r="Y14" s="3075"/>
      <c r="Z14" s="55">
        <f t="shared" si="7"/>
        <v>0</v>
      </c>
      <c r="AA14" s="773">
        <f>D14/F14</f>
        <v>1</v>
      </c>
      <c r="AB14" s="773">
        <f>D14/H14</f>
        <v>1</v>
      </c>
      <c r="AC14" s="773">
        <f>D14/J14</f>
        <v>1</v>
      </c>
    </row>
    <row r="15" spans="1:30" ht="99.75">
      <c r="A15" s="440" t="s">
        <v>2547</v>
      </c>
      <c r="B15" s="69" t="s">
        <v>2076</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97</v>
      </c>
      <c r="I15" s="444"/>
      <c r="J15" s="441">
        <f>SUMIF(88:88,I16,89:89)-SUMIF(88:88,C16,89:89)+100</f>
        <v>100</v>
      </c>
      <c r="K15" s="673">
        <v>3</v>
      </c>
      <c r="L15" s="1140"/>
      <c r="M15" s="1131"/>
      <c r="N15" s="1131"/>
      <c r="O15" s="1139"/>
      <c r="P15" s="3240" t="s">
        <v>2548</v>
      </c>
      <c r="Q15" s="1809" t="str">
        <f t="shared" si="6"/>
        <v>居住社区成熟度</v>
      </c>
      <c r="R15" s="774" t="s">
        <v>17</v>
      </c>
      <c r="S15" s="775">
        <f t="shared" si="0"/>
        <v>100</v>
      </c>
      <c r="T15" s="774" t="s">
        <v>17</v>
      </c>
      <c r="U15" s="775">
        <f t="shared" si="1"/>
        <v>97</v>
      </c>
      <c r="V15" s="774" t="s">
        <v>17</v>
      </c>
      <c r="W15" s="775">
        <f t="shared" si="2"/>
        <v>100</v>
      </c>
      <c r="X15" s="1812"/>
      <c r="Y15" s="3240" t="s">
        <v>2548</v>
      </c>
      <c r="Z15" s="1813" t="str">
        <f t="shared" si="7"/>
        <v>居住社区成熟度</v>
      </c>
      <c r="AA15" s="1810">
        <f t="shared" si="3"/>
        <v>1</v>
      </c>
      <c r="AB15" s="1810">
        <f t="shared" si="4"/>
        <v>1.0309278350515463</v>
      </c>
      <c r="AC15" s="1810">
        <f t="shared" si="5"/>
        <v>1</v>
      </c>
    </row>
    <row r="16" spans="1:30" ht="15">
      <c r="A16" s="428"/>
      <c r="B16" s="446"/>
      <c r="C16" s="447" t="s">
        <v>3343</v>
      </c>
      <c r="D16" s="448"/>
      <c r="E16" s="447" t="s">
        <v>3343</v>
      </c>
      <c r="F16" s="448"/>
      <c r="G16" s="447" t="s">
        <v>3388</v>
      </c>
      <c r="H16" s="450"/>
      <c r="I16" s="447" t="s">
        <v>3343</v>
      </c>
      <c r="J16" s="448"/>
      <c r="K16" s="672"/>
      <c r="L16" s="1140"/>
      <c r="M16" s="1131"/>
      <c r="N16" s="1131"/>
      <c r="O16" s="1139"/>
      <c r="P16" s="3241"/>
      <c r="Q16" s="1809"/>
      <c r="R16" s="774"/>
      <c r="S16" s="775"/>
      <c r="T16" s="774"/>
      <c r="U16" s="775"/>
      <c r="V16" s="774"/>
      <c r="W16" s="775"/>
      <c r="X16" s="1812"/>
      <c r="Y16" s="3241"/>
      <c r="Z16" s="1813"/>
      <c r="AA16" s="1810">
        <v>1</v>
      </c>
      <c r="AB16" s="1810">
        <v>1</v>
      </c>
      <c r="AC16" s="1810">
        <v>1</v>
      </c>
    </row>
    <row r="17" spans="1:29" ht="71.25">
      <c r="A17" s="428"/>
      <c r="B17" s="451" t="s">
        <v>2641</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41"/>
      <c r="Q17" s="1809" t="str">
        <f>B17</f>
        <v>商业繁华度</v>
      </c>
      <c r="R17" s="774" t="s">
        <v>17</v>
      </c>
      <c r="S17" s="775">
        <f>F17</f>
        <v>100</v>
      </c>
      <c r="T17" s="774" t="s">
        <v>17</v>
      </c>
      <c r="U17" s="775">
        <f>H17</f>
        <v>100</v>
      </c>
      <c r="V17" s="774" t="s">
        <v>17</v>
      </c>
      <c r="W17" s="775">
        <f>J17</f>
        <v>100</v>
      </c>
      <c r="X17" s="1812"/>
      <c r="Y17" s="3241"/>
      <c r="Z17" s="1813" t="str">
        <f>Q17</f>
        <v>商业繁华度</v>
      </c>
      <c r="AA17" s="1810">
        <f t="shared" si="3"/>
        <v>1</v>
      </c>
      <c r="AB17" s="1810">
        <f t="shared" si="4"/>
        <v>1</v>
      </c>
      <c r="AC17" s="1810">
        <f t="shared" si="5"/>
        <v>1</v>
      </c>
    </row>
    <row r="18" spans="1:29" ht="15">
      <c r="A18" s="428"/>
      <c r="B18" s="456"/>
      <c r="C18" s="2606" t="s">
        <v>3388</v>
      </c>
      <c r="D18" s="450"/>
      <c r="E18" s="2606" t="s">
        <v>3388</v>
      </c>
      <c r="F18" s="450"/>
      <c r="G18" s="2606" t="s">
        <v>3388</v>
      </c>
      <c r="H18" s="448"/>
      <c r="I18" s="2606" t="s">
        <v>3388</v>
      </c>
      <c r="J18" s="448"/>
      <c r="K18" s="672"/>
      <c r="L18" s="1140"/>
      <c r="M18" s="1131"/>
      <c r="N18" s="1131"/>
      <c r="O18" s="1139"/>
      <c r="P18" s="3241"/>
      <c r="Q18" s="1809"/>
      <c r="R18" s="774"/>
      <c r="S18" s="775"/>
      <c r="T18" s="774"/>
      <c r="U18" s="775"/>
      <c r="V18" s="774"/>
      <c r="W18" s="775"/>
      <c r="X18" s="1812"/>
      <c r="Y18" s="3241"/>
      <c r="Z18" s="1813"/>
      <c r="AA18" s="1810">
        <v>1</v>
      </c>
      <c r="AB18" s="1810">
        <v>1</v>
      </c>
      <c r="AC18" s="1810">
        <v>1</v>
      </c>
    </row>
    <row r="19" spans="1:29" ht="71.25" hidden="1">
      <c r="A19" s="428"/>
      <c r="B19" s="451" t="s">
        <v>2675</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1"/>
      <c r="Q19" s="1809" t="str">
        <f>B19</f>
        <v>办公集聚程度</v>
      </c>
      <c r="R19" s="774" t="s">
        <v>17</v>
      </c>
      <c r="S19" s="775">
        <f>F19</f>
        <v>100</v>
      </c>
      <c r="T19" s="774" t="s">
        <v>17</v>
      </c>
      <c r="U19" s="775">
        <f>H19</f>
        <v>100</v>
      </c>
      <c r="V19" s="774" t="s">
        <v>17</v>
      </c>
      <c r="W19" s="775">
        <f>J19</f>
        <v>100</v>
      </c>
      <c r="X19" s="1812"/>
      <c r="Y19" s="3241"/>
      <c r="Z19" s="1813" t="str">
        <f>Q19</f>
        <v>办公集聚程度</v>
      </c>
      <c r="AA19" s="1810">
        <f t="shared" si="3"/>
        <v>1</v>
      </c>
      <c r="AB19" s="1810">
        <f t="shared" si="4"/>
        <v>1</v>
      </c>
      <c r="AC19" s="1810">
        <f t="shared" si="5"/>
        <v>1</v>
      </c>
    </row>
    <row r="20" spans="1:29" ht="15" hidden="1">
      <c r="A20" s="428"/>
      <c r="B20" s="456"/>
      <c r="C20" s="447"/>
      <c r="D20" s="448"/>
      <c r="E20" s="2603"/>
      <c r="F20" s="448"/>
      <c r="G20" s="2603"/>
      <c r="H20" s="448"/>
      <c r="I20" s="2602"/>
      <c r="J20" s="448"/>
      <c r="K20" s="672"/>
      <c r="L20" s="1140"/>
      <c r="M20" s="1131"/>
      <c r="N20" s="1131"/>
      <c r="O20" s="1139"/>
      <c r="P20" s="3241"/>
      <c r="Q20" s="1809"/>
      <c r="R20" s="774"/>
      <c r="S20" s="775"/>
      <c r="T20" s="774"/>
      <c r="U20" s="775"/>
      <c r="V20" s="774"/>
      <c r="W20" s="775"/>
      <c r="X20" s="1812"/>
      <c r="Y20" s="3241"/>
      <c r="Z20" s="1813"/>
      <c r="AA20" s="1810">
        <v>1</v>
      </c>
      <c r="AB20" s="1810">
        <v>1</v>
      </c>
      <c r="AC20" s="1810">
        <v>1</v>
      </c>
    </row>
    <row r="21" spans="1:29" ht="85.5">
      <c r="A21" s="428"/>
      <c r="B21" s="451" t="s">
        <v>2697</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40"/>
      <c r="M21" s="1131"/>
      <c r="N21" s="1131"/>
      <c r="O21" s="1139"/>
      <c r="P21" s="3241"/>
      <c r="Q21" s="1809" t="str">
        <f>B21</f>
        <v>交通便捷度</v>
      </c>
      <c r="R21" s="774" t="s">
        <v>17</v>
      </c>
      <c r="S21" s="775">
        <f>F21</f>
        <v>100</v>
      </c>
      <c r="T21" s="774" t="s">
        <v>17</v>
      </c>
      <c r="U21" s="775">
        <f>H21</f>
        <v>100</v>
      </c>
      <c r="V21" s="774" t="s">
        <v>17</v>
      </c>
      <c r="W21" s="775">
        <f>J21</f>
        <v>100</v>
      </c>
      <c r="X21" s="1812"/>
      <c r="Y21" s="3241"/>
      <c r="Z21" s="1813" t="str">
        <f>Q21</f>
        <v>交通便捷度</v>
      </c>
      <c r="AA21" s="1810">
        <f t="shared" si="3"/>
        <v>1</v>
      </c>
      <c r="AB21" s="1810">
        <f t="shared" si="4"/>
        <v>1</v>
      </c>
      <c r="AC21" s="1810">
        <f t="shared" si="5"/>
        <v>1</v>
      </c>
    </row>
    <row r="22" spans="1:29" ht="15">
      <c r="A22" s="428"/>
      <c r="B22" s="1384"/>
      <c r="C22" s="447" t="s">
        <v>3343</v>
      </c>
      <c r="D22" s="450"/>
      <c r="E22" s="447" t="s">
        <v>3343</v>
      </c>
      <c r="F22" s="448"/>
      <c r="G22" s="447" t="s">
        <v>3343</v>
      </c>
      <c r="H22" s="448"/>
      <c r="I22" s="447" t="s">
        <v>3343</v>
      </c>
      <c r="J22" s="448"/>
      <c r="K22" s="672"/>
      <c r="L22" s="1140"/>
      <c r="M22" s="1131"/>
      <c r="N22" s="1131"/>
      <c r="O22" s="1139"/>
      <c r="P22" s="3241"/>
      <c r="Q22" s="1809"/>
      <c r="R22" s="774"/>
      <c r="S22" s="775"/>
      <c r="T22" s="774"/>
      <c r="U22" s="775"/>
      <c r="V22" s="774"/>
      <c r="W22" s="775"/>
      <c r="X22" s="1812"/>
      <c r="Y22" s="3241"/>
      <c r="Z22" s="1813"/>
      <c r="AA22" s="1810">
        <v>1</v>
      </c>
      <c r="AB22" s="1810">
        <v>1</v>
      </c>
      <c r="AC22" s="1810">
        <v>1</v>
      </c>
    </row>
    <row r="23" spans="1:29" ht="15">
      <c r="A23" s="404"/>
      <c r="B23" s="451" t="s">
        <v>2735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0"/>
      <c r="M23" s="1131"/>
      <c r="N23" s="1131"/>
      <c r="O23" s="1139"/>
      <c r="P23" s="3241"/>
      <c r="Q23" s="1809" t="str">
        <f t="shared" ref="Q23:Q37" si="8">B23</f>
        <v>区域土地利用方向</v>
      </c>
      <c r="R23" s="774" t="s">
        <v>17</v>
      </c>
      <c r="S23" s="775">
        <f>F23</f>
        <v>100</v>
      </c>
      <c r="T23" s="774" t="s">
        <v>17</v>
      </c>
      <c r="U23" s="775">
        <f>H23</f>
        <v>100</v>
      </c>
      <c r="V23" s="774" t="s">
        <v>17</v>
      </c>
      <c r="W23" s="775">
        <f>J23</f>
        <v>100</v>
      </c>
      <c r="X23" s="1812"/>
      <c r="Y23" s="3241"/>
      <c r="Z23" s="1813" t="str">
        <f>Q23</f>
        <v>区域土地利用方向</v>
      </c>
      <c r="AA23" s="1810">
        <f t="shared" si="3"/>
        <v>1</v>
      </c>
      <c r="AB23" s="1810">
        <f t="shared" si="4"/>
        <v>1</v>
      </c>
      <c r="AC23" s="1810">
        <f t="shared" si="5"/>
        <v>1</v>
      </c>
    </row>
    <row r="24" spans="1:29" ht="15">
      <c r="A24" s="404"/>
      <c r="B24" s="456"/>
      <c r="C24" s="616" t="s">
        <v>3343</v>
      </c>
      <c r="D24" s="448"/>
      <c r="E24" s="616" t="s">
        <v>3343</v>
      </c>
      <c r="F24" s="448"/>
      <c r="G24" s="616" t="s">
        <v>3343</v>
      </c>
      <c r="H24" s="448"/>
      <c r="I24" s="616" t="s">
        <v>3343</v>
      </c>
      <c r="J24" s="448"/>
      <c r="K24" s="812"/>
      <c r="L24" s="1140"/>
      <c r="M24" s="1131"/>
      <c r="N24" s="1131"/>
      <c r="O24" s="1139"/>
      <c r="P24" s="3241"/>
      <c r="Q24" s="1809"/>
      <c r="R24" s="774"/>
      <c r="S24" s="775"/>
      <c r="T24" s="774"/>
      <c r="U24" s="775"/>
      <c r="V24" s="774"/>
      <c r="W24" s="775"/>
      <c r="X24" s="1812"/>
      <c r="Y24" s="3241"/>
      <c r="Z24" s="1813"/>
      <c r="AA24" s="1810"/>
      <c r="AB24" s="1810"/>
      <c r="AC24" s="1810"/>
    </row>
    <row r="25" spans="1:29" ht="57">
      <c r="A25" s="404"/>
      <c r="B25" s="1384" t="s">
        <v>2736</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3</v>
      </c>
      <c r="L25" s="1140"/>
      <c r="M25" s="1131"/>
      <c r="N25" s="1131"/>
      <c r="O25" s="1139"/>
      <c r="P25" s="3241"/>
      <c r="Q25" s="1809" t="str">
        <f t="shared" si="8"/>
        <v>自然及人文环境状况</v>
      </c>
      <c r="R25" s="774" t="s">
        <v>17</v>
      </c>
      <c r="S25" s="775">
        <f>F25</f>
        <v>100</v>
      </c>
      <c r="T25" s="774" t="s">
        <v>17</v>
      </c>
      <c r="U25" s="775">
        <f>H25</f>
        <v>100</v>
      </c>
      <c r="V25" s="774" t="s">
        <v>17</v>
      </c>
      <c r="W25" s="775">
        <f>J25</f>
        <v>100</v>
      </c>
      <c r="X25" s="1812"/>
      <c r="Y25" s="3241"/>
      <c r="Z25" s="1813" t="str">
        <f>Q25</f>
        <v>自然及人文环境状况</v>
      </c>
      <c r="AA25" s="1810">
        <f t="shared" si="3"/>
        <v>1</v>
      </c>
      <c r="AB25" s="1810">
        <f t="shared" si="4"/>
        <v>1</v>
      </c>
      <c r="AC25" s="1810">
        <f t="shared" si="5"/>
        <v>1</v>
      </c>
    </row>
    <row r="26" spans="1:29" ht="15">
      <c r="A26" s="404"/>
      <c r="B26" s="456"/>
      <c r="C26" s="447" t="s">
        <v>3343</v>
      </c>
      <c r="D26" s="448"/>
      <c r="E26" s="447" t="s">
        <v>3343</v>
      </c>
      <c r="F26" s="448"/>
      <c r="G26" s="447" t="s">
        <v>3343</v>
      </c>
      <c r="H26" s="448"/>
      <c r="I26" s="447" t="s">
        <v>3343</v>
      </c>
      <c r="J26" s="448"/>
      <c r="K26" s="672"/>
      <c r="L26" s="1140"/>
      <c r="M26" s="1131"/>
      <c r="N26" s="1131"/>
      <c r="O26" s="1139"/>
      <c r="P26" s="3241"/>
      <c r="Q26" s="1809"/>
      <c r="R26" s="774"/>
      <c r="S26" s="775"/>
      <c r="T26" s="774"/>
      <c r="U26" s="775"/>
      <c r="V26" s="774"/>
      <c r="W26" s="775"/>
      <c r="X26" s="1812"/>
      <c r="Y26" s="3241"/>
      <c r="Z26" s="1813"/>
      <c r="AA26" s="1810">
        <v>1</v>
      </c>
      <c r="AB26" s="1810">
        <v>1</v>
      </c>
      <c r="AC26" s="1810">
        <v>1</v>
      </c>
    </row>
    <row r="27" spans="1:29" s="117" customFormat="1" ht="42.75">
      <c r="A27" s="649"/>
      <c r="B27" s="1384" t="s">
        <v>2642</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97</v>
      </c>
      <c r="I27" s="454"/>
      <c r="J27" s="450">
        <f>SUMIF(100:100,I28,101:101)-SUMIF(100:100,C28,101:101)+100</f>
        <v>100</v>
      </c>
      <c r="K27" s="673">
        <v>3</v>
      </c>
      <c r="L27" s="1132"/>
      <c r="M27" s="1133"/>
      <c r="N27" s="1133"/>
      <c r="O27" s="1134"/>
      <c r="P27" s="3241"/>
      <c r="Q27" s="1794" t="str">
        <f t="shared" si="8"/>
        <v>公共配套设施</v>
      </c>
      <c r="R27" s="770" t="s">
        <v>17</v>
      </c>
      <c r="S27" s="771">
        <f>F27</f>
        <v>100</v>
      </c>
      <c r="T27" s="770" t="s">
        <v>17</v>
      </c>
      <c r="U27" s="771">
        <f>H27</f>
        <v>97</v>
      </c>
      <c r="V27" s="770" t="s">
        <v>17</v>
      </c>
      <c r="W27" s="771">
        <f>J27</f>
        <v>100</v>
      </c>
      <c r="X27" s="772"/>
      <c r="Y27" s="3241"/>
      <c r="Z27" s="55" t="str">
        <f>Q27</f>
        <v>公共配套设施</v>
      </c>
      <c r="AA27" s="1810">
        <f>D27/F27</f>
        <v>1</v>
      </c>
      <c r="AB27" s="1810">
        <f>D27/H27</f>
        <v>1.0309278350515463</v>
      </c>
      <c r="AC27" s="1810">
        <f>D27/J27</f>
        <v>1</v>
      </c>
    </row>
    <row r="28" spans="1:29" s="117" customFormat="1" ht="15">
      <c r="A28" s="649"/>
      <c r="B28" s="456"/>
      <c r="C28" s="2696" t="s">
        <v>3343</v>
      </c>
      <c r="D28" s="448"/>
      <c r="E28" s="2696" t="s">
        <v>3343</v>
      </c>
      <c r="F28" s="448"/>
      <c r="G28" s="2696" t="s">
        <v>3388</v>
      </c>
      <c r="H28" s="448"/>
      <c r="I28" s="2696" t="s">
        <v>3343</v>
      </c>
      <c r="J28" s="448"/>
      <c r="K28" s="672"/>
      <c r="L28" s="1132"/>
      <c r="M28" s="1133"/>
      <c r="N28" s="1133"/>
      <c r="O28" s="1134"/>
      <c r="P28" s="3241"/>
      <c r="Q28" s="1794"/>
      <c r="R28" s="770"/>
      <c r="S28" s="771"/>
      <c r="T28" s="770"/>
      <c r="U28" s="771"/>
      <c r="V28" s="770"/>
      <c r="W28" s="771"/>
      <c r="X28" s="772"/>
      <c r="Y28" s="3241"/>
      <c r="Z28" s="55"/>
      <c r="AA28" s="1810">
        <v>1</v>
      </c>
      <c r="AB28" s="1810">
        <v>1</v>
      </c>
      <c r="AC28" s="1810">
        <v>1</v>
      </c>
    </row>
    <row r="29" spans="1:29" s="117" customFormat="1" ht="28.5">
      <c r="A29" s="649"/>
      <c r="B29" s="1384" t="s">
        <v>2643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41"/>
      <c r="Q29" s="1794" t="str">
        <f t="shared" ref="Q29" si="9">B29</f>
        <v>基础设施水平</v>
      </c>
      <c r="R29" s="770" t="s">
        <v>17</v>
      </c>
      <c r="S29" s="771">
        <f>F29</f>
        <v>100</v>
      </c>
      <c r="T29" s="770" t="s">
        <v>17</v>
      </c>
      <c r="U29" s="771">
        <f>H29</f>
        <v>100</v>
      </c>
      <c r="V29" s="770" t="s">
        <v>17</v>
      </c>
      <c r="W29" s="771">
        <f>J29</f>
        <v>100</v>
      </c>
      <c r="X29" s="772"/>
      <c r="Y29" s="3241"/>
      <c r="Z29" s="55" t="str">
        <f>Q29</f>
        <v>基础设施水平</v>
      </c>
      <c r="AA29" s="1810">
        <f>D29/F29</f>
        <v>1</v>
      </c>
      <c r="AB29" s="1810">
        <f>D29/H29</f>
        <v>1</v>
      </c>
      <c r="AC29" s="1810">
        <f>D29/J29</f>
        <v>1</v>
      </c>
    </row>
    <row r="30" spans="1:29" s="117" customFormat="1" ht="15">
      <c r="A30" s="649"/>
      <c r="B30" s="456"/>
      <c r="C30" s="2696" t="s">
        <v>3326</v>
      </c>
      <c r="D30" s="448"/>
      <c r="E30" s="2696" t="s">
        <v>3326</v>
      </c>
      <c r="F30" s="448"/>
      <c r="G30" s="2696" t="s">
        <v>3326</v>
      </c>
      <c r="H30" s="448"/>
      <c r="I30" s="2696" t="s">
        <v>3326</v>
      </c>
      <c r="J30" s="448"/>
      <c r="K30" s="672"/>
      <c r="L30" s="1132"/>
      <c r="M30" s="1133"/>
      <c r="N30" s="1133"/>
      <c r="O30" s="1134"/>
      <c r="P30" s="3241"/>
      <c r="Q30" s="1794"/>
      <c r="R30" s="770"/>
      <c r="S30" s="771"/>
      <c r="T30" s="770"/>
      <c r="U30" s="771"/>
      <c r="V30" s="770"/>
      <c r="W30" s="771"/>
      <c r="X30" s="772"/>
      <c r="Y30" s="3241"/>
      <c r="Z30" s="55"/>
      <c r="AA30" s="1810">
        <v>1</v>
      </c>
      <c r="AB30" s="1810">
        <v>1</v>
      </c>
      <c r="AC30" s="1810">
        <v>1</v>
      </c>
    </row>
    <row r="31" spans="1:29" ht="15" hidden="1">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41"/>
      <c r="Z31" s="1813" t="str">
        <f t="shared" ref="Z31:Z45" si="13">Q31</f>
        <v>临街状况</v>
      </c>
      <c r="AA31" s="1810">
        <f t="shared" si="3"/>
        <v>1</v>
      </c>
      <c r="AB31" s="1810">
        <f t="shared" si="4"/>
        <v>1</v>
      </c>
      <c r="AC31" s="1810">
        <f t="shared" si="5"/>
        <v>1</v>
      </c>
    </row>
    <row r="32" spans="1:29" ht="27">
      <c r="A32" s="428"/>
      <c r="B32" s="1384" t="s">
        <v>2679</v>
      </c>
      <c r="C32" s="2994" t="s">
        <v>3404</v>
      </c>
      <c r="D32" s="450">
        <v>100</v>
      </c>
      <c r="E32" s="2993" t="s">
        <v>3402</v>
      </c>
      <c r="F32" s="450">
        <f>SUMIF(106:106,E33,107:107)-SUMIF(106:106,C33,107:107)+100</f>
        <v>100</v>
      </c>
      <c r="G32" s="2993" t="s">
        <v>3403</v>
      </c>
      <c r="H32" s="450">
        <f>SUMIF(106:106,G33,107:107)-SUMIF(106:106,C33,107:107)+100</f>
        <v>100</v>
      </c>
      <c r="I32" s="2993" t="s">
        <v>3402</v>
      </c>
      <c r="J32" s="450">
        <f>SUMIF(106:106,I33,107:107)-SUMIF(106:106,C33,107:107)+100</f>
        <v>100</v>
      </c>
      <c r="K32" s="673">
        <v>2</v>
      </c>
      <c r="L32" s="1140"/>
      <c r="M32" s="1131"/>
      <c r="N32" s="1131"/>
      <c r="O32" s="1139"/>
      <c r="P32" s="3241"/>
      <c r="Q32" s="1809" t="str">
        <f t="shared" si="8"/>
        <v>毗邻道路的类型与等级</v>
      </c>
      <c r="R32" s="774" t="s">
        <v>17</v>
      </c>
      <c r="S32" s="775">
        <f t="shared" si="10"/>
        <v>100</v>
      </c>
      <c r="T32" s="774" t="s">
        <v>17</v>
      </c>
      <c r="U32" s="775">
        <f t="shared" si="11"/>
        <v>100</v>
      </c>
      <c r="V32" s="774" t="s">
        <v>17</v>
      </c>
      <c r="W32" s="775">
        <f t="shared" si="12"/>
        <v>100</v>
      </c>
      <c r="X32" s="1812"/>
      <c r="Y32" s="3241"/>
      <c r="Z32" s="1813" t="str">
        <f t="shared" si="13"/>
        <v>毗邻道路的类型与等级</v>
      </c>
      <c r="AA32" s="1810">
        <f t="shared" si="3"/>
        <v>1</v>
      </c>
      <c r="AB32" s="1810">
        <f t="shared" si="4"/>
        <v>1</v>
      </c>
      <c r="AC32" s="1810">
        <f t="shared" si="5"/>
        <v>1</v>
      </c>
    </row>
    <row r="33" spans="1:29" ht="15.75" thickBot="1">
      <c r="A33" s="428"/>
      <c r="B33" s="456"/>
      <c r="C33" s="447" t="s">
        <v>3409</v>
      </c>
      <c r="D33" s="448"/>
      <c r="E33" s="447" t="s">
        <v>3409</v>
      </c>
      <c r="F33" s="448"/>
      <c r="G33" s="2995" t="s">
        <v>3409</v>
      </c>
      <c r="H33" s="448"/>
      <c r="I33" s="447" t="s">
        <v>3409</v>
      </c>
      <c r="J33" s="448"/>
      <c r="K33" s="613"/>
      <c r="L33" s="1140"/>
      <c r="M33" s="1131"/>
      <c r="N33" s="1131"/>
      <c r="O33" s="1139"/>
      <c r="P33" s="3241"/>
      <c r="Q33" s="1809"/>
      <c r="R33" s="774"/>
      <c r="S33" s="775"/>
      <c r="T33" s="774"/>
      <c r="U33" s="775"/>
      <c r="V33" s="774"/>
      <c r="W33" s="775"/>
      <c r="X33" s="1812"/>
      <c r="Y33" s="3241"/>
      <c r="Z33" s="1813"/>
      <c r="AA33" s="1810">
        <v>1</v>
      </c>
      <c r="AB33" s="1810">
        <v>1</v>
      </c>
      <c r="AC33" s="1810">
        <v>1</v>
      </c>
    </row>
    <row r="34" spans="1:29" ht="15" hidden="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1"/>
      <c r="Q34" s="1809" t="str">
        <f t="shared" si="8"/>
        <v>土地级别</v>
      </c>
      <c r="R34" s="774" t="s">
        <v>17</v>
      </c>
      <c r="S34" s="775">
        <f t="shared" si="10"/>
        <v>100</v>
      </c>
      <c r="T34" s="774" t="s">
        <v>17</v>
      </c>
      <c r="U34" s="775">
        <f t="shared" si="11"/>
        <v>100</v>
      </c>
      <c r="V34" s="774" t="s">
        <v>17</v>
      </c>
      <c r="W34" s="775">
        <f t="shared" si="12"/>
        <v>100</v>
      </c>
      <c r="X34" s="1812"/>
      <c r="Y34" s="3241"/>
      <c r="Z34" s="1813" t="str">
        <f t="shared" si="13"/>
        <v>土地级别</v>
      </c>
      <c r="AA34" s="1810">
        <f t="shared" si="3"/>
        <v>1</v>
      </c>
      <c r="AB34" s="1810">
        <f t="shared" si="4"/>
        <v>1</v>
      </c>
      <c r="AC34" s="1810">
        <f t="shared" si="5"/>
        <v>1</v>
      </c>
    </row>
    <row r="35" spans="1:29" ht="15" hidden="1">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1"/>
      <c r="Q35" s="1809">
        <f t="shared" si="8"/>
        <v>0</v>
      </c>
      <c r="R35" s="774" t="s">
        <v>17</v>
      </c>
      <c r="S35" s="775">
        <f t="shared" si="10"/>
        <v>100</v>
      </c>
      <c r="T35" s="774" t="s">
        <v>17</v>
      </c>
      <c r="U35" s="775">
        <f t="shared" si="11"/>
        <v>100</v>
      </c>
      <c r="V35" s="774" t="s">
        <v>17</v>
      </c>
      <c r="W35" s="775">
        <f t="shared" si="12"/>
        <v>100</v>
      </c>
      <c r="X35" s="1812"/>
      <c r="Y35" s="3241"/>
      <c r="Z35" s="1813">
        <f t="shared" si="13"/>
        <v>0</v>
      </c>
      <c r="AA35" s="1810">
        <f t="shared" si="3"/>
        <v>1</v>
      </c>
      <c r="AB35" s="1810">
        <f t="shared" si="4"/>
        <v>1</v>
      </c>
      <c r="AC35" s="1810">
        <f t="shared" si="5"/>
        <v>1</v>
      </c>
    </row>
    <row r="36" spans="1:29" ht="15" hidden="1">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2" t="s">
        <v>2553</v>
      </c>
      <c r="Q36" s="1809">
        <f t="shared" si="8"/>
        <v>0</v>
      </c>
      <c r="R36" s="774" t="s">
        <v>17</v>
      </c>
      <c r="S36" s="775">
        <f t="shared" si="10"/>
        <v>100</v>
      </c>
      <c r="T36" s="774" t="s">
        <v>17</v>
      </c>
      <c r="U36" s="775">
        <f t="shared" si="11"/>
        <v>100</v>
      </c>
      <c r="V36" s="774" t="s">
        <v>17</v>
      </c>
      <c r="W36" s="775">
        <f t="shared" si="12"/>
        <v>100</v>
      </c>
      <c r="X36" s="1812"/>
      <c r="Y36" s="3243" t="s">
        <v>2553</v>
      </c>
      <c r="Z36" s="1813">
        <f t="shared" si="13"/>
        <v>0</v>
      </c>
      <c r="AA36" s="1810">
        <f t="shared" si="3"/>
        <v>1</v>
      </c>
      <c r="AB36" s="1810">
        <f t="shared" si="4"/>
        <v>1</v>
      </c>
      <c r="AC36" s="1810">
        <f t="shared" si="5"/>
        <v>1</v>
      </c>
    </row>
    <row r="37" spans="1:29" s="471" customFormat="1" ht="15.75" hidden="1"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3"/>
      <c r="Q37" s="1809">
        <f t="shared" si="8"/>
        <v>0</v>
      </c>
      <c r="R37" s="777" t="s">
        <v>17</v>
      </c>
      <c r="S37" s="778">
        <f t="shared" si="10"/>
        <v>100</v>
      </c>
      <c r="T37" s="777" t="s">
        <v>17</v>
      </c>
      <c r="U37" s="778">
        <f t="shared" si="11"/>
        <v>100</v>
      </c>
      <c r="V37" s="777" t="s">
        <v>17</v>
      </c>
      <c r="W37" s="778">
        <f t="shared" si="12"/>
        <v>100</v>
      </c>
      <c r="X37" s="779"/>
      <c r="Y37" s="3243"/>
      <c r="Z37" s="780">
        <f t="shared" si="13"/>
        <v>0</v>
      </c>
      <c r="AA37" s="1810">
        <f t="shared" si="3"/>
        <v>1</v>
      </c>
      <c r="AB37" s="1810">
        <f t="shared" si="4"/>
        <v>1</v>
      </c>
      <c r="AC37" s="1810">
        <f t="shared" si="5"/>
        <v>1</v>
      </c>
    </row>
    <row r="38" spans="1:29" ht="15">
      <c r="A38" s="472" t="s">
        <v>2551</v>
      </c>
      <c r="B38" s="456" t="s">
        <v>2738</v>
      </c>
      <c r="C38" s="679">
        <f>'数据-汇总表'!D3</f>
        <v>72072.02</v>
      </c>
      <c r="D38" s="467">
        <v>100</v>
      </c>
      <c r="E38" s="679">
        <f>土地案例!I18</f>
        <v>29719.56</v>
      </c>
      <c r="F38" s="467">
        <f>LOOKUP(E38,117:117,118:118)-LOOKUP(C38,117:117,118:118)+100</f>
        <v>100</v>
      </c>
      <c r="G38" s="679">
        <f>土地案例!I19</f>
        <v>106456.1</v>
      </c>
      <c r="H38" s="467">
        <f>LOOKUP(G38,117:117,118:118)-LOOKUP(C38,117:117,118:118)+100</f>
        <v>100</v>
      </c>
      <c r="I38" s="530">
        <f>土地案例!I20</f>
        <v>33063.120000000003</v>
      </c>
      <c r="J38" s="467">
        <f>LOOKUP(I38,117:117,118:118)-LOOKUP(C38,117:117,118:118)+100</f>
        <v>100</v>
      </c>
      <c r="K38" s="613"/>
      <c r="L38" s="1140"/>
      <c r="M38" s="1131"/>
      <c r="N38" s="1131"/>
      <c r="O38" s="1139"/>
      <c r="P38" s="3243"/>
      <c r="Q38" s="1809" t="str">
        <f>B38</f>
        <v>宗地面积</v>
      </c>
      <c r="R38" s="774" t="s">
        <v>17</v>
      </c>
      <c r="S38" s="775">
        <f t="shared" si="10"/>
        <v>100</v>
      </c>
      <c r="T38" s="774" t="s">
        <v>17</v>
      </c>
      <c r="U38" s="775">
        <f t="shared" si="11"/>
        <v>100</v>
      </c>
      <c r="V38" s="774" t="s">
        <v>17</v>
      </c>
      <c r="W38" s="775">
        <f t="shared" si="12"/>
        <v>100</v>
      </c>
      <c r="X38" s="1812"/>
      <c r="Y38" s="3243"/>
      <c r="Z38" s="1813" t="str">
        <f t="shared" si="13"/>
        <v>宗地面积</v>
      </c>
      <c r="AA38" s="1810">
        <f t="shared" si="3"/>
        <v>1</v>
      </c>
      <c r="AB38" s="1810">
        <f t="shared" si="4"/>
        <v>1</v>
      </c>
      <c r="AC38" s="1810">
        <f t="shared" si="5"/>
        <v>1</v>
      </c>
    </row>
    <row r="39" spans="1:29" ht="15">
      <c r="A39" s="472"/>
      <c r="B39" s="422" t="s">
        <v>2739</v>
      </c>
      <c r="C39" s="2611" t="s">
        <v>3411</v>
      </c>
      <c r="D39" s="435">
        <v>100</v>
      </c>
      <c r="E39" s="2611" t="s">
        <v>3411</v>
      </c>
      <c r="F39" s="435">
        <f>SUMIF(119:119,E39,120:120)-SUMIF(119:119,C39,120:120)+100</f>
        <v>100</v>
      </c>
      <c r="G39" s="2611" t="s">
        <v>3411</v>
      </c>
      <c r="H39" s="435">
        <f>SUMIF(119:119,G39,120:120)-SUMIF(119:119,C39,120:120)+100</f>
        <v>100</v>
      </c>
      <c r="I39" s="2611" t="s">
        <v>3411</v>
      </c>
      <c r="J39" s="435">
        <f>SUMIF(119:119,I39,120:120)-SUMIF(119:119,C39,120:120)+100</f>
        <v>100</v>
      </c>
      <c r="K39" s="612">
        <v>2</v>
      </c>
      <c r="L39" s="1140"/>
      <c r="M39" s="1131"/>
      <c r="N39" s="1131"/>
      <c r="O39" s="1139"/>
      <c r="P39" s="3243"/>
      <c r="Q39" s="1809" t="str">
        <f t="shared" ref="Q39:Q45" si="14">B39</f>
        <v>宗地形状</v>
      </c>
      <c r="R39" s="774" t="s">
        <v>17</v>
      </c>
      <c r="S39" s="775">
        <f t="shared" si="10"/>
        <v>100</v>
      </c>
      <c r="T39" s="774" t="s">
        <v>17</v>
      </c>
      <c r="U39" s="775">
        <f t="shared" si="11"/>
        <v>100</v>
      </c>
      <c r="V39" s="774" t="s">
        <v>17</v>
      </c>
      <c r="W39" s="775">
        <f t="shared" si="12"/>
        <v>100</v>
      </c>
      <c r="X39" s="1812"/>
      <c r="Y39" s="3243"/>
      <c r="Z39" s="1813" t="str">
        <f t="shared" si="13"/>
        <v>宗地形状</v>
      </c>
      <c r="AA39" s="1810">
        <f t="shared" si="3"/>
        <v>1</v>
      </c>
      <c r="AB39" s="1810">
        <f t="shared" si="4"/>
        <v>1</v>
      </c>
      <c r="AC39" s="1810">
        <f t="shared" si="5"/>
        <v>1</v>
      </c>
    </row>
    <row r="40" spans="1:29" ht="15">
      <c r="A40" s="472"/>
      <c r="B40" s="422" t="s">
        <v>2740</v>
      </c>
      <c r="C40" s="2611" t="s">
        <v>3413</v>
      </c>
      <c r="D40" s="435">
        <v>100</v>
      </c>
      <c r="E40" s="2611" t="s">
        <v>3413</v>
      </c>
      <c r="F40" s="435">
        <f>SUMIF(121:121,E40,122:122)-SUMIF(121:121,C40,122:122)+100</f>
        <v>100</v>
      </c>
      <c r="G40" s="2611" t="s">
        <v>3413</v>
      </c>
      <c r="H40" s="435">
        <f>SUMIF(121:121,G40,122:122)-SUMIF(121:121,C40,122:122)+100</f>
        <v>100</v>
      </c>
      <c r="I40" s="2611" t="s">
        <v>3413</v>
      </c>
      <c r="J40" s="435">
        <f>SUMIF(121:121,I40,122:122)-SUMIF(121:121,C40,122:122)+100</f>
        <v>100</v>
      </c>
      <c r="K40" s="612">
        <v>2</v>
      </c>
      <c r="L40" s="1140"/>
      <c r="M40" s="1131"/>
      <c r="N40" s="1131"/>
      <c r="O40" s="1139"/>
      <c r="P40" s="3243"/>
      <c r="Q40" s="1809" t="str">
        <f t="shared" si="14"/>
        <v>临街宽度及深度</v>
      </c>
      <c r="R40" s="774" t="s">
        <v>17</v>
      </c>
      <c r="S40" s="775">
        <f t="shared" si="10"/>
        <v>100</v>
      </c>
      <c r="T40" s="774" t="s">
        <v>17</v>
      </c>
      <c r="U40" s="775">
        <f t="shared" si="11"/>
        <v>100</v>
      </c>
      <c r="V40" s="774" t="s">
        <v>17</v>
      </c>
      <c r="W40" s="775">
        <f t="shared" si="12"/>
        <v>100</v>
      </c>
      <c r="X40" s="1812"/>
      <c r="Y40" s="3243"/>
      <c r="Z40" s="1813" t="str">
        <f t="shared" si="13"/>
        <v>临街宽度及深度</v>
      </c>
      <c r="AA40" s="1810">
        <f t="shared" si="3"/>
        <v>1</v>
      </c>
      <c r="AB40" s="1810">
        <f t="shared" si="4"/>
        <v>1</v>
      </c>
      <c r="AC40" s="1810">
        <f t="shared" si="5"/>
        <v>1</v>
      </c>
    </row>
    <row r="41" spans="1:29" s="117" customFormat="1" ht="15">
      <c r="A41" s="473"/>
      <c r="B41" s="422" t="s">
        <v>2741</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v>2</v>
      </c>
      <c r="L41" s="1132"/>
      <c r="M41" s="1133"/>
      <c r="N41" s="1133"/>
      <c r="O41" s="1134"/>
      <c r="P41" s="3243"/>
      <c r="Q41" s="1809" t="str">
        <f t="shared" si="14"/>
        <v>宗地开发程度</v>
      </c>
      <c r="R41" s="770" t="s">
        <v>17</v>
      </c>
      <c r="S41" s="771">
        <f t="shared" si="10"/>
        <v>100</v>
      </c>
      <c r="T41" s="770" t="s">
        <v>17</v>
      </c>
      <c r="U41" s="771">
        <f t="shared" si="11"/>
        <v>100</v>
      </c>
      <c r="V41" s="770" t="s">
        <v>17</v>
      </c>
      <c r="W41" s="771">
        <f t="shared" si="12"/>
        <v>100</v>
      </c>
      <c r="X41" s="772"/>
      <c r="Y41" s="3243"/>
      <c r="Z41" s="55" t="str">
        <f t="shared" si="13"/>
        <v>宗地开发程度</v>
      </c>
      <c r="AA41" s="773">
        <f t="shared" si="3"/>
        <v>1</v>
      </c>
      <c r="AB41" s="773">
        <f t="shared" si="4"/>
        <v>1</v>
      </c>
      <c r="AC41" s="773">
        <f t="shared" si="5"/>
        <v>1</v>
      </c>
    </row>
    <row r="42" spans="1:29" ht="15">
      <c r="A42" s="472"/>
      <c r="B42" s="422" t="s">
        <v>2742</v>
      </c>
      <c r="C42" s="2611" t="s">
        <v>3343</v>
      </c>
      <c r="D42" s="435">
        <v>100</v>
      </c>
      <c r="E42" s="2611" t="s">
        <v>3343</v>
      </c>
      <c r="F42" s="435">
        <f>SUMIF(125:125,E42,126:126)-SUMIF(125:125,C42,126:126)+100</f>
        <v>100</v>
      </c>
      <c r="G42" s="2611" t="s">
        <v>3343</v>
      </c>
      <c r="H42" s="435">
        <f>SUMIF(125:125,G42,126:126)-SUMIF(125:125,C42,126:126)+100</f>
        <v>100</v>
      </c>
      <c r="I42" s="2611" t="s">
        <v>3343</v>
      </c>
      <c r="J42" s="435">
        <f>SUMIF(125:125,I42,126:126)-SUMIF(125:125,C42,126:126)+100</f>
        <v>100</v>
      </c>
      <c r="K42" s="612">
        <v>2</v>
      </c>
      <c r="L42" s="1140"/>
      <c r="M42" s="1131"/>
      <c r="N42" s="1131"/>
      <c r="O42" s="1139"/>
      <c r="P42" s="3243" t="s">
        <v>2553</v>
      </c>
      <c r="Q42" s="1809" t="str">
        <f t="shared" si="14"/>
        <v>工程地质条件</v>
      </c>
      <c r="R42" s="774" t="s">
        <v>17</v>
      </c>
      <c r="S42" s="775">
        <f t="shared" si="10"/>
        <v>100</v>
      </c>
      <c r="T42" s="774" t="s">
        <v>17</v>
      </c>
      <c r="U42" s="775">
        <f t="shared" si="11"/>
        <v>100</v>
      </c>
      <c r="V42" s="774" t="s">
        <v>17</v>
      </c>
      <c r="W42" s="775">
        <f t="shared" si="12"/>
        <v>100</v>
      </c>
      <c r="X42" s="1812"/>
      <c r="Y42" s="3243" t="s">
        <v>2553</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3"/>
      <c r="Q43" s="1809">
        <f t="shared" si="14"/>
        <v>0</v>
      </c>
      <c r="R43" s="774" t="s">
        <v>17</v>
      </c>
      <c r="S43" s="775">
        <f t="shared" si="10"/>
        <v>100</v>
      </c>
      <c r="T43" s="774" t="s">
        <v>17</v>
      </c>
      <c r="U43" s="775">
        <f t="shared" si="11"/>
        <v>100</v>
      </c>
      <c r="V43" s="774" t="s">
        <v>17</v>
      </c>
      <c r="W43" s="775">
        <f t="shared" si="12"/>
        <v>100</v>
      </c>
      <c r="X43" s="1812"/>
      <c r="Y43" s="3243"/>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3"/>
      <c r="Q44" s="1809">
        <f t="shared" si="14"/>
        <v>0</v>
      </c>
      <c r="R44" s="774" t="s">
        <v>17</v>
      </c>
      <c r="S44" s="775">
        <f t="shared" si="10"/>
        <v>100</v>
      </c>
      <c r="T44" s="774" t="s">
        <v>17</v>
      </c>
      <c r="U44" s="775">
        <f t="shared" si="11"/>
        <v>100</v>
      </c>
      <c r="V44" s="774" t="s">
        <v>17</v>
      </c>
      <c r="W44" s="775">
        <f t="shared" si="12"/>
        <v>100</v>
      </c>
      <c r="X44" s="1812"/>
      <c r="Y44" s="3243"/>
      <c r="Z44" s="1813">
        <f t="shared" si="13"/>
        <v>0</v>
      </c>
      <c r="AA44" s="1810">
        <f t="shared" si="3"/>
        <v>1</v>
      </c>
      <c r="AB44" s="1810">
        <f t="shared" si="4"/>
        <v>1</v>
      </c>
      <c r="AC44" s="1810">
        <f t="shared" si="5"/>
        <v>1</v>
      </c>
    </row>
    <row r="45" spans="1:29" s="471" customFormat="1" ht="15.75" thickBot="1">
      <c r="A45" s="468"/>
      <c r="B45" s="1387"/>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3"/>
      <c r="Q45" s="1809">
        <f t="shared" si="14"/>
        <v>0</v>
      </c>
      <c r="R45" s="777" t="s">
        <v>17</v>
      </c>
      <c r="S45" s="778">
        <f t="shared" si="10"/>
        <v>100</v>
      </c>
      <c r="T45" s="777" t="s">
        <v>17</v>
      </c>
      <c r="U45" s="778">
        <f t="shared" si="11"/>
        <v>100</v>
      </c>
      <c r="V45" s="777" t="s">
        <v>17</v>
      </c>
      <c r="W45" s="778">
        <f t="shared" si="12"/>
        <v>100</v>
      </c>
      <c r="X45" s="779"/>
      <c r="Y45" s="3243"/>
      <c r="Z45" s="780">
        <f t="shared" si="13"/>
        <v>0</v>
      </c>
      <c r="AA45" s="1810">
        <f t="shared" si="3"/>
        <v>1</v>
      </c>
      <c r="AB45" s="1810">
        <f t="shared" si="4"/>
        <v>1</v>
      </c>
      <c r="AC45" s="1810">
        <f t="shared" si="5"/>
        <v>1</v>
      </c>
    </row>
    <row r="46" spans="1:29" ht="15">
      <c r="A46" s="479" t="s">
        <v>2708</v>
      </c>
      <c r="B46" s="2700" t="s">
        <v>2743</v>
      </c>
      <c r="C46" s="682" t="s">
        <v>1</v>
      </c>
      <c r="D46" s="481"/>
      <c r="E46" s="482">
        <v>7329</v>
      </c>
      <c r="F46" s="483"/>
      <c r="G46" s="484">
        <v>7162</v>
      </c>
      <c r="H46" s="485"/>
      <c r="I46" s="482">
        <v>7324</v>
      </c>
      <c r="J46" s="485"/>
      <c r="K46" s="783"/>
      <c r="L46" s="1143"/>
      <c r="M46" s="1144"/>
      <c r="N46" s="1131"/>
      <c r="O46" s="1144"/>
      <c r="P46" s="3238" t="str">
        <f>A46</f>
        <v>成交单价</v>
      </c>
      <c r="Q46" s="3238"/>
      <c r="R46" s="3244">
        <f>E46</f>
        <v>7329</v>
      </c>
      <c r="S46" s="3244"/>
      <c r="T46" s="3244">
        <f>G46</f>
        <v>7162</v>
      </c>
      <c r="U46" s="3244"/>
      <c r="V46" s="3244">
        <f>I46</f>
        <v>7324</v>
      </c>
      <c r="W46" s="3244"/>
      <c r="X46" s="759"/>
      <c r="Y46" s="781"/>
      <c r="Z46" s="759"/>
      <c r="AA46" s="759"/>
      <c r="AB46" s="759"/>
      <c r="AC46" s="759"/>
    </row>
    <row r="47" spans="1:29" ht="15.75" thickBot="1">
      <c r="A47" s="486" t="s">
        <v>2657</v>
      </c>
      <c r="B47" s="683"/>
      <c r="C47" s="490">
        <f>R48</f>
        <v>7101</v>
      </c>
      <c r="D47" s="489"/>
      <c r="E47" s="490">
        <f>R47</f>
        <v>7012</v>
      </c>
      <c r="F47" s="491"/>
      <c r="G47" s="488">
        <f>T47</f>
        <v>7283</v>
      </c>
      <c r="H47" s="489"/>
      <c r="I47" s="490">
        <f>V47</f>
        <v>7008</v>
      </c>
      <c r="J47" s="489"/>
      <c r="K47" s="784"/>
      <c r="L47" s="1143"/>
      <c r="M47" s="1144"/>
      <c r="N47" s="1144"/>
      <c r="O47" s="1144"/>
      <c r="P47" s="3238" t="str">
        <f>A47</f>
        <v>比较价值（元/平方米）</v>
      </c>
      <c r="Q47" s="3238"/>
      <c r="R47" s="3231">
        <f>ROUND(PRODUCT(R46,AA7:AA45),0)</f>
        <v>7012</v>
      </c>
      <c r="S47" s="3231"/>
      <c r="T47" s="3231">
        <f>ROUND(PRODUCT(T46,AB7:AB45),0)</f>
        <v>7283</v>
      </c>
      <c r="U47" s="3231"/>
      <c r="V47" s="3231">
        <f>ROUND(PRODUCT(V46,AC7:AC45),0)</f>
        <v>7008</v>
      </c>
      <c r="W47" s="3231"/>
      <c r="X47" s="759"/>
      <c r="Y47" s="759"/>
      <c r="Z47" s="759"/>
      <c r="AA47" s="759"/>
      <c r="AB47" s="759"/>
      <c r="AC47" s="759"/>
    </row>
    <row r="48" spans="1:29" ht="15.75" thickBot="1">
      <c r="A48" s="492" t="s">
        <v>2744</v>
      </c>
      <c r="B48" s="493"/>
      <c r="C48" s="494">
        <f>R48</f>
        <v>7101</v>
      </c>
      <c r="D48" s="494"/>
      <c r="E48" s="494"/>
      <c r="F48" s="494"/>
      <c r="G48" s="494"/>
      <c r="H48" s="494"/>
      <c r="I48" s="494"/>
      <c r="J48" s="494"/>
      <c r="K48" s="785"/>
      <c r="L48" s="1143"/>
      <c r="M48" s="1144"/>
      <c r="N48" s="1144"/>
      <c r="O48" s="1144"/>
      <c r="P48" s="3232" t="str">
        <f>A48</f>
        <v>估价对象XX用房的比较价值（楼面单价，元/平方米）</v>
      </c>
      <c r="Q48" s="3233"/>
      <c r="R48" s="3234">
        <f>ROUND(AVERAGE(R47:V47),0)</f>
        <v>7101</v>
      </c>
      <c r="S48" s="3234"/>
      <c r="T48" s="3234"/>
      <c r="U48" s="3234"/>
      <c r="V48" s="3234"/>
      <c r="W48" s="323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2659</v>
      </c>
      <c r="D51" s="498"/>
      <c r="E51" s="499">
        <f>IF(E46&lt;E47,E47/E46-1,E46/E47-1)</f>
        <v>4.5208214489446563E-2</v>
      </c>
      <c r="F51" s="500" t="str">
        <f>IF(OR(E51&gt;=0.3,E51&lt;=-0.3),"超过30%","")</f>
        <v/>
      </c>
      <c r="G51" s="499">
        <f>IF(G46&lt;G47,G47/G46-1,G46/G47-1)</f>
        <v>1.6894722144652263E-2</v>
      </c>
      <c r="H51" s="500" t="str">
        <f>IF(OR(G51&gt;=0.3,G51&lt;=-0.3),"超过30%","")</f>
        <v/>
      </c>
      <c r="I51" s="499">
        <f>IF(I46&lt;I47,I47/I46-1,I46/I47-1)</f>
        <v>4.5091324200913219E-2</v>
      </c>
      <c r="J51" s="500" t="str">
        <f>IF(OR(I51&gt;=0.3,I51&lt;=-0.3),"超过30%","")</f>
        <v/>
      </c>
      <c r="K51" s="1105"/>
      <c r="L51" s="1106"/>
      <c r="M51" s="1144"/>
      <c r="N51" s="1144"/>
      <c r="O51" s="1144"/>
    </row>
    <row r="52" spans="1:15" ht="13.5" customHeight="1">
      <c r="A52" s="1144"/>
      <c r="B52" s="1144"/>
      <c r="C52" s="497" t="s">
        <v>2660</v>
      </c>
      <c r="D52" s="501"/>
      <c r="E52" s="499">
        <f>IF(E47&lt;G47,G47/E47-1,E47/G47-1)</f>
        <v>3.8648031945236694E-2</v>
      </c>
      <c r="F52" s="500" t="str">
        <f>IF(OR(E52&gt;=0.2,E52&lt;=-0.2),"超过20%","")</f>
        <v/>
      </c>
      <c r="G52" s="499">
        <f>IF(G47&lt;I47,I47/G47-1,G47/I47-1)</f>
        <v>3.9240867579908745E-2</v>
      </c>
      <c r="H52" s="500" t="str">
        <f>IF(OR(G52&gt;=0.2,G52&lt;=-0.2),"超过20%","")</f>
        <v/>
      </c>
      <c r="I52" s="499">
        <f>IF(I47&lt;E47,E47/I47-1,I47/E47-1)</f>
        <v>5.7077625570767232E-4</v>
      </c>
      <c r="J52" s="500" t="str">
        <f>IF(OR(I52&gt;=0.2,I52&lt;=-0.2),"超过20%","")</f>
        <v/>
      </c>
      <c r="K52" s="1105"/>
      <c r="L52" s="1106"/>
      <c r="M52" s="1144"/>
      <c r="N52" s="1144"/>
      <c r="O52" s="1144"/>
    </row>
    <row r="53" spans="1:15" s="502" customFormat="1" ht="13.5" customHeight="1">
      <c r="A53" s="1145"/>
      <c r="B53" s="1145"/>
      <c r="C53" s="497" t="s">
        <v>2661</v>
      </c>
      <c r="D53" s="501"/>
      <c r="E53" s="499">
        <f>IF(E46&lt;G46,G46/E46-1,E46/G46-1)</f>
        <v>2.3317509075677201E-2</v>
      </c>
      <c r="F53" s="500" t="str">
        <f>IF(OR(E53&gt;=0.3,E53&lt;=-0.3),"超过30%","")</f>
        <v/>
      </c>
      <c r="G53" s="499">
        <f>IF(G46&lt;I46,I46/G46-1,G46/I46-1)</f>
        <v>2.2619380061435379E-2</v>
      </c>
      <c r="H53" s="500" t="str">
        <f>IF(OR(G53&gt;=0.3,G53&lt;=-0.3),"超过30%","")</f>
        <v/>
      </c>
      <c r="I53" s="499">
        <f>IF(I46&lt;E46,E46/I46-1,I46/E46-1)</f>
        <v>6.82687056253517E-4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2745</v>
      </c>
      <c r="B55" s="685" t="s">
        <v>2746</v>
      </c>
      <c r="C55" s="2701" t="s">
        <v>2747</v>
      </c>
      <c r="D55" s="2702" t="s">
        <v>2748</v>
      </c>
      <c r="E55" s="686" t="s">
        <v>2749</v>
      </c>
      <c r="F55" s="1107" t="s">
        <v>2750</v>
      </c>
      <c r="G55" s="3235" t="s">
        <v>2751</v>
      </c>
      <c r="H55" s="3236"/>
      <c r="I55" s="144" t="s">
        <v>2752</v>
      </c>
      <c r="J55" s="2703" t="str">
        <f>项目基本情况!F35</f>
        <v>四川省</v>
      </c>
      <c r="K55" s="2704" t="s">
        <v>2753</v>
      </c>
      <c r="L55" s="1106"/>
      <c r="M55" s="1144"/>
      <c r="N55" s="1144"/>
      <c r="O55" s="1144"/>
    </row>
    <row r="56" spans="1:15" s="692" customFormat="1">
      <c r="A56" s="688" t="s">
        <v>2754</v>
      </c>
      <c r="B56" s="689">
        <f>C48</f>
        <v>7101</v>
      </c>
      <c r="C56" s="690">
        <v>1</v>
      </c>
      <c r="D56" s="1163">
        <v>1</v>
      </c>
      <c r="E56" s="690">
        <f>'数据-汇总表'!E8+'数据-汇总表'!E9</f>
        <v>253115.13999999998</v>
      </c>
      <c r="F56" s="1103">
        <f t="shared" ref="F56:F65" si="15">ROUND(B56*E56/10000,0)</f>
        <v>179737</v>
      </c>
      <c r="G56" s="3237"/>
      <c r="H56" s="3238"/>
      <c r="I56" s="1108">
        <v>1</v>
      </c>
      <c r="J56" s="1111">
        <v>1</v>
      </c>
      <c r="K56" s="1145"/>
      <c r="L56" s="941"/>
      <c r="M56" s="941"/>
      <c r="N56" s="941"/>
      <c r="O56" s="941"/>
    </row>
    <row r="57" spans="1:15" s="692" customFormat="1">
      <c r="A57" s="693" t="s">
        <v>2755</v>
      </c>
      <c r="B57" s="262">
        <f>ROUND($C$48*C57*D57,0)</f>
        <v>0</v>
      </c>
      <c r="C57" s="200">
        <f t="shared" ref="C57:C65" si="16">IF($C$55="北京市系数",I57,J57)</f>
        <v>0</v>
      </c>
      <c r="D57" s="1164">
        <v>0.25</v>
      </c>
      <c r="E57" s="694"/>
      <c r="F57" s="1103">
        <f t="shared" si="15"/>
        <v>0</v>
      </c>
      <c r="G57" s="3239" t="s">
        <v>2756</v>
      </c>
      <c r="H57" s="1104">
        <f>项目基本情况!B37</f>
        <v>0</v>
      </c>
      <c r="I57" s="1108">
        <f>SUMIF(修正!A45:A56,H57,修正!B45:B56)</f>
        <v>0</v>
      </c>
      <c r="J57" s="1112"/>
      <c r="K57" s="1144"/>
      <c r="L57" s="941"/>
      <c r="M57" s="941"/>
      <c r="N57" s="941"/>
      <c r="O57" s="941"/>
    </row>
    <row r="58" spans="1:15" s="692" customFormat="1">
      <c r="A58" s="693" t="s">
        <v>2757</v>
      </c>
      <c r="B58" s="262">
        <f t="shared" ref="B58:B65" si="17">ROUND($C$48*C58*D58,0)</f>
        <v>0</v>
      </c>
      <c r="C58" s="200">
        <f t="shared" si="16"/>
        <v>0</v>
      </c>
      <c r="D58" s="1164">
        <v>0.25</v>
      </c>
      <c r="E58" s="694"/>
      <c r="F58" s="1103">
        <f t="shared" si="15"/>
        <v>0</v>
      </c>
      <c r="G58" s="3239"/>
      <c r="H58" s="1104">
        <f>项目基本情况!B37</f>
        <v>0</v>
      </c>
      <c r="I58" s="1108">
        <f>SUMIF(修正!A45:A56,H58,修正!C45:C56)</f>
        <v>0</v>
      </c>
      <c r="J58" s="1112"/>
      <c r="K58" s="1145"/>
      <c r="L58" s="941"/>
      <c r="M58" s="941"/>
      <c r="N58" s="941"/>
      <c r="O58" s="941"/>
    </row>
    <row r="59" spans="1:15" s="692" customFormat="1">
      <c r="A59" s="693" t="s">
        <v>2758</v>
      </c>
      <c r="B59" s="262">
        <f t="shared" si="17"/>
        <v>0</v>
      </c>
      <c r="C59" s="200">
        <f t="shared" si="16"/>
        <v>0</v>
      </c>
      <c r="D59" s="1164">
        <v>0.25</v>
      </c>
      <c r="E59" s="694"/>
      <c r="F59" s="1103">
        <f t="shared" si="15"/>
        <v>0</v>
      </c>
      <c r="G59" s="3239"/>
      <c r="H59" s="1104">
        <f>项目基本情况!B37</f>
        <v>0</v>
      </c>
      <c r="I59" s="1108">
        <f>SUMIF(修正!A45:A56,H59,修正!D45:D56)</f>
        <v>0</v>
      </c>
      <c r="J59" s="1112"/>
      <c r="K59" s="1144"/>
      <c r="L59" s="941"/>
      <c r="M59" s="941"/>
      <c r="N59" s="941"/>
      <c r="O59" s="941"/>
    </row>
    <row r="60" spans="1:15" s="692" customFormat="1">
      <c r="A60" s="693" t="s">
        <v>2759</v>
      </c>
      <c r="B60" s="262">
        <f t="shared" si="17"/>
        <v>0</v>
      </c>
      <c r="C60" s="200">
        <f t="shared" si="16"/>
        <v>0</v>
      </c>
      <c r="D60" s="1164">
        <v>0.25</v>
      </c>
      <c r="E60" s="694"/>
      <c r="F60" s="1103">
        <f t="shared" si="15"/>
        <v>0</v>
      </c>
      <c r="G60" s="3239"/>
      <c r="H60" s="1104">
        <f>项目基本情况!B37</f>
        <v>0</v>
      </c>
      <c r="I60" s="1108">
        <f>SUMIF(修正!A45:A56,H60,修正!E45:E56)</f>
        <v>0</v>
      </c>
      <c r="J60" s="1112"/>
      <c r="K60" s="1145"/>
      <c r="L60" s="941"/>
      <c r="M60" s="941"/>
      <c r="N60" s="941"/>
      <c r="O60" s="941"/>
    </row>
    <row r="61" spans="1:15" s="692" customFormat="1">
      <c r="A61" s="693" t="s">
        <v>2760</v>
      </c>
      <c r="B61" s="262">
        <f t="shared" si="17"/>
        <v>0</v>
      </c>
      <c r="C61" s="200">
        <f t="shared" si="16"/>
        <v>0</v>
      </c>
      <c r="D61" s="1164">
        <v>0.25</v>
      </c>
      <c r="E61" s="261">
        <f>'数据-汇总表'!E11</f>
        <v>0</v>
      </c>
      <c r="F61" s="1103">
        <f t="shared" si="15"/>
        <v>0</v>
      </c>
      <c r="G61" s="2705" t="s">
        <v>2761</v>
      </c>
      <c r="H61" s="1104">
        <f>项目基本情况!C37</f>
        <v>0</v>
      </c>
      <c r="I61" s="1108">
        <f>SUMIF(修正!A45:A56,H61,修正!F45:F56)</f>
        <v>0</v>
      </c>
      <c r="J61" s="1112"/>
      <c r="K61" s="1144"/>
      <c r="L61" s="941"/>
      <c r="M61" s="941"/>
      <c r="N61" s="941"/>
      <c r="O61" s="941"/>
    </row>
    <row r="62" spans="1:15" s="692" customFormat="1">
      <c r="A62" s="693" t="s">
        <v>2762</v>
      </c>
      <c r="B62" s="262">
        <f t="shared" si="17"/>
        <v>0</v>
      </c>
      <c r="C62" s="200">
        <f t="shared" si="16"/>
        <v>0</v>
      </c>
      <c r="D62" s="1164">
        <v>0.25</v>
      </c>
      <c r="E62" s="261">
        <f>'数据-汇总表'!E12</f>
        <v>0</v>
      </c>
      <c r="F62" s="1103">
        <f t="shared" si="15"/>
        <v>0</v>
      </c>
      <c r="G62" s="1109" t="s">
        <v>2763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2764</v>
      </c>
      <c r="B63" s="262">
        <f t="shared" si="17"/>
        <v>0</v>
      </c>
      <c r="C63" s="200">
        <f t="shared" si="16"/>
        <v>0</v>
      </c>
      <c r="D63" s="1164">
        <v>0.25</v>
      </c>
      <c r="E63" s="261">
        <f>'数据-汇总表'!E13</f>
        <v>89683.34</v>
      </c>
      <c r="F63" s="1103">
        <f t="shared" si="15"/>
        <v>0</v>
      </c>
      <c r="G63" s="1109" t="s">
        <v>2765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2766</v>
      </c>
      <c r="B64" s="262">
        <f t="shared" si="17"/>
        <v>0</v>
      </c>
      <c r="C64" s="200">
        <f t="shared" si="16"/>
        <v>0</v>
      </c>
      <c r="D64" s="1164">
        <v>0.25</v>
      </c>
      <c r="E64" s="261">
        <f>'数据-汇总表'!E14</f>
        <v>0</v>
      </c>
      <c r="F64" s="1103">
        <f t="shared" si="15"/>
        <v>0</v>
      </c>
      <c r="G64" s="2705" t="s">
        <v>2756</v>
      </c>
      <c r="H64" s="1104">
        <f>项目基本情况!B37</f>
        <v>0</v>
      </c>
      <c r="I64" s="1108">
        <f>SUMIF(修正!A45:A56,H64,修正!H45:H56)</f>
        <v>0</v>
      </c>
      <c r="J64" s="1112"/>
      <c r="K64" s="1145"/>
      <c r="L64" s="941"/>
      <c r="M64" s="941"/>
      <c r="N64" s="941"/>
      <c r="O64" s="941"/>
    </row>
    <row r="65" spans="1:17" s="692" customFormat="1" ht="15" thickBot="1">
      <c r="A65" s="693" t="s">
        <v>2767</v>
      </c>
      <c r="B65" s="262">
        <f t="shared" si="17"/>
        <v>0</v>
      </c>
      <c r="C65" s="200">
        <f t="shared" si="16"/>
        <v>0</v>
      </c>
      <c r="D65" s="1164">
        <v>0.25</v>
      </c>
      <c r="E65" s="261">
        <f>'数据-汇总表'!E15</f>
        <v>0</v>
      </c>
      <c r="F65" s="1103">
        <f t="shared" si="15"/>
        <v>0</v>
      </c>
      <c r="G65" s="2706" t="s">
        <v>2761</v>
      </c>
      <c r="H65" s="1114">
        <f>项目基本情况!C37</f>
        <v>0</v>
      </c>
      <c r="I65" s="1110">
        <f>SUMIF(修正!A45:A56,H65,修正!H45:H56)</f>
        <v>0</v>
      </c>
      <c r="J65" s="1113"/>
      <c r="K65" s="1144"/>
      <c r="L65" s="941"/>
      <c r="M65" s="941"/>
      <c r="N65" s="941"/>
      <c r="O65" s="941"/>
    </row>
    <row r="66" spans="1:17" s="692" customFormat="1" ht="13.5" thickBot="1">
      <c r="A66" s="695" t="s">
        <v>2768</v>
      </c>
      <c r="B66" s="696" t="s">
        <v>28</v>
      </c>
      <c r="C66" s="696" t="s">
        <v>29</v>
      </c>
      <c r="D66" s="696" t="s">
        <v>1026</v>
      </c>
      <c r="E66" s="696">
        <f>IF(B46="楼面地价",SUM(E56:E65),'数据-汇总表'!D3)</f>
        <v>342798.48</v>
      </c>
      <c r="F66" s="697">
        <f>IF(B46="楼面地价",SUM(F56:F65),ROUND(C48*E66/10000,0))</f>
        <v>179737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2662</v>
      </c>
      <c r="B69" s="759"/>
      <c r="C69" s="764"/>
      <c r="D69" s="764"/>
      <c r="E69" s="764"/>
      <c r="F69" s="765"/>
      <c r="G69" s="765"/>
      <c r="H69" s="764"/>
      <c r="I69" s="764"/>
      <c r="J69" s="1159"/>
      <c r="K69" s="1160"/>
      <c r="L69" s="1161"/>
      <c r="M69" s="1159"/>
      <c r="N69" s="1159"/>
      <c r="O69" s="1159"/>
      <c r="P69" s="503"/>
      <c r="Q69" s="504"/>
    </row>
    <row r="70" spans="1:17" s="508" customFormat="1" ht="15">
      <c r="A70" s="2707" t="s">
        <v>2769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8" t="s">
        <v>2770</v>
      </c>
      <c r="B71" s="332" t="str">
        <f>"北京市平均增长率"&amp;TEXT(SUMIF(基准地价修正!N21:N25,A71,基准地价修正!P21:P25),"0.00%")</f>
        <v>北京市平均增长率2.26%</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2573</v>
      </c>
      <c r="B72" s="516"/>
      <c r="C72" s="517">
        <v>0.5</v>
      </c>
      <c r="D72" s="518"/>
      <c r="E72" s="518"/>
      <c r="F72" s="518"/>
      <c r="G72" s="518"/>
      <c r="H72" s="518"/>
      <c r="I72" s="518"/>
      <c r="J72" s="518"/>
      <c r="K72" s="518"/>
      <c r="L72" s="518"/>
      <c r="M72" s="519"/>
      <c r="N72" s="518"/>
      <c r="O72" s="1162"/>
      <c r="P72" s="504"/>
      <c r="Q72" s="504"/>
    </row>
    <row r="73" spans="1:17" s="117" customFormat="1" ht="15">
      <c r="A73" s="521" t="s">
        <v>2538</v>
      </c>
      <c r="B73" s="510"/>
      <c r="C73" s="522" t="s">
        <v>2640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ht="57">
      <c r="A75" s="527" t="s">
        <v>2576</v>
      </c>
      <c r="B75" s="528" t="s">
        <v>2542</v>
      </c>
      <c r="C75" s="661" t="str">
        <f>项目基本情况!B16</f>
        <v>住宅、商业及地下车库</v>
      </c>
      <c r="D75" s="530" t="str">
        <f>土地案例!H18</f>
        <v>住宅</v>
      </c>
      <c r="E75" s="530" t="str">
        <f>土地案例!H19</f>
        <v>住宅兼容商业;商业服务业设施兼容住宅;服务设施;幼儿园</v>
      </c>
      <c r="F75" s="530" t="str">
        <f>土地案例!H20</f>
        <v>住宅兼容商业;幼儿园</v>
      </c>
      <c r="G75" s="530"/>
      <c r="H75" s="530"/>
      <c r="I75" s="530"/>
      <c r="J75" s="530"/>
      <c r="K75" s="531"/>
      <c r="L75" s="532"/>
      <c r="M75" s="533"/>
      <c r="N75" s="1152"/>
      <c r="O75" s="1152"/>
      <c r="P75" s="45"/>
      <c r="Q75" s="504"/>
    </row>
    <row r="76" spans="1:17" ht="15.75" thickBot="1">
      <c r="A76" s="534"/>
      <c r="B76" s="535"/>
      <c r="C76" s="536">
        <v>100</v>
      </c>
      <c r="D76" s="536">
        <v>100</v>
      </c>
      <c r="E76" s="536">
        <v>100</v>
      </c>
      <c r="F76" s="536">
        <v>100</v>
      </c>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2（含）-3</v>
      </c>
      <c r="D79" s="547" t="str">
        <f t="shared" ref="D79:L79" si="21">D80&amp;"（含）"&amp;"-"&amp;E80</f>
        <v>3（含）-4</v>
      </c>
      <c r="E79" s="547" t="str">
        <f t="shared" si="21"/>
        <v>4（含）-5</v>
      </c>
      <c r="F79" s="547" t="str">
        <f t="shared" si="21"/>
        <v>5（含）-6</v>
      </c>
      <c r="G79" s="547" t="str">
        <f t="shared" si="21"/>
        <v>6（含）-7</v>
      </c>
      <c r="H79" s="547" t="str">
        <f t="shared" si="21"/>
        <v>7（含）-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2</v>
      </c>
      <c r="D80" s="549">
        <v>3</v>
      </c>
      <c r="E80" s="549">
        <v>4</v>
      </c>
      <c r="F80" s="549">
        <v>5</v>
      </c>
      <c r="G80" s="549">
        <v>6</v>
      </c>
      <c r="H80" s="549">
        <v>7</v>
      </c>
      <c r="I80" s="549"/>
      <c r="J80" s="549"/>
      <c r="K80" s="550"/>
      <c r="L80" s="551"/>
      <c r="M80" s="552"/>
      <c r="N80" s="1152"/>
      <c r="O80" s="1152"/>
      <c r="P80" s="45"/>
      <c r="Q80" s="504"/>
    </row>
    <row r="81" spans="1:17" ht="15.75" thickBot="1">
      <c r="A81" s="534"/>
      <c r="B81" s="535"/>
      <c r="C81" s="544">
        <v>100</v>
      </c>
      <c r="D81" s="544">
        <f t="shared" ref="D81:M81" si="22">IF($B$46="单位面积地价",C81+$K11,C81-$K11)</f>
        <v>94</v>
      </c>
      <c r="E81" s="544">
        <f t="shared" si="22"/>
        <v>88</v>
      </c>
      <c r="F81" s="544">
        <f t="shared" si="22"/>
        <v>82</v>
      </c>
      <c r="G81" s="544">
        <f t="shared" si="22"/>
        <v>76</v>
      </c>
      <c r="H81" s="544">
        <f t="shared" si="22"/>
        <v>70</v>
      </c>
      <c r="I81" s="544">
        <f t="shared" si="22"/>
        <v>64</v>
      </c>
      <c r="J81" s="544">
        <f t="shared" si="22"/>
        <v>58</v>
      </c>
      <c r="K81" s="544">
        <f t="shared" si="22"/>
        <v>52</v>
      </c>
      <c r="L81" s="544">
        <f t="shared" si="22"/>
        <v>46</v>
      </c>
      <c r="M81" s="544">
        <f t="shared" si="22"/>
        <v>40</v>
      </c>
      <c r="N81" s="1153"/>
      <c r="O81" s="1153"/>
      <c r="P81" s="45"/>
      <c r="Q81" s="504"/>
    </row>
    <row r="82" spans="1:17" s="471" customFormat="1" ht="15.75" thickTop="1">
      <c r="A82" s="553"/>
      <c r="B82" s="538" t="str">
        <f>B12</f>
        <v>配建</v>
      </c>
      <c r="C82" s="554">
        <v>0</v>
      </c>
      <c r="D82" s="554" t="s">
        <v>3394</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thickTop="1">
      <c r="A84" s="553"/>
      <c r="B84" s="538" t="str">
        <f>B13</f>
        <v>商业占比</v>
      </c>
      <c r="C84" s="465" t="s">
        <v>3478</v>
      </c>
      <c r="D84" s="465" t="s">
        <v>3479</v>
      </c>
      <c r="E84" s="554"/>
      <c r="F84" s="554"/>
      <c r="G84" s="554"/>
      <c r="H84" s="555"/>
      <c r="I84" s="555"/>
      <c r="J84" s="555"/>
      <c r="K84" s="555"/>
      <c r="L84" s="556"/>
      <c r="M84" s="557"/>
      <c r="N84" s="1154"/>
      <c r="O84" s="1154"/>
      <c r="P84" s="470"/>
      <c r="Q84" s="561"/>
    </row>
    <row r="85" spans="1:17" s="471" customFormat="1" ht="15.75" thickBot="1">
      <c r="A85" s="553"/>
      <c r="B85" s="543"/>
      <c r="C85" s="560">
        <v>100</v>
      </c>
      <c r="D85" s="560">
        <v>90</v>
      </c>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2771</v>
      </c>
      <c r="C90" s="578" t="s">
        <v>2585</v>
      </c>
      <c r="D90" s="578" t="s">
        <v>2586</v>
      </c>
      <c r="E90" s="578" t="s">
        <v>2587</v>
      </c>
      <c r="F90" s="578" t="s">
        <v>2588</v>
      </c>
      <c r="G90" s="578" t="s">
        <v>2589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2772</v>
      </c>
      <c r="C96" s="578" t="s">
        <v>2585</v>
      </c>
      <c r="D96" s="578" t="s">
        <v>2586</v>
      </c>
      <c r="E96" s="578" t="s">
        <v>2587</v>
      </c>
      <c r="F96" s="578" t="s">
        <v>2588</v>
      </c>
      <c r="G96" s="578" t="s">
        <v>2589</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2773</v>
      </c>
      <c r="C98" s="573" t="s">
        <v>2585</v>
      </c>
      <c r="D98" s="573" t="s">
        <v>2586</v>
      </c>
      <c r="E98" s="573" t="s">
        <v>2587</v>
      </c>
      <c r="F98" s="573" t="s">
        <v>2588</v>
      </c>
      <c r="G98" s="573" t="s">
        <v>2589</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2679</v>
      </c>
      <c r="C106" s="2959" t="s">
        <v>3405</v>
      </c>
      <c r="D106" s="2959" t="s">
        <v>3406</v>
      </c>
      <c r="E106" s="2959" t="s">
        <v>3407</v>
      </c>
      <c r="F106" s="2959" t="s">
        <v>3408</v>
      </c>
      <c r="G106" s="2959" t="s">
        <v>3410</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2551</v>
      </c>
      <c r="B116" s="528" t="s">
        <v>2778</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2779</v>
      </c>
      <c r="C119" s="2960" t="s">
        <v>3412</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2780</v>
      </c>
      <c r="C121" s="2959" t="s">
        <v>3414</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3"/>
      <c r="O122" s="1153"/>
      <c r="P122" s="45"/>
      <c r="Q122" s="504"/>
    </row>
    <row r="123" spans="1:17" s="471" customFormat="1" ht="15" thickTop="1">
      <c r="A123" s="593"/>
      <c r="B123" s="538" t="s">
        <v>2781</v>
      </c>
      <c r="C123" s="2959" t="s">
        <v>3415</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4"/>
      <c r="O124" s="1154"/>
      <c r="P124" s="558"/>
      <c r="Q124" s="559"/>
    </row>
    <row r="125" spans="1:17" ht="15" thickTop="1">
      <c r="A125" s="599"/>
      <c r="B125" s="538" t="s">
        <v>2782</v>
      </c>
      <c r="C125" s="2959" t="s">
        <v>3416</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U38"/>
  <sheetViews>
    <sheetView topLeftCell="K1" zoomScaleNormal="100" zoomScalePageLayoutView="150" workbookViewId="0">
      <selection activeCell="K3" sqref="K3"/>
    </sheetView>
  </sheetViews>
  <sheetFormatPr defaultColWidth="8.875" defaultRowHeight="12.75"/>
  <cols>
    <col min="1" max="1" width="106" style="2956" hidden="1" customWidth="1"/>
    <col min="2" max="2" width="7.125" style="2956" hidden="1" customWidth="1"/>
    <col min="3" max="3" width="15.875" style="2956" hidden="1" customWidth="1"/>
    <col min="4" max="4" width="5.125" style="2956" hidden="1" customWidth="1"/>
    <col min="5" max="5" width="106" style="2956" customWidth="1"/>
    <col min="6" max="6" width="9" style="2956" hidden="1" customWidth="1"/>
    <col min="7" max="7" width="15.875" style="2956" customWidth="1"/>
    <col min="8" max="8" width="48.125" style="2956" customWidth="1"/>
    <col min="9" max="10" width="15.875" style="2956" customWidth="1"/>
    <col min="11" max="11" width="27" style="2956" customWidth="1"/>
    <col min="12" max="12" width="10.125" style="2956" customWidth="1"/>
    <col min="13" max="13" width="22.875" style="2956" hidden="1" customWidth="1"/>
    <col min="14" max="14" width="60.5" style="2956" customWidth="1"/>
    <col min="15" max="15" width="12.125" style="2956" customWidth="1"/>
    <col min="16" max="16" width="18.125" style="2956" customWidth="1"/>
    <col min="17" max="17" width="16.375" style="2956" customWidth="1"/>
    <col min="18" max="18" width="7.125" style="2956" customWidth="1"/>
    <col min="19" max="19" width="26.125" style="2956" customWidth="1"/>
    <col min="20" max="20" width="9" style="2956" customWidth="1"/>
    <col min="21" max="16384" width="8.875" style="2956"/>
  </cols>
  <sheetData>
    <row r="1" spans="1:21">
      <c r="A1" s="2956" t="s">
        <v>3070</v>
      </c>
      <c r="B1" s="2956" t="s">
        <v>3071</v>
      </c>
      <c r="C1" s="2956" t="s">
        <v>3072</v>
      </c>
      <c r="D1" s="2956" t="s">
        <v>3073</v>
      </c>
      <c r="E1" s="2956" t="s">
        <v>3074</v>
      </c>
      <c r="F1" s="2956" t="s">
        <v>3075</v>
      </c>
      <c r="G1" s="2956" t="s">
        <v>3076</v>
      </c>
      <c r="H1" s="2956" t="s">
        <v>3077</v>
      </c>
      <c r="I1" s="2956" t="s">
        <v>3078</v>
      </c>
      <c r="J1" s="2956" t="s">
        <v>3079</v>
      </c>
      <c r="K1" s="2956" t="s">
        <v>3080</v>
      </c>
      <c r="L1" s="2956" t="s">
        <v>3081</v>
      </c>
      <c r="M1" s="2956" t="s">
        <v>3082</v>
      </c>
      <c r="N1" s="2956" t="s">
        <v>3083</v>
      </c>
      <c r="O1" s="2956" t="s">
        <v>3084</v>
      </c>
      <c r="P1" s="2956" t="s">
        <v>3085</v>
      </c>
      <c r="Q1" s="2956" t="s">
        <v>3086</v>
      </c>
      <c r="R1" s="2956" t="s">
        <v>3087</v>
      </c>
      <c r="S1" s="2956" t="s">
        <v>3088</v>
      </c>
      <c r="T1" s="2956" t="s">
        <v>3089</v>
      </c>
    </row>
    <row r="2" spans="1:21" s="2986" customFormat="1" ht="14.25">
      <c r="A2" s="2986" t="s">
        <v>3090</v>
      </c>
      <c r="B2" s="2986" t="s">
        <v>3091</v>
      </c>
      <c r="C2" s="2986" t="s">
        <v>3092</v>
      </c>
      <c r="D2" s="2986" t="s">
        <v>1327</v>
      </c>
      <c r="E2" s="2986" t="s">
        <v>3090</v>
      </c>
      <c r="F2" s="2986" t="s">
        <v>3093</v>
      </c>
      <c r="G2" s="2986" t="s">
        <v>3094</v>
      </c>
      <c r="H2" s="2986" t="s">
        <v>3095</v>
      </c>
      <c r="I2" s="2986">
        <v>64206.3</v>
      </c>
      <c r="J2" s="2986">
        <v>128400</v>
      </c>
      <c r="K2" s="2986" t="s">
        <v>3096</v>
      </c>
      <c r="L2" s="2986" t="s">
        <v>3097</v>
      </c>
      <c r="M2" s="2986" t="s">
        <v>3098</v>
      </c>
      <c r="N2" s="2986" t="s">
        <v>3099</v>
      </c>
      <c r="O2" s="2986">
        <v>145427.29</v>
      </c>
      <c r="P2" s="2986">
        <v>1510</v>
      </c>
      <c r="Q2" s="2986">
        <v>11326.11</v>
      </c>
      <c r="R2" s="2986">
        <v>37.270000000000003</v>
      </c>
      <c r="S2" s="2986" t="s">
        <v>3100</v>
      </c>
      <c r="T2" s="2986" t="s">
        <v>3101</v>
      </c>
      <c r="U2" s="2991" t="s">
        <v>3396</v>
      </c>
    </row>
    <row r="3" spans="1:21">
      <c r="A3" s="2956" t="s">
        <v>3102</v>
      </c>
      <c r="B3" s="2956" t="s">
        <v>3091</v>
      </c>
      <c r="C3" s="2956" t="s">
        <v>3092</v>
      </c>
      <c r="D3" s="2956" t="s">
        <v>1327</v>
      </c>
      <c r="E3" s="2956" t="s">
        <v>3102</v>
      </c>
      <c r="F3" s="2956" t="s">
        <v>3093</v>
      </c>
      <c r="G3" s="2956" t="s">
        <v>3103</v>
      </c>
      <c r="H3" s="2956" t="s">
        <v>3095</v>
      </c>
      <c r="I3" s="2956">
        <v>96823.21</v>
      </c>
      <c r="J3" s="2956">
        <v>290400</v>
      </c>
      <c r="K3" s="2956" t="s">
        <v>3104</v>
      </c>
      <c r="L3" s="2956" t="s">
        <v>3097</v>
      </c>
      <c r="M3" s="2956" t="s">
        <v>3098</v>
      </c>
      <c r="N3" s="2956" t="s">
        <v>3105</v>
      </c>
      <c r="O3" s="2956">
        <v>287564.90000000002</v>
      </c>
      <c r="P3" s="2956">
        <v>1980</v>
      </c>
      <c r="Q3" s="2956">
        <v>9902.3700000000008</v>
      </c>
      <c r="R3" s="2956">
        <v>23.75</v>
      </c>
      <c r="S3" s="2956" t="s">
        <v>3100</v>
      </c>
      <c r="T3" s="2956" t="s">
        <v>3101</v>
      </c>
    </row>
    <row r="4" spans="1:21" s="2986" customFormat="1">
      <c r="A4" s="2986" t="s">
        <v>3106</v>
      </c>
      <c r="B4" s="2986" t="s">
        <v>3091</v>
      </c>
      <c r="C4" s="2986" t="s">
        <v>3092</v>
      </c>
      <c r="D4" s="2986" t="s">
        <v>1327</v>
      </c>
      <c r="E4" s="2986" t="s">
        <v>3106</v>
      </c>
      <c r="F4" s="2986" t="s">
        <v>3093</v>
      </c>
      <c r="G4" s="2986" t="s">
        <v>3107</v>
      </c>
      <c r="H4" s="2986" t="s">
        <v>3108</v>
      </c>
      <c r="I4" s="2986">
        <v>47263.56</v>
      </c>
      <c r="J4" s="2986">
        <v>94500</v>
      </c>
      <c r="K4" s="2986" t="s">
        <v>3109</v>
      </c>
      <c r="L4" s="2986" t="s">
        <v>3097</v>
      </c>
      <c r="M4" s="2986" t="s">
        <v>3098</v>
      </c>
      <c r="N4" s="2986" t="s">
        <v>3110</v>
      </c>
      <c r="O4" s="2986">
        <v>101205.5</v>
      </c>
      <c r="P4" s="2986">
        <v>1427.53</v>
      </c>
      <c r="Q4" s="2986">
        <v>10709.57</v>
      </c>
      <c r="R4" s="2986">
        <v>29.78</v>
      </c>
      <c r="S4" s="2986" t="s">
        <v>3100</v>
      </c>
      <c r="T4" s="2986" t="s">
        <v>3111</v>
      </c>
    </row>
    <row r="5" spans="1:21">
      <c r="A5" s="2956" t="s">
        <v>3112</v>
      </c>
      <c r="B5" s="2956" t="s">
        <v>3091</v>
      </c>
      <c r="C5" s="2956" t="s">
        <v>3092</v>
      </c>
      <c r="D5" s="2956" t="s">
        <v>1327</v>
      </c>
      <c r="E5" s="2956" t="s">
        <v>3112</v>
      </c>
      <c r="F5" s="2956" t="s">
        <v>3093</v>
      </c>
      <c r="G5" s="2956" t="s">
        <v>3113</v>
      </c>
      <c r="H5" s="2956" t="s">
        <v>3114</v>
      </c>
      <c r="I5" s="2956">
        <v>70193.83</v>
      </c>
      <c r="J5" s="2956">
        <v>315800</v>
      </c>
      <c r="K5" s="2956" t="s">
        <v>3115</v>
      </c>
      <c r="L5" s="2956" t="s">
        <v>3116</v>
      </c>
      <c r="M5" s="2956" t="s">
        <v>3117</v>
      </c>
      <c r="N5" s="2956" t="s">
        <v>3118</v>
      </c>
      <c r="O5" s="2956">
        <v>151934.5</v>
      </c>
      <c r="P5" s="2956">
        <v>1443</v>
      </c>
      <c r="Q5" s="2956">
        <v>4811.1000000000004</v>
      </c>
      <c r="R5" s="2956">
        <v>0</v>
      </c>
      <c r="S5" s="2956" t="s">
        <v>3100</v>
      </c>
      <c r="T5" s="2956" t="s">
        <v>3119</v>
      </c>
    </row>
    <row r="6" spans="1:21">
      <c r="A6" s="2956" t="s">
        <v>3120</v>
      </c>
      <c r="B6" s="2956" t="s">
        <v>3091</v>
      </c>
      <c r="C6" s="2956" t="s">
        <v>3092</v>
      </c>
      <c r="D6" s="2956" t="s">
        <v>1327</v>
      </c>
      <c r="E6" s="2956" t="s">
        <v>3120</v>
      </c>
      <c r="F6" s="2956" t="s">
        <v>3093</v>
      </c>
      <c r="G6" s="2956" t="s">
        <v>3121</v>
      </c>
      <c r="H6" s="2956" t="s">
        <v>3122</v>
      </c>
      <c r="I6" s="2956">
        <v>187963.7</v>
      </c>
      <c r="J6" s="2956">
        <v>187963.7</v>
      </c>
      <c r="K6" s="2956" t="s">
        <v>3123</v>
      </c>
      <c r="L6" s="2956" t="s">
        <v>3124</v>
      </c>
      <c r="M6" s="2956" t="s">
        <v>3125</v>
      </c>
      <c r="N6" s="2956" t="s">
        <v>3126</v>
      </c>
      <c r="O6" s="2956">
        <v>94169.83</v>
      </c>
      <c r="P6" s="2956">
        <v>334</v>
      </c>
      <c r="Q6" s="2956">
        <v>5010</v>
      </c>
      <c r="R6" s="2956">
        <v>0</v>
      </c>
      <c r="S6" s="2956" t="s">
        <v>3100</v>
      </c>
      <c r="T6" s="2956" t="s">
        <v>3127</v>
      </c>
    </row>
    <row r="7" spans="1:21">
      <c r="A7" s="2956" t="s">
        <v>3128</v>
      </c>
      <c r="B7" s="2956" t="s">
        <v>3091</v>
      </c>
      <c r="C7" s="2956" t="s">
        <v>3092</v>
      </c>
      <c r="D7" s="2956" t="s">
        <v>1327</v>
      </c>
      <c r="E7" s="2956" t="s">
        <v>3128</v>
      </c>
      <c r="F7" s="2956" t="s">
        <v>3093</v>
      </c>
      <c r="G7" s="2956" t="s">
        <v>3129</v>
      </c>
      <c r="H7" s="2956" t="s">
        <v>3122</v>
      </c>
      <c r="I7" s="2956">
        <v>197182.2</v>
      </c>
      <c r="J7" s="2956">
        <v>197182.2</v>
      </c>
      <c r="K7" s="2956" t="s">
        <v>3123</v>
      </c>
      <c r="L7" s="2956" t="s">
        <v>3124</v>
      </c>
      <c r="M7" s="2956" t="s">
        <v>3125</v>
      </c>
      <c r="N7" s="2956" t="s">
        <v>3130</v>
      </c>
      <c r="O7" s="2956">
        <v>94943.22</v>
      </c>
      <c r="P7" s="2956">
        <v>321</v>
      </c>
      <c r="Q7" s="2956">
        <v>4815</v>
      </c>
      <c r="R7" s="2956">
        <v>0</v>
      </c>
      <c r="S7" s="2956" t="s">
        <v>3100</v>
      </c>
      <c r="T7" s="2956" t="s">
        <v>3127</v>
      </c>
    </row>
    <row r="8" spans="1:21">
      <c r="A8" s="2956" t="s">
        <v>3131</v>
      </c>
      <c r="B8" s="2956" t="s">
        <v>3091</v>
      </c>
      <c r="C8" s="2956" t="s">
        <v>3092</v>
      </c>
      <c r="D8" s="2956" t="s">
        <v>1327</v>
      </c>
      <c r="E8" s="2956" t="s">
        <v>3131</v>
      </c>
      <c r="F8" s="2956" t="s">
        <v>3093</v>
      </c>
      <c r="G8" s="2956" t="s">
        <v>3132</v>
      </c>
      <c r="H8" s="2956" t="s">
        <v>3122</v>
      </c>
      <c r="I8" s="2956">
        <v>190129.9</v>
      </c>
      <c r="J8" s="2956">
        <v>190129.9</v>
      </c>
      <c r="K8" s="2956" t="s">
        <v>3123</v>
      </c>
      <c r="L8" s="2956" t="s">
        <v>3124</v>
      </c>
      <c r="M8" s="2956" t="s">
        <v>3125</v>
      </c>
      <c r="N8" s="2956" t="s">
        <v>3126</v>
      </c>
      <c r="O8" s="2956">
        <v>104951.69</v>
      </c>
      <c r="P8" s="2956">
        <v>368</v>
      </c>
      <c r="Q8" s="2956">
        <v>5520</v>
      </c>
      <c r="R8" s="2956">
        <v>0</v>
      </c>
      <c r="S8" s="2956" t="s">
        <v>3100</v>
      </c>
      <c r="T8" s="2956" t="s">
        <v>3127</v>
      </c>
    </row>
    <row r="9" spans="1:21">
      <c r="A9" s="2956" t="s">
        <v>3133</v>
      </c>
      <c r="B9" s="2956" t="s">
        <v>3091</v>
      </c>
      <c r="C9" s="2956" t="s">
        <v>3092</v>
      </c>
      <c r="D9" s="2956" t="s">
        <v>1327</v>
      </c>
      <c r="E9" s="2956" t="s">
        <v>3133</v>
      </c>
      <c r="F9" s="2956" t="s">
        <v>3093</v>
      </c>
      <c r="G9" s="2956" t="s">
        <v>3134</v>
      </c>
      <c r="H9" s="2956" t="s">
        <v>3122</v>
      </c>
      <c r="I9" s="2956">
        <v>186172.5</v>
      </c>
      <c r="J9" s="2956">
        <v>186172.5</v>
      </c>
      <c r="K9" s="2956" t="s">
        <v>3123</v>
      </c>
      <c r="L9" s="2956" t="s">
        <v>3124</v>
      </c>
      <c r="M9" s="2956" t="s">
        <v>3125</v>
      </c>
      <c r="N9" s="2956" t="s">
        <v>3130</v>
      </c>
      <c r="O9" s="2956">
        <v>92713.91</v>
      </c>
      <c r="P9" s="2956">
        <v>332</v>
      </c>
      <c r="Q9" s="2956">
        <v>4980</v>
      </c>
      <c r="R9" s="2956">
        <v>0</v>
      </c>
      <c r="S9" s="2956" t="s">
        <v>3100</v>
      </c>
      <c r="T9" s="2956" t="s">
        <v>3127</v>
      </c>
    </row>
    <row r="10" spans="1:21">
      <c r="A10" s="2956" t="s">
        <v>3135</v>
      </c>
      <c r="B10" s="2956" t="s">
        <v>3091</v>
      </c>
      <c r="C10" s="2956" t="s">
        <v>3092</v>
      </c>
      <c r="D10" s="2956" t="s">
        <v>1327</v>
      </c>
      <c r="E10" s="2956" t="s">
        <v>3135</v>
      </c>
      <c r="F10" s="2956" t="s">
        <v>3093</v>
      </c>
      <c r="G10" s="2956" t="s">
        <v>3136</v>
      </c>
      <c r="H10" s="2956" t="s">
        <v>3122</v>
      </c>
      <c r="I10" s="2956">
        <v>168532.2</v>
      </c>
      <c r="J10" s="2956">
        <v>419100</v>
      </c>
      <c r="K10" s="2956" t="s">
        <v>3137</v>
      </c>
      <c r="L10" s="2956" t="s">
        <v>3138</v>
      </c>
      <c r="M10" s="2956" t="s">
        <v>3139</v>
      </c>
      <c r="N10" s="2956" t="s">
        <v>3140</v>
      </c>
      <c r="O10" s="2956">
        <v>90244.49</v>
      </c>
      <c r="P10" s="2956">
        <v>356.98</v>
      </c>
      <c r="Q10" s="2956">
        <v>2153.2800000000002</v>
      </c>
      <c r="R10" s="2956">
        <v>0</v>
      </c>
      <c r="S10" s="2956" t="s">
        <v>3141</v>
      </c>
      <c r="T10" s="2956" t="s">
        <v>3127</v>
      </c>
    </row>
    <row r="11" spans="1:21">
      <c r="A11" s="2956" t="s">
        <v>3142</v>
      </c>
      <c r="B11" s="2956" t="s">
        <v>3091</v>
      </c>
      <c r="C11" s="2956" t="s">
        <v>3092</v>
      </c>
      <c r="D11" s="2956" t="s">
        <v>1327</v>
      </c>
      <c r="E11" s="2956" t="s">
        <v>3142</v>
      </c>
      <c r="F11" s="2956" t="s">
        <v>3093</v>
      </c>
      <c r="G11" s="2956" t="s">
        <v>3143</v>
      </c>
      <c r="H11" s="2956" t="s">
        <v>3122</v>
      </c>
      <c r="I11" s="2956">
        <v>183860.7</v>
      </c>
      <c r="J11" s="2956">
        <v>432600</v>
      </c>
      <c r="K11" s="2956" t="s">
        <v>3144</v>
      </c>
      <c r="L11" s="2956" t="s">
        <v>3138</v>
      </c>
      <c r="M11" s="2956" t="s">
        <v>3139</v>
      </c>
      <c r="N11" s="2956" t="s">
        <v>3145</v>
      </c>
      <c r="O11" s="2956">
        <v>93212.69</v>
      </c>
      <c r="P11" s="2956">
        <v>337.98</v>
      </c>
      <c r="Q11" s="2956">
        <v>2154.71</v>
      </c>
      <c r="R11" s="2956">
        <v>0</v>
      </c>
      <c r="S11" s="2956" t="s">
        <v>3141</v>
      </c>
      <c r="T11" s="2956" t="s">
        <v>3127</v>
      </c>
    </row>
    <row r="12" spans="1:21">
      <c r="A12" s="2956" t="s">
        <v>3146</v>
      </c>
      <c r="B12" s="2956" t="s">
        <v>3091</v>
      </c>
      <c r="C12" s="2956" t="s">
        <v>3092</v>
      </c>
      <c r="D12" s="2956" t="s">
        <v>1327</v>
      </c>
      <c r="E12" s="2956" t="s">
        <v>3146</v>
      </c>
      <c r="F12" s="2956" t="s">
        <v>3093</v>
      </c>
      <c r="G12" s="2956" t="s">
        <v>3147</v>
      </c>
      <c r="H12" s="2956" t="s">
        <v>3122</v>
      </c>
      <c r="I12" s="2956">
        <v>169440.8</v>
      </c>
      <c r="J12" s="2956">
        <v>252700</v>
      </c>
      <c r="K12" s="2956" t="s">
        <v>3148</v>
      </c>
      <c r="L12" s="2956" t="s">
        <v>3138</v>
      </c>
      <c r="M12" s="2956" t="s">
        <v>3139</v>
      </c>
      <c r="N12" s="2956" t="s">
        <v>3140</v>
      </c>
      <c r="O12" s="2956">
        <v>96068.13</v>
      </c>
      <c r="P12" s="2956">
        <v>377.98</v>
      </c>
      <c r="Q12" s="2956">
        <v>3801.67</v>
      </c>
      <c r="R12" s="2956">
        <v>0</v>
      </c>
      <c r="S12" s="2956" t="s">
        <v>3141</v>
      </c>
      <c r="T12" s="2956" t="s">
        <v>3127</v>
      </c>
    </row>
    <row r="13" spans="1:21" s="2986" customFormat="1" ht="14.25">
      <c r="A13" s="2986" t="s">
        <v>3149</v>
      </c>
      <c r="B13" s="2986" t="s">
        <v>3091</v>
      </c>
      <c r="C13" s="2986" t="s">
        <v>3092</v>
      </c>
      <c r="D13" s="2986" t="s">
        <v>1327</v>
      </c>
      <c r="E13" s="2986" t="s">
        <v>3149</v>
      </c>
      <c r="F13" s="2986" t="s">
        <v>3093</v>
      </c>
      <c r="G13" s="2986" t="s">
        <v>3150</v>
      </c>
      <c r="H13" s="2986" t="s">
        <v>3122</v>
      </c>
      <c r="I13" s="2986">
        <v>39404.5</v>
      </c>
      <c r="J13" s="2986">
        <v>78800</v>
      </c>
      <c r="K13" s="2986" t="s">
        <v>3096</v>
      </c>
      <c r="L13" s="2986" t="s">
        <v>3151</v>
      </c>
      <c r="M13" s="2986" t="s">
        <v>3152</v>
      </c>
      <c r="N13" s="2986" t="s">
        <v>3153</v>
      </c>
      <c r="O13" s="2986">
        <v>86295.92</v>
      </c>
      <c r="P13" s="2986">
        <v>1460</v>
      </c>
      <c r="Q13" s="2986">
        <v>10951.26</v>
      </c>
      <c r="R13" s="2986">
        <v>21.67</v>
      </c>
      <c r="S13" s="2986" t="s">
        <v>3122</v>
      </c>
      <c r="T13" s="2986" t="s">
        <v>3154</v>
      </c>
      <c r="U13" s="2991" t="s">
        <v>3397</v>
      </c>
    </row>
    <row r="14" spans="1:21" s="2986" customFormat="1">
      <c r="A14" s="2986" t="s">
        <v>3149</v>
      </c>
      <c r="B14" s="2986" t="s">
        <v>3091</v>
      </c>
      <c r="C14" s="2986" t="s">
        <v>3092</v>
      </c>
      <c r="D14" s="2986" t="s">
        <v>1327</v>
      </c>
      <c r="E14" s="2986" t="s">
        <v>3149</v>
      </c>
      <c r="F14" s="2986" t="s">
        <v>3093</v>
      </c>
      <c r="G14" s="2986" t="s">
        <v>3155</v>
      </c>
      <c r="H14" s="2986" t="s">
        <v>3122</v>
      </c>
      <c r="I14" s="2986">
        <v>48324.480000000003</v>
      </c>
      <c r="J14" s="2986">
        <v>96600</v>
      </c>
      <c r="K14" s="2986" t="s">
        <v>3156</v>
      </c>
      <c r="L14" s="2986" t="s">
        <v>3151</v>
      </c>
      <c r="M14" s="2986" t="s">
        <v>3152</v>
      </c>
      <c r="N14" s="2986" t="s">
        <v>3157</v>
      </c>
      <c r="O14" s="2986">
        <v>107999.8</v>
      </c>
      <c r="P14" s="2986">
        <v>1489.93</v>
      </c>
      <c r="Q14" s="2986">
        <v>11180.1</v>
      </c>
      <c r="R14" s="2986">
        <v>24.17</v>
      </c>
      <c r="S14" s="2986" t="s">
        <v>3122</v>
      </c>
      <c r="T14" s="2986" t="s">
        <v>3154</v>
      </c>
    </row>
    <row r="15" spans="1:21">
      <c r="A15" s="2956" t="s">
        <v>3158</v>
      </c>
      <c r="B15" s="2956" t="s">
        <v>3091</v>
      </c>
      <c r="C15" s="2956" t="s">
        <v>3092</v>
      </c>
      <c r="D15" s="2956" t="s">
        <v>1327</v>
      </c>
      <c r="E15" s="2956" t="s">
        <v>3158</v>
      </c>
      <c r="F15" s="2956" t="s">
        <v>3093</v>
      </c>
      <c r="G15" s="2956" t="s">
        <v>3159</v>
      </c>
      <c r="H15" s="2956" t="s">
        <v>3160</v>
      </c>
      <c r="I15" s="2956">
        <v>24363.65</v>
      </c>
      <c r="J15" s="2956">
        <v>207500</v>
      </c>
      <c r="K15" s="2956" t="s">
        <v>1327</v>
      </c>
      <c r="L15" s="2956" t="s">
        <v>3161</v>
      </c>
      <c r="M15" s="2956" t="s">
        <v>3162</v>
      </c>
      <c r="N15" s="2956" t="s">
        <v>3163</v>
      </c>
      <c r="O15" s="2956">
        <v>17541.84</v>
      </c>
      <c r="P15" s="2956">
        <v>480</v>
      </c>
      <c r="Q15" s="2956">
        <v>845.38</v>
      </c>
      <c r="R15" s="2956">
        <v>0</v>
      </c>
      <c r="S15" s="2956" t="s">
        <v>3164</v>
      </c>
      <c r="T15" s="2956" t="s">
        <v>3101</v>
      </c>
    </row>
    <row r="16" spans="1:21" ht="14.25">
      <c r="A16" s="2956" t="s">
        <v>3165</v>
      </c>
      <c r="B16" s="2956" t="s">
        <v>3091</v>
      </c>
      <c r="C16" s="2956" t="s">
        <v>3092</v>
      </c>
      <c r="D16" s="2956" t="s">
        <v>1327</v>
      </c>
      <c r="E16" s="2956" t="s">
        <v>3165</v>
      </c>
      <c r="F16" s="2956" t="s">
        <v>3093</v>
      </c>
      <c r="G16" s="2956" t="s">
        <v>3166</v>
      </c>
      <c r="H16" s="2956" t="s">
        <v>3167</v>
      </c>
      <c r="I16" s="2956">
        <v>78055.839999999997</v>
      </c>
      <c r="J16" s="2956">
        <v>117000</v>
      </c>
      <c r="K16" s="2956" t="s">
        <v>1327</v>
      </c>
      <c r="L16" s="2956" t="s">
        <v>3168</v>
      </c>
      <c r="M16" s="2956" t="s">
        <v>3169</v>
      </c>
      <c r="N16" s="2956" t="s">
        <v>3170</v>
      </c>
      <c r="O16" s="2956">
        <v>148210.6</v>
      </c>
      <c r="P16" s="2956">
        <v>1265.8499999999999</v>
      </c>
      <c r="Q16" s="2956">
        <v>12667.56</v>
      </c>
      <c r="R16" s="2956">
        <v>31.87</v>
      </c>
      <c r="S16" s="2956" t="s">
        <v>3141</v>
      </c>
      <c r="T16" s="2956" t="s">
        <v>3111</v>
      </c>
      <c r="U16" s="2992" t="s">
        <v>3398</v>
      </c>
    </row>
    <row r="17" spans="1:21">
      <c r="A17" s="2956" t="s">
        <v>3171</v>
      </c>
      <c r="B17" s="2956" t="s">
        <v>3091</v>
      </c>
      <c r="C17" s="2956" t="s">
        <v>3092</v>
      </c>
      <c r="D17" s="2956" t="s">
        <v>1327</v>
      </c>
      <c r="E17" s="2956" t="s">
        <v>3171</v>
      </c>
      <c r="F17" s="2956" t="s">
        <v>3093</v>
      </c>
      <c r="G17" s="2956" t="s">
        <v>3172</v>
      </c>
      <c r="H17" s="2956" t="s">
        <v>3160</v>
      </c>
      <c r="I17" s="2956">
        <v>114680.3</v>
      </c>
      <c r="J17" s="2956">
        <v>229300</v>
      </c>
      <c r="K17" s="2956" t="s">
        <v>3096</v>
      </c>
      <c r="L17" s="2956" t="s">
        <v>3173</v>
      </c>
      <c r="M17" s="2956" t="s">
        <v>3174</v>
      </c>
      <c r="N17" s="2956" t="s">
        <v>3175</v>
      </c>
      <c r="O17" s="2956">
        <v>82569.83</v>
      </c>
      <c r="P17" s="2956">
        <v>480</v>
      </c>
      <c r="Q17" s="2956">
        <v>3600.94</v>
      </c>
      <c r="R17" s="2956">
        <v>0</v>
      </c>
      <c r="S17" s="2956" t="s">
        <v>3176</v>
      </c>
      <c r="T17" s="2956" t="s">
        <v>3119</v>
      </c>
    </row>
    <row r="18" spans="1:21" s="2987" customFormat="1">
      <c r="A18" s="2987" t="s">
        <v>3177</v>
      </c>
      <c r="B18" s="2987" t="s">
        <v>3091</v>
      </c>
      <c r="C18" s="2987" t="s">
        <v>3178</v>
      </c>
      <c r="D18" s="2987" t="s">
        <v>1327</v>
      </c>
      <c r="E18" s="2987" t="s">
        <v>3177</v>
      </c>
      <c r="F18" s="2987" t="s">
        <v>3093</v>
      </c>
      <c r="G18" s="2987" t="s">
        <v>3179</v>
      </c>
      <c r="H18" s="2987" t="s">
        <v>3180</v>
      </c>
      <c r="I18" s="2987">
        <v>29719.56</v>
      </c>
      <c r="J18" s="2987">
        <v>74200</v>
      </c>
      <c r="K18" s="2987" t="s">
        <v>3181</v>
      </c>
      <c r="L18" s="2987" t="s">
        <v>3182</v>
      </c>
      <c r="M18" s="2987" t="s">
        <v>3183</v>
      </c>
      <c r="N18" s="2987" t="s">
        <v>3184</v>
      </c>
      <c r="O18" s="2987">
        <v>54386.75</v>
      </c>
      <c r="P18" s="2987">
        <v>1220</v>
      </c>
      <c r="Q18" s="2987">
        <v>7329.75</v>
      </c>
      <c r="R18" s="2987">
        <v>1.67</v>
      </c>
      <c r="S18" s="2987" t="s">
        <v>3185</v>
      </c>
      <c r="T18" s="2987" t="s">
        <v>3111</v>
      </c>
    </row>
    <row r="19" spans="1:21" s="2987" customFormat="1">
      <c r="A19" s="2987" t="s">
        <v>3186</v>
      </c>
      <c r="B19" s="2987" t="s">
        <v>3091</v>
      </c>
      <c r="C19" s="2987" t="s">
        <v>3092</v>
      </c>
      <c r="D19" s="2987" t="s">
        <v>1327</v>
      </c>
      <c r="E19" s="2987" t="s">
        <v>3186</v>
      </c>
      <c r="F19" s="2987" t="s">
        <v>3093</v>
      </c>
      <c r="G19" s="2987" t="s">
        <v>3187</v>
      </c>
      <c r="H19" s="2987" t="s">
        <v>3188</v>
      </c>
      <c r="I19" s="2987">
        <v>106456.1</v>
      </c>
      <c r="J19" s="2987">
        <v>325500</v>
      </c>
      <c r="K19" s="2987" t="s">
        <v>3189</v>
      </c>
      <c r="L19" s="2987" t="s">
        <v>3182</v>
      </c>
      <c r="M19" s="2987" t="s">
        <v>3183</v>
      </c>
      <c r="N19" s="2987" t="s">
        <v>3190</v>
      </c>
      <c r="O19" s="2987">
        <v>233127.2</v>
      </c>
      <c r="P19" s="2987">
        <v>1459.93</v>
      </c>
      <c r="Q19" s="2987">
        <v>7162.13</v>
      </c>
      <c r="R19" s="2987">
        <v>62.22</v>
      </c>
      <c r="S19" s="2987" t="s">
        <v>3191</v>
      </c>
      <c r="T19" s="2987" t="s">
        <v>3101</v>
      </c>
    </row>
    <row r="20" spans="1:21" s="2987" customFormat="1" ht="14.25">
      <c r="A20" s="2987" t="s">
        <v>3192</v>
      </c>
      <c r="B20" s="2987" t="s">
        <v>3091</v>
      </c>
      <c r="C20" s="2987" t="s">
        <v>3092</v>
      </c>
      <c r="D20" s="2987" t="s">
        <v>1327</v>
      </c>
      <c r="E20" s="2987" t="s">
        <v>3192</v>
      </c>
      <c r="F20" s="2987" t="s">
        <v>3093</v>
      </c>
      <c r="G20" s="2987" t="s">
        <v>3193</v>
      </c>
      <c r="H20" s="2987" t="s">
        <v>3194</v>
      </c>
      <c r="I20" s="2987">
        <v>33063.120000000003</v>
      </c>
      <c r="J20" s="2987">
        <v>82600</v>
      </c>
      <c r="K20" s="2987" t="s">
        <v>3195</v>
      </c>
      <c r="L20" s="2987" t="s">
        <v>3182</v>
      </c>
      <c r="M20" s="2987" t="s">
        <v>3183</v>
      </c>
      <c r="N20" s="2987" t="s">
        <v>3196</v>
      </c>
      <c r="O20" s="2987">
        <v>60502.48</v>
      </c>
      <c r="P20" s="2987">
        <v>1219.94</v>
      </c>
      <c r="Q20" s="2987">
        <v>7324.76</v>
      </c>
      <c r="R20" s="2987">
        <v>1.67</v>
      </c>
      <c r="S20" s="2987" t="s">
        <v>3191</v>
      </c>
      <c r="T20" s="2987" t="s">
        <v>3111</v>
      </c>
      <c r="U20" s="2990" t="s">
        <v>3395</v>
      </c>
    </row>
    <row r="21" spans="1:21">
      <c r="A21" s="2956" t="s">
        <v>3197</v>
      </c>
      <c r="B21" s="2956" t="s">
        <v>3091</v>
      </c>
      <c r="C21" s="2956" t="s">
        <v>3092</v>
      </c>
      <c r="D21" s="2956" t="s">
        <v>1327</v>
      </c>
      <c r="E21" s="2956" t="s">
        <v>3197</v>
      </c>
      <c r="F21" s="2956" t="s">
        <v>3093</v>
      </c>
      <c r="G21" s="2956" t="s">
        <v>3198</v>
      </c>
      <c r="H21" s="2956" t="s">
        <v>3122</v>
      </c>
      <c r="I21" s="2956">
        <v>60070.12</v>
      </c>
      <c r="J21" s="2956">
        <v>175300</v>
      </c>
      <c r="K21" s="2956" t="s">
        <v>3199</v>
      </c>
      <c r="L21" s="2956" t="s">
        <v>3200</v>
      </c>
      <c r="M21" s="2956" t="s">
        <v>3201</v>
      </c>
      <c r="N21" s="2956" t="s">
        <v>3202</v>
      </c>
      <c r="O21" s="2956">
        <v>28653.45</v>
      </c>
      <c r="P21" s="2956">
        <v>318</v>
      </c>
      <c r="Q21" s="2956">
        <v>1634.53</v>
      </c>
      <c r="R21" s="2956">
        <v>0</v>
      </c>
      <c r="S21" s="2956" t="s">
        <v>3141</v>
      </c>
      <c r="T21" s="2956" t="s">
        <v>3119</v>
      </c>
    </row>
    <row r="22" spans="1:21">
      <c r="A22" s="2956" t="s">
        <v>3203</v>
      </c>
      <c r="B22" s="2956" t="s">
        <v>3091</v>
      </c>
      <c r="C22" s="2956" t="s">
        <v>3092</v>
      </c>
      <c r="D22" s="2956" t="s">
        <v>1327</v>
      </c>
      <c r="E22" s="2956" t="s">
        <v>3203</v>
      </c>
      <c r="F22" s="2956" t="s">
        <v>3093</v>
      </c>
      <c r="G22" s="2956" t="s">
        <v>3204</v>
      </c>
      <c r="H22" s="2956" t="s">
        <v>3122</v>
      </c>
      <c r="I22" s="2956">
        <v>199596.1</v>
      </c>
      <c r="J22" s="2956">
        <v>1295300</v>
      </c>
      <c r="K22" s="2956" t="s">
        <v>3205</v>
      </c>
      <c r="L22" s="2956" t="s">
        <v>3206</v>
      </c>
      <c r="M22" s="2956" t="s">
        <v>3207</v>
      </c>
      <c r="N22" s="2956" t="s">
        <v>3208</v>
      </c>
      <c r="O22" s="2956">
        <v>479030.7</v>
      </c>
      <c r="P22" s="2956">
        <v>1600</v>
      </c>
      <c r="Q22" s="2956">
        <v>3698.21</v>
      </c>
      <c r="R22" s="2956">
        <v>107.79</v>
      </c>
      <c r="S22" s="2956" t="s">
        <v>3141</v>
      </c>
      <c r="T22" s="2956" t="s">
        <v>3119</v>
      </c>
    </row>
    <row r="23" spans="1:21">
      <c r="A23" s="2956" t="s">
        <v>3209</v>
      </c>
      <c r="B23" s="2956" t="s">
        <v>3091</v>
      </c>
      <c r="C23" s="2956" t="s">
        <v>3092</v>
      </c>
      <c r="D23" s="2956" t="s">
        <v>1327</v>
      </c>
      <c r="E23" s="2956" t="s">
        <v>3209</v>
      </c>
      <c r="F23" s="2956" t="s">
        <v>3093</v>
      </c>
      <c r="G23" s="2956" t="s">
        <v>3210</v>
      </c>
      <c r="H23" s="2956" t="s">
        <v>3211</v>
      </c>
      <c r="I23" s="2956">
        <v>157116.9</v>
      </c>
      <c r="J23" s="2956">
        <v>418400</v>
      </c>
      <c r="K23" s="2956" t="s">
        <v>3212</v>
      </c>
      <c r="L23" s="2956" t="s">
        <v>3213</v>
      </c>
      <c r="M23" s="2956" t="s">
        <v>3214</v>
      </c>
      <c r="N23" s="2956" t="s">
        <v>3215</v>
      </c>
      <c r="O23" s="2956">
        <v>402770.4</v>
      </c>
      <c r="P23" s="2956">
        <v>1709.01</v>
      </c>
      <c r="Q23" s="2956">
        <v>9626.44</v>
      </c>
      <c r="R23" s="2956">
        <v>36.75</v>
      </c>
      <c r="S23" s="2956" t="s">
        <v>3141</v>
      </c>
      <c r="T23" s="2956" t="s">
        <v>3101</v>
      </c>
    </row>
    <row r="24" spans="1:21" s="2986" customFormat="1">
      <c r="A24" s="2986" t="s">
        <v>3216</v>
      </c>
      <c r="B24" s="2986" t="s">
        <v>3091</v>
      </c>
      <c r="C24" s="2986" t="s">
        <v>3092</v>
      </c>
      <c r="D24" s="2986" t="s">
        <v>1327</v>
      </c>
      <c r="E24" s="2986" t="s">
        <v>3216</v>
      </c>
      <c r="F24" s="2986" t="s">
        <v>3093</v>
      </c>
      <c r="G24" s="2986" t="s">
        <v>3217</v>
      </c>
      <c r="H24" s="2986" t="s">
        <v>3218</v>
      </c>
      <c r="I24" s="2986">
        <v>27265.53</v>
      </c>
      <c r="J24" s="2986">
        <v>54500</v>
      </c>
      <c r="K24" s="2986">
        <v>2</v>
      </c>
      <c r="L24" s="2986" t="s">
        <v>3213</v>
      </c>
      <c r="M24" s="2986" t="s">
        <v>3214</v>
      </c>
      <c r="N24" s="2986" t="s">
        <v>3219</v>
      </c>
      <c r="O24" s="2986">
        <v>65437.27</v>
      </c>
      <c r="P24" s="2986">
        <v>1600</v>
      </c>
      <c r="Q24" s="2986">
        <v>12006.84</v>
      </c>
      <c r="R24" s="2986">
        <v>57.64</v>
      </c>
      <c r="S24" s="2986" t="s">
        <v>3141</v>
      </c>
      <c r="T24" s="2986" t="s">
        <v>3101</v>
      </c>
    </row>
    <row r="25" spans="1:21">
      <c r="A25" s="2956" t="s">
        <v>3220</v>
      </c>
      <c r="B25" s="2956" t="s">
        <v>3091</v>
      </c>
      <c r="C25" s="2956" t="s">
        <v>3092</v>
      </c>
      <c r="D25" s="2956" t="s">
        <v>1327</v>
      </c>
      <c r="E25" s="2956" t="s">
        <v>3220</v>
      </c>
      <c r="F25" s="2956" t="s">
        <v>3093</v>
      </c>
      <c r="G25" s="2956" t="s">
        <v>3221</v>
      </c>
      <c r="H25" s="2956" t="s">
        <v>3122</v>
      </c>
      <c r="I25" s="2956">
        <v>113648.5</v>
      </c>
      <c r="J25" s="2956">
        <v>295800</v>
      </c>
      <c r="K25" s="2956" t="s">
        <v>3222</v>
      </c>
      <c r="L25" s="2956" t="s">
        <v>3213</v>
      </c>
      <c r="M25" s="2956" t="s">
        <v>3214</v>
      </c>
      <c r="N25" s="2956" t="s">
        <v>3196</v>
      </c>
      <c r="O25" s="2956">
        <v>284521.40000000002</v>
      </c>
      <c r="P25" s="2956">
        <v>1669.01</v>
      </c>
      <c r="Q25" s="2956">
        <v>9618.7000000000007</v>
      </c>
      <c r="R25" s="2956">
        <v>36.75</v>
      </c>
      <c r="S25" s="2956" t="s">
        <v>3141</v>
      </c>
      <c r="T25" s="2956" t="s">
        <v>3101</v>
      </c>
    </row>
    <row r="26" spans="1:21">
      <c r="A26" s="2956" t="s">
        <v>3223</v>
      </c>
      <c r="B26" s="2956" t="s">
        <v>3091</v>
      </c>
      <c r="C26" s="2956" t="s">
        <v>3092</v>
      </c>
      <c r="D26" s="2956" t="s">
        <v>1327</v>
      </c>
      <c r="E26" s="2956" t="s">
        <v>3223</v>
      </c>
      <c r="F26" s="2956" t="s">
        <v>3093</v>
      </c>
      <c r="G26" s="2956" t="s">
        <v>3224</v>
      </c>
      <c r="H26" s="2956" t="s">
        <v>3225</v>
      </c>
      <c r="I26" s="2956">
        <v>54018.23</v>
      </c>
      <c r="J26" s="2956">
        <v>129500</v>
      </c>
      <c r="K26" s="2956" t="s">
        <v>3226</v>
      </c>
      <c r="L26" s="2956" t="s">
        <v>3227</v>
      </c>
      <c r="M26" s="2956" t="s">
        <v>3228</v>
      </c>
      <c r="N26" s="2956" t="s">
        <v>3229</v>
      </c>
      <c r="O26" s="2956">
        <v>28764.68</v>
      </c>
      <c r="P26" s="2956">
        <v>355</v>
      </c>
      <c r="Q26" s="2956">
        <v>2221.21</v>
      </c>
      <c r="R26" s="2956">
        <v>0</v>
      </c>
      <c r="S26" s="2956" t="s">
        <v>3176</v>
      </c>
      <c r="T26" s="2956" t="s">
        <v>3111</v>
      </c>
    </row>
    <row r="27" spans="1:21">
      <c r="A27" s="2956" t="s">
        <v>3230</v>
      </c>
      <c r="B27" s="2956" t="s">
        <v>3091</v>
      </c>
      <c r="C27" s="2956" t="s">
        <v>3092</v>
      </c>
      <c r="D27" s="2956" t="s">
        <v>1327</v>
      </c>
      <c r="E27" s="2956" t="s">
        <v>3230</v>
      </c>
      <c r="F27" s="2956" t="s">
        <v>3093</v>
      </c>
      <c r="G27" s="2956" t="s">
        <v>3231</v>
      </c>
      <c r="H27" s="2956" t="s">
        <v>3225</v>
      </c>
      <c r="I27" s="2956">
        <v>71964.98</v>
      </c>
      <c r="J27" s="2956">
        <v>395800</v>
      </c>
      <c r="K27" s="2956" t="s">
        <v>3232</v>
      </c>
      <c r="L27" s="2956" t="s">
        <v>3233</v>
      </c>
      <c r="M27" s="2956" t="s">
        <v>3234</v>
      </c>
      <c r="N27" s="2956" t="s">
        <v>3235</v>
      </c>
      <c r="O27" s="2956">
        <v>29145.83</v>
      </c>
      <c r="P27" s="2956">
        <v>270</v>
      </c>
      <c r="Q27" s="2956">
        <v>736.37</v>
      </c>
      <c r="R27" s="2956">
        <v>0</v>
      </c>
      <c r="S27" s="2956" t="s">
        <v>3176</v>
      </c>
      <c r="T27" s="2956" t="s">
        <v>3119</v>
      </c>
    </row>
    <row r="28" spans="1:21">
      <c r="A28" s="2956" t="s">
        <v>3236</v>
      </c>
      <c r="B28" s="2956" t="s">
        <v>3091</v>
      </c>
      <c r="C28" s="2956" t="s">
        <v>3092</v>
      </c>
      <c r="D28" s="2956" t="s">
        <v>1327</v>
      </c>
      <c r="E28" s="2956" t="s">
        <v>3236</v>
      </c>
      <c r="F28" s="2956" t="s">
        <v>3093</v>
      </c>
      <c r="G28" s="2956" t="s">
        <v>3237</v>
      </c>
      <c r="H28" s="2956" t="s">
        <v>3122</v>
      </c>
      <c r="I28" s="2956">
        <v>31578.85</v>
      </c>
      <c r="J28" s="2956">
        <v>88400</v>
      </c>
      <c r="K28" s="2956" t="s">
        <v>3238</v>
      </c>
      <c r="L28" s="2956" t="s">
        <v>3233</v>
      </c>
      <c r="M28" s="2956" t="s">
        <v>3239</v>
      </c>
      <c r="N28" s="2956" t="s">
        <v>3235</v>
      </c>
      <c r="O28" s="2956">
        <v>12789.44</v>
      </c>
      <c r="P28" s="2956">
        <v>270</v>
      </c>
      <c r="Q28" s="2956">
        <v>1446.76</v>
      </c>
      <c r="R28" s="2956">
        <v>0</v>
      </c>
      <c r="S28" s="2956" t="s">
        <v>3141</v>
      </c>
      <c r="T28" s="2956" t="s">
        <v>3101</v>
      </c>
    </row>
    <row r="29" spans="1:21">
      <c r="A29" s="2956" t="s">
        <v>3240</v>
      </c>
      <c r="B29" s="2956" t="s">
        <v>3091</v>
      </c>
      <c r="C29" s="2956" t="s">
        <v>3092</v>
      </c>
      <c r="D29" s="2956" t="s">
        <v>1327</v>
      </c>
      <c r="E29" s="2956" t="s">
        <v>3240</v>
      </c>
      <c r="F29" s="2956" t="s">
        <v>3093</v>
      </c>
      <c r="G29" s="2956" t="s">
        <v>3241</v>
      </c>
      <c r="H29" s="2956" t="s">
        <v>3122</v>
      </c>
      <c r="I29" s="2956">
        <v>47867.79</v>
      </c>
      <c r="J29" s="2956">
        <v>167500</v>
      </c>
      <c r="K29" s="2956" t="s">
        <v>3242</v>
      </c>
      <c r="L29" s="2956" t="s">
        <v>3233</v>
      </c>
      <c r="M29" s="2956" t="s">
        <v>3243</v>
      </c>
      <c r="N29" s="2956" t="s">
        <v>3235</v>
      </c>
      <c r="O29" s="2956">
        <v>19386.45</v>
      </c>
      <c r="P29" s="2956">
        <v>270</v>
      </c>
      <c r="Q29" s="2956">
        <v>1157.4000000000001</v>
      </c>
      <c r="R29" s="2956">
        <v>0</v>
      </c>
      <c r="S29" s="2956" t="s">
        <v>3141</v>
      </c>
      <c r="T29" s="2956" t="s">
        <v>3127</v>
      </c>
    </row>
    <row r="30" spans="1:21">
      <c r="A30" s="2956" t="s">
        <v>3244</v>
      </c>
      <c r="B30" s="2956" t="s">
        <v>3091</v>
      </c>
      <c r="C30" s="2956" t="s">
        <v>3092</v>
      </c>
      <c r="D30" s="2956" t="s">
        <v>1327</v>
      </c>
      <c r="E30" s="2956" t="s">
        <v>3244</v>
      </c>
      <c r="F30" s="2956" t="s">
        <v>3093</v>
      </c>
      <c r="G30" s="2956" t="s">
        <v>3245</v>
      </c>
      <c r="H30" s="2956" t="s">
        <v>3122</v>
      </c>
      <c r="I30" s="2956">
        <v>42138.74</v>
      </c>
      <c r="J30" s="2956">
        <v>168500</v>
      </c>
      <c r="K30" s="2956" t="s">
        <v>3246</v>
      </c>
      <c r="L30" s="2956" t="s">
        <v>3233</v>
      </c>
      <c r="M30" s="2956" t="s">
        <v>3247</v>
      </c>
      <c r="N30" s="2956" t="s">
        <v>3235</v>
      </c>
      <c r="O30" s="2956">
        <v>17066.18</v>
      </c>
      <c r="P30" s="2956">
        <v>270</v>
      </c>
      <c r="Q30" s="2956">
        <v>1012.83</v>
      </c>
      <c r="R30" s="2956">
        <v>0</v>
      </c>
      <c r="S30" s="2956" t="s">
        <v>3141</v>
      </c>
      <c r="T30" s="2956" t="s">
        <v>3127</v>
      </c>
    </row>
    <row r="31" spans="1:21">
      <c r="A31" s="2956" t="s">
        <v>3248</v>
      </c>
      <c r="B31" s="2956" t="s">
        <v>3091</v>
      </c>
      <c r="C31" s="2956" t="s">
        <v>3092</v>
      </c>
      <c r="D31" s="2956" t="s">
        <v>1327</v>
      </c>
      <c r="E31" s="2956" t="s">
        <v>3248</v>
      </c>
      <c r="F31" s="2956" t="s">
        <v>3093</v>
      </c>
      <c r="G31" s="2956" t="s">
        <v>3249</v>
      </c>
      <c r="H31" s="2956" t="s">
        <v>3122</v>
      </c>
      <c r="I31" s="2956">
        <v>82208.27</v>
      </c>
      <c r="J31" s="2956">
        <v>246600</v>
      </c>
      <c r="K31" s="2956" t="s">
        <v>3250</v>
      </c>
      <c r="L31" s="2956" t="s">
        <v>3233</v>
      </c>
      <c r="M31" s="2956" t="s">
        <v>3251</v>
      </c>
      <c r="N31" s="2956" t="s">
        <v>3235</v>
      </c>
      <c r="O31" s="2956">
        <v>33294.339999999997</v>
      </c>
      <c r="P31" s="2956">
        <v>270</v>
      </c>
      <c r="Q31" s="2956">
        <v>1350.14</v>
      </c>
      <c r="R31" s="2956">
        <v>0</v>
      </c>
      <c r="S31" s="2956" t="s">
        <v>3141</v>
      </c>
      <c r="T31" s="2956" t="s">
        <v>3119</v>
      </c>
    </row>
    <row r="32" spans="1:21">
      <c r="A32" s="2956" t="s">
        <v>3252</v>
      </c>
      <c r="B32" s="2956" t="s">
        <v>3091</v>
      </c>
      <c r="C32" s="2956" t="s">
        <v>3092</v>
      </c>
      <c r="D32" s="2956" t="s">
        <v>1327</v>
      </c>
      <c r="E32" s="2956" t="s">
        <v>3252</v>
      </c>
      <c r="F32" s="2956" t="s">
        <v>3093</v>
      </c>
      <c r="G32" s="2956" t="s">
        <v>3253</v>
      </c>
      <c r="H32" s="2956" t="s">
        <v>3122</v>
      </c>
      <c r="I32" s="2956">
        <v>101070.39999999999</v>
      </c>
      <c r="J32" s="2956">
        <v>353700</v>
      </c>
      <c r="K32" s="2956" t="s">
        <v>3242</v>
      </c>
      <c r="L32" s="2956" t="s">
        <v>3233</v>
      </c>
      <c r="M32" s="2956" t="s">
        <v>3254</v>
      </c>
      <c r="N32" s="2956" t="s">
        <v>3235</v>
      </c>
      <c r="O32" s="2956">
        <v>40933.51</v>
      </c>
      <c r="P32" s="2956">
        <v>270</v>
      </c>
      <c r="Q32" s="2956">
        <v>1157.28</v>
      </c>
      <c r="R32" s="2956">
        <v>0</v>
      </c>
      <c r="S32" s="2956" t="s">
        <v>3141</v>
      </c>
      <c r="T32" s="2956" t="s">
        <v>3127</v>
      </c>
    </row>
    <row r="33" spans="1:20">
      <c r="A33" s="2956" t="s">
        <v>3255</v>
      </c>
      <c r="B33" s="2956" t="s">
        <v>3091</v>
      </c>
      <c r="C33" s="2956" t="s">
        <v>3092</v>
      </c>
      <c r="D33" s="2956" t="s">
        <v>1327</v>
      </c>
      <c r="E33" s="2956" t="s">
        <v>3255</v>
      </c>
      <c r="F33" s="2956" t="s">
        <v>3093</v>
      </c>
      <c r="G33" s="2956" t="s">
        <v>3256</v>
      </c>
      <c r="H33" s="2956" t="s">
        <v>3122</v>
      </c>
      <c r="I33" s="2956">
        <v>52029.41</v>
      </c>
      <c r="J33" s="2956">
        <v>119600</v>
      </c>
      <c r="K33" s="2956" t="s">
        <v>3257</v>
      </c>
      <c r="L33" s="2956" t="s">
        <v>3233</v>
      </c>
      <c r="M33" s="2956" t="s">
        <v>3258</v>
      </c>
      <c r="N33" s="2956" t="s">
        <v>3235</v>
      </c>
      <c r="O33" s="2956">
        <v>21071.9</v>
      </c>
      <c r="P33" s="2956">
        <v>270</v>
      </c>
      <c r="Q33" s="2956">
        <v>1761.86</v>
      </c>
      <c r="R33" s="2956">
        <v>0</v>
      </c>
      <c r="S33" s="2956" t="s">
        <v>3141</v>
      </c>
      <c r="T33" s="2956" t="s">
        <v>3119</v>
      </c>
    </row>
    <row r="34" spans="1:20">
      <c r="A34" s="2956" t="s">
        <v>3259</v>
      </c>
      <c r="B34" s="2956" t="s">
        <v>3091</v>
      </c>
      <c r="C34" s="2956" t="s">
        <v>3092</v>
      </c>
      <c r="D34" s="2956" t="s">
        <v>1327</v>
      </c>
      <c r="E34" s="2956" t="s">
        <v>3259</v>
      </c>
      <c r="F34" s="2956" t="s">
        <v>3093</v>
      </c>
      <c r="G34" s="2956" t="s">
        <v>3260</v>
      </c>
      <c r="H34" s="2956" t="s">
        <v>3122</v>
      </c>
      <c r="I34" s="2956">
        <v>54927.65</v>
      </c>
      <c r="J34" s="2956">
        <v>192200</v>
      </c>
      <c r="K34" s="2956" t="s">
        <v>3242</v>
      </c>
      <c r="L34" s="2956" t="s">
        <v>3233</v>
      </c>
      <c r="M34" s="2956" t="s">
        <v>3261</v>
      </c>
      <c r="N34" s="2956" t="s">
        <v>3235</v>
      </c>
      <c r="O34" s="2956">
        <v>22245.7</v>
      </c>
      <c r="P34" s="2956">
        <v>270</v>
      </c>
      <c r="Q34" s="2956">
        <v>1157.42</v>
      </c>
      <c r="R34" s="2956">
        <v>0</v>
      </c>
      <c r="S34" s="2956" t="s">
        <v>3141</v>
      </c>
      <c r="T34" s="2956" t="s">
        <v>3119</v>
      </c>
    </row>
    <row r="35" spans="1:20">
      <c r="A35" s="2956" t="s">
        <v>3262</v>
      </c>
      <c r="B35" s="2956" t="s">
        <v>3091</v>
      </c>
      <c r="C35" s="2956" t="s">
        <v>3092</v>
      </c>
      <c r="D35" s="2956" t="s">
        <v>1327</v>
      </c>
      <c r="E35" s="2956" t="s">
        <v>3262</v>
      </c>
      <c r="F35" s="2956" t="s">
        <v>3093</v>
      </c>
      <c r="G35" s="2956" t="s">
        <v>3263</v>
      </c>
      <c r="H35" s="2956" t="s">
        <v>3122</v>
      </c>
      <c r="I35" s="2956">
        <v>114845.8</v>
      </c>
      <c r="J35" s="2956">
        <v>275600</v>
      </c>
      <c r="K35" s="2956" t="s">
        <v>3264</v>
      </c>
      <c r="L35" s="2956" t="s">
        <v>3233</v>
      </c>
      <c r="M35" s="2956" t="s">
        <v>3265</v>
      </c>
      <c r="N35" s="2956" t="s">
        <v>3235</v>
      </c>
      <c r="O35" s="2956">
        <v>46512.55</v>
      </c>
      <c r="P35" s="2956">
        <v>270</v>
      </c>
      <c r="Q35" s="2956">
        <v>1687.68</v>
      </c>
      <c r="R35" s="2956">
        <v>0</v>
      </c>
      <c r="S35" s="2956" t="s">
        <v>3141</v>
      </c>
      <c r="T35" s="2956" t="s">
        <v>3119</v>
      </c>
    </row>
    <row r="36" spans="1:20">
      <c r="A36" s="2956" t="s">
        <v>3266</v>
      </c>
      <c r="B36" s="2956" t="s">
        <v>3091</v>
      </c>
      <c r="C36" s="2956" t="s">
        <v>3092</v>
      </c>
      <c r="D36" s="2956" t="s">
        <v>1327</v>
      </c>
      <c r="E36" s="2956" t="s">
        <v>3266</v>
      </c>
      <c r="F36" s="2956" t="s">
        <v>3093</v>
      </c>
      <c r="G36" s="2956" t="s">
        <v>3267</v>
      </c>
      <c r="H36" s="2956" t="s">
        <v>3122</v>
      </c>
      <c r="I36" s="2956">
        <v>38859.919999999998</v>
      </c>
      <c r="J36" s="2956">
        <v>93200</v>
      </c>
      <c r="K36" s="2956" t="s">
        <v>3264</v>
      </c>
      <c r="L36" s="2956" t="s">
        <v>3268</v>
      </c>
      <c r="M36" s="2956" t="s">
        <v>3269</v>
      </c>
      <c r="N36" s="2956" t="s">
        <v>3175</v>
      </c>
      <c r="O36" s="2956">
        <v>44883.199999999997</v>
      </c>
      <c r="P36" s="2956">
        <v>770</v>
      </c>
      <c r="Q36" s="2956">
        <v>4815.8</v>
      </c>
      <c r="R36" s="2956">
        <v>120</v>
      </c>
      <c r="S36" s="2956" t="s">
        <v>3100</v>
      </c>
      <c r="T36" s="2956" t="s">
        <v>3111</v>
      </c>
    </row>
    <row r="37" spans="1:20" s="2986" customFormat="1">
      <c r="A37" s="2986" t="s">
        <v>3270</v>
      </c>
      <c r="B37" s="2986" t="s">
        <v>3091</v>
      </c>
      <c r="C37" s="2986" t="s">
        <v>3092</v>
      </c>
      <c r="D37" s="2986" t="s">
        <v>1327</v>
      </c>
      <c r="E37" s="2986" t="s">
        <v>3270</v>
      </c>
      <c r="F37" s="2986" t="s">
        <v>3093</v>
      </c>
      <c r="G37" s="2986" t="s">
        <v>3271</v>
      </c>
      <c r="H37" s="2986" t="s">
        <v>3122</v>
      </c>
      <c r="I37" s="2986">
        <v>44901.46</v>
      </c>
      <c r="J37" s="2986">
        <v>98700</v>
      </c>
      <c r="K37" s="2986" t="s">
        <v>3272</v>
      </c>
      <c r="L37" s="2986" t="s">
        <v>3268</v>
      </c>
      <c r="M37" s="2986" t="s">
        <v>3273</v>
      </c>
      <c r="N37" s="2986" t="s">
        <v>3274</v>
      </c>
      <c r="O37" s="2986">
        <v>64658.09</v>
      </c>
      <c r="P37" s="2986">
        <v>960</v>
      </c>
      <c r="Q37" s="2986">
        <v>6550.97</v>
      </c>
      <c r="R37" s="2986">
        <v>174.29</v>
      </c>
      <c r="S37" s="2986" t="s">
        <v>3100</v>
      </c>
      <c r="T37" s="2986" t="s">
        <v>3154</v>
      </c>
    </row>
    <row r="38" spans="1:20">
      <c r="A38" s="2956" t="s">
        <v>3275</v>
      </c>
      <c r="B38" s="2956" t="s">
        <v>3091</v>
      </c>
      <c r="C38" s="2956" t="s">
        <v>3092</v>
      </c>
      <c r="D38" s="2956" t="s">
        <v>1327</v>
      </c>
      <c r="E38" s="2956" t="s">
        <v>3275</v>
      </c>
      <c r="F38" s="2956" t="s">
        <v>3093</v>
      </c>
      <c r="G38" s="2956" t="s">
        <v>3276</v>
      </c>
      <c r="H38" s="2956" t="s">
        <v>3122</v>
      </c>
      <c r="I38" s="2956">
        <v>122559</v>
      </c>
      <c r="J38" s="2956">
        <v>412600</v>
      </c>
      <c r="K38" s="2956" t="s">
        <v>3277</v>
      </c>
      <c r="L38" s="2956" t="s">
        <v>3268</v>
      </c>
      <c r="M38" s="2956" t="s">
        <v>3278</v>
      </c>
      <c r="N38" s="2956" t="s">
        <v>3279</v>
      </c>
      <c r="O38" s="2956">
        <v>147070.79</v>
      </c>
      <c r="P38" s="2956">
        <v>800</v>
      </c>
      <c r="Q38" s="2956">
        <v>3564.48</v>
      </c>
      <c r="R38" s="2956">
        <v>128.57</v>
      </c>
      <c r="S38" s="2956" t="s">
        <v>3100</v>
      </c>
      <c r="T38" s="2956" t="s">
        <v>3111</v>
      </c>
    </row>
  </sheetData>
  <phoneticPr fontId="144" type="noConversion"/>
  <hyperlinks>
    <hyperlink ref="U20" r:id="rId1"/>
    <hyperlink ref="U2" r:id="rId2"/>
    <hyperlink ref="U13" r:id="rId3"/>
    <hyperlink ref="U16" r:id="rId4"/>
  </hyperlink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topLeftCell="A151" zoomScale="85" zoomScaleNormal="85" workbookViewId="0">
      <selection activeCell="F75" sqref="F75"/>
    </sheetView>
  </sheetViews>
  <sheetFormatPr defaultColWidth="11" defaultRowHeight="13.5"/>
  <cols>
    <col min="1" max="5" width="10.875" style="2979"/>
  </cols>
  <sheetData>
    <row r="1" spans="1:5" ht="17.100000000000001" customHeight="1">
      <c r="A1" s="3274" t="s">
        <v>3382</v>
      </c>
      <c r="B1" s="3275"/>
      <c r="C1" s="3275"/>
      <c r="D1" s="3275"/>
      <c r="E1" s="3276"/>
    </row>
    <row r="2" spans="1:5" ht="17.100000000000001" customHeight="1">
      <c r="A2" s="3279" t="s">
        <v>3383</v>
      </c>
      <c r="B2" s="3277" t="s">
        <v>3386</v>
      </c>
      <c r="C2" s="3277"/>
      <c r="D2" s="3277" t="s">
        <v>3387</v>
      </c>
      <c r="E2" s="3278"/>
    </row>
    <row r="3" spans="1:5" ht="17.100000000000001" customHeight="1">
      <c r="A3" s="3279"/>
      <c r="B3" s="2980" t="s">
        <v>3384</v>
      </c>
      <c r="C3" s="2980" t="s">
        <v>3385</v>
      </c>
      <c r="D3" s="2980" t="s">
        <v>3384</v>
      </c>
      <c r="E3" s="2981" t="s">
        <v>3385</v>
      </c>
    </row>
    <row r="4" spans="1:5" ht="17.100000000000001" customHeight="1">
      <c r="A4" s="2982">
        <v>2017.1</v>
      </c>
      <c r="B4" s="2980">
        <v>8049</v>
      </c>
      <c r="C4" s="2980">
        <v>0.83</v>
      </c>
      <c r="D4" s="2980">
        <v>10866</v>
      </c>
      <c r="E4" s="2981">
        <v>-0.36</v>
      </c>
    </row>
    <row r="5" spans="1:5" ht="17.100000000000001" customHeight="1">
      <c r="A5" s="2982">
        <v>2017.2</v>
      </c>
      <c r="B5" s="2980">
        <v>8393</v>
      </c>
      <c r="C5" s="2980">
        <v>4.2699999999999996</v>
      </c>
      <c r="D5" s="2980">
        <v>10913</v>
      </c>
      <c r="E5" s="2981">
        <v>0.43</v>
      </c>
    </row>
    <row r="6" spans="1:5" ht="17.100000000000001" customHeight="1">
      <c r="A6" s="2982">
        <v>2017.3</v>
      </c>
      <c r="B6" s="2980">
        <v>8610</v>
      </c>
      <c r="C6" s="2980">
        <v>2.59</v>
      </c>
      <c r="D6" s="2980">
        <v>10901</v>
      </c>
      <c r="E6" s="2981">
        <v>-0.11</v>
      </c>
    </row>
    <row r="7" spans="1:5" ht="17.100000000000001" customHeight="1">
      <c r="A7" s="2982">
        <v>2017.4</v>
      </c>
      <c r="B7" s="2980">
        <v>8940</v>
      </c>
      <c r="C7" s="2980">
        <v>3.83</v>
      </c>
      <c r="D7" s="2980">
        <v>11054</v>
      </c>
      <c r="E7" s="2981">
        <v>1.4</v>
      </c>
    </row>
    <row r="8" spans="1:5" ht="17.100000000000001" customHeight="1">
      <c r="A8" s="2982">
        <v>2018.1</v>
      </c>
      <c r="B8" s="2980">
        <v>9144</v>
      </c>
      <c r="C8" s="2980">
        <v>2.2799999999999998</v>
      </c>
      <c r="D8" s="2980">
        <v>11277</v>
      </c>
      <c r="E8" s="2981">
        <v>2.02</v>
      </c>
    </row>
    <row r="9" spans="1:5" ht="17.100000000000001" customHeight="1">
      <c r="A9" s="2982">
        <v>2018.2</v>
      </c>
      <c r="B9" s="2980">
        <v>9324</v>
      </c>
      <c r="C9" s="2980">
        <v>1.97</v>
      </c>
      <c r="D9" s="2980">
        <v>11468</v>
      </c>
      <c r="E9" s="2981">
        <v>1.69</v>
      </c>
    </row>
    <row r="10" spans="1:5" ht="17.100000000000001" customHeight="1">
      <c r="A10" s="2982">
        <v>2018.3</v>
      </c>
      <c r="B10" s="2980">
        <v>17529</v>
      </c>
      <c r="C10" s="2980">
        <v>-1.65</v>
      </c>
      <c r="D10" s="2980">
        <v>12353</v>
      </c>
      <c r="E10" s="2981">
        <v>1.17</v>
      </c>
    </row>
    <row r="11" spans="1:5" ht="17.100000000000001" customHeight="1">
      <c r="A11" s="2982">
        <v>2018.4</v>
      </c>
      <c r="B11" s="2980">
        <v>16695</v>
      </c>
      <c r="C11" s="2980">
        <v>-4.76</v>
      </c>
      <c r="D11" s="2980">
        <v>12545</v>
      </c>
      <c r="E11" s="2981">
        <v>1.55</v>
      </c>
    </row>
    <row r="12" spans="1:5" ht="17.100000000000001" customHeight="1" thickBot="1">
      <c r="A12" s="2983">
        <v>2019.1</v>
      </c>
      <c r="B12" s="2984">
        <v>17024</v>
      </c>
      <c r="C12" s="2984">
        <v>1.97</v>
      </c>
      <c r="D12" s="2984">
        <v>12579</v>
      </c>
      <c r="E12" s="2985">
        <v>0.27</v>
      </c>
    </row>
  </sheetData>
  <mergeCells count="4">
    <mergeCell ref="A1:E1"/>
    <mergeCell ref="D2:E2"/>
    <mergeCell ref="B2:C2"/>
    <mergeCell ref="A2:A3"/>
  </mergeCells>
  <phoneticPr fontId="144"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5"/>
  <sheetViews>
    <sheetView workbookViewId="0">
      <selection activeCell="C6" sqref="C6"/>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0"/>
      <c r="C1" s="1581"/>
      <c r="D1" s="1579"/>
      <c r="E1" s="320"/>
      <c r="F1" s="320"/>
      <c r="G1" s="1580"/>
      <c r="H1" s="320"/>
      <c r="I1" s="320"/>
      <c r="J1" s="320"/>
      <c r="K1" s="320">
        <f>MATCH(C1,'数据-取费表'!A6:A16,0)+5</f>
        <v>9</v>
      </c>
    </row>
    <row r="2" spans="1:33" ht="18" customHeight="1">
      <c r="A2" s="245" t="s">
        <v>2318</v>
      </c>
      <c r="B2" s="248">
        <f ca="1">C32</f>
        <v>179506</v>
      </c>
      <c r="C2" s="320" t="s">
        <v>2451</v>
      </c>
      <c r="D2" s="320"/>
      <c r="E2" s="320"/>
      <c r="F2" s="320"/>
      <c r="G2" s="320"/>
      <c r="H2" s="320"/>
      <c r="I2" s="320"/>
      <c r="J2" s="320"/>
      <c r="K2" s="320"/>
    </row>
    <row r="3" spans="1:33" ht="18" customHeight="1" thickBot="1">
      <c r="A3" s="247" t="s">
        <v>2320</v>
      </c>
      <c r="B3" s="248">
        <f ca="1">ROUND(B2*10000/IF(C1="",'数据-汇总表'!E3,INDIRECT("'数据-取费表'!K"&amp;$K$1)),0)</f>
        <v>4426</v>
      </c>
      <c r="C3" s="320" t="s">
        <v>2452</v>
      </c>
      <c r="D3" s="320"/>
      <c r="E3" s="320"/>
      <c r="F3" s="320"/>
      <c r="G3" s="320"/>
      <c r="H3" s="320"/>
      <c r="I3" s="320"/>
      <c r="J3" s="320"/>
      <c r="K3" s="320"/>
    </row>
    <row r="4" spans="1:33" s="956" customFormat="1" ht="16.5" customHeight="1">
      <c r="A4" s="953" t="s">
        <v>2453</v>
      </c>
      <c r="B4" s="954"/>
      <c r="C4" s="996">
        <f ca="1">SUM(C8:K8)</f>
        <v>372271</v>
      </c>
      <c r="D4" s="954"/>
      <c r="E4" s="954"/>
      <c r="F4" s="954"/>
      <c r="G4" s="954"/>
      <c r="H4" s="954"/>
      <c r="I4" s="954"/>
      <c r="J4" s="954"/>
      <c r="K4" s="955"/>
    </row>
    <row r="5" spans="1:33" s="960" customFormat="1" ht="15">
      <c r="A5" s="957" t="s">
        <v>2454</v>
      </c>
      <c r="B5" s="958" t="s">
        <v>2455</v>
      </c>
      <c r="C5" s="2552" t="s">
        <v>3180</v>
      </c>
      <c r="D5" s="2552" t="s">
        <v>1373</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f>'比较法-住宅'!B3</f>
        <v>13194</v>
      </c>
      <c r="D6" s="962">
        <f ca="1">'收益法（商业）'!B3</f>
        <v>19906</v>
      </c>
      <c r="E6" s="962">
        <f ca="1">'收益法（地下车库）'!B3</f>
        <v>3303</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240173.61</v>
      </c>
      <c r="D7" s="321">
        <f>SUMIF('数据-汇总表'!$C19:$C33,假设开发法!D5,'数据-汇总表'!$E19:$E33)</f>
        <v>12941.53</v>
      </c>
      <c r="E7" s="321">
        <f>SUMIF('数据-汇总表'!$C19:$C33,假设开发法!E5,'数据-汇总表'!$E19:$E33)</f>
        <v>89683.34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2459</v>
      </c>
      <c r="B8" s="177" t="s">
        <v>2460</v>
      </c>
      <c r="C8" s="997">
        <f>'比较法-住宅'!B2</f>
        <v>316885</v>
      </c>
      <c r="D8" s="997">
        <f ca="1">'收益法（商业）'!B2</f>
        <v>25761</v>
      </c>
      <c r="E8" s="997">
        <f ca="1">'收益法（地下车库）'!B2</f>
        <v>29625</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1330</v>
      </c>
      <c r="B11" s="972" t="s">
        <v>2468</v>
      </c>
      <c r="C11" s="323">
        <f ca="1">IF(C1="",'数据-取费表'!P16,INDIRECT("'数据-取费表'!p"&amp;$K$1)+INDIRECT("'数据-取费表'!ar"&amp;$K$1))</f>
        <v>84390</v>
      </c>
      <c r="D11" s="973"/>
      <c r="E11" s="375"/>
      <c r="F11" s="974">
        <f ca="1">1-IF('数据-取费表'!B24=0,1,IF(C1="",'数据-取费表'!N16,INDIRECT("'数据-取费表'!n"&amp;$K$1)))</f>
        <v>0.75</v>
      </c>
      <c r="G11" s="8"/>
      <c r="H11" s="968"/>
      <c r="I11" s="968"/>
      <c r="J11" s="968"/>
      <c r="K11" s="969"/>
    </row>
    <row r="12" spans="1:33" s="975" customFormat="1" ht="13.5" customHeight="1">
      <c r="A12" s="971" t="s">
        <v>1331</v>
      </c>
      <c r="B12" s="972" t="s">
        <v>2469</v>
      </c>
      <c r="C12" s="24">
        <f ca="1">ROUND(C11*F12,0)</f>
        <v>2532</v>
      </c>
      <c r="D12" s="973"/>
      <c r="E12" s="375"/>
      <c r="F12" s="976">
        <f>'数据-取费表'!B33</f>
        <v>0.03</v>
      </c>
      <c r="G12" s="8" t="s">
        <v>2470</v>
      </c>
      <c r="H12" s="968"/>
      <c r="I12" s="968"/>
      <c r="J12" s="968"/>
      <c r="K12" s="969"/>
    </row>
    <row r="13" spans="1:33" s="975" customFormat="1" ht="13.5" customHeight="1">
      <c r="A13" s="971" t="s">
        <v>1332</v>
      </c>
      <c r="B13" s="972" t="s">
        <v>2471</v>
      </c>
      <c r="C13" s="24">
        <f ca="1">ROUND(IF(C1="",SUMIF('数据-取费表'!C:C,"住宅",'数据-取费表'!P:P)*F13,IF(INDIRECT("'数据-取费表'!c"&amp;$K$1)="住宅",INDIRECT("'数据-取费表'!P"&amp;$K$1)*F13,0)),0)</f>
        <v>1621</v>
      </c>
      <c r="D13" s="1033"/>
      <c r="E13" s="375"/>
      <c r="F13" s="976">
        <f>'数据-取费表'!B34</f>
        <v>0.03</v>
      </c>
      <c r="G13" s="8" t="s">
        <v>2472</v>
      </c>
      <c r="H13" s="968"/>
      <c r="I13" s="968"/>
      <c r="J13" s="968"/>
      <c r="K13" s="969"/>
    </row>
    <row r="14" spans="1:33" s="977" customFormat="1" ht="13.5" customHeight="1">
      <c r="A14" s="971" t="s">
        <v>1333</v>
      </c>
      <c r="B14" s="972" t="s">
        <v>2473</v>
      </c>
      <c r="C14" s="24">
        <f ca="1">ROUND(D14*E14*F11/10000,0)</f>
        <v>7604</v>
      </c>
      <c r="D14" s="1033">
        <f ca="1">IF(C1="",'数据-汇总表'!E3,INDIRECT("'数据-取费表'!K"&amp;$K$1)+INDIRECT("'数据-取费表'!S"&amp;$K$1))</f>
        <v>405562.81999999995</v>
      </c>
      <c r="E14" s="24">
        <f>'数据-取费表'!B35</f>
        <v>250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2475</v>
      </c>
      <c r="C15" s="983">
        <f ca="1">ROUND(C11*F15,0)</f>
        <v>1266</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97413</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405562.81999999995</v>
      </c>
      <c r="E17" s="24">
        <f>'数据-取费表'!B32</f>
        <v>0</v>
      </c>
      <c r="F17" s="978"/>
      <c r="G17" s="140" t="s">
        <v>2479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2480</v>
      </c>
      <c r="C18" s="24">
        <f ca="1">C19+C20-IF(C1="",'数据-取费表'!B29,IF(G18="已全部缴纳",C19+C20,H18))</f>
        <v>8923</v>
      </c>
      <c r="D18" s="1033"/>
      <c r="E18" s="24"/>
      <c r="F18" s="976"/>
      <c r="G18" s="2554"/>
      <c r="H18" s="1576"/>
      <c r="I18" s="2555" t="s">
        <v>2481</v>
      </c>
      <c r="J18" s="979"/>
      <c r="K18" s="980"/>
    </row>
    <row r="19" spans="1:33" s="975" customFormat="1" ht="13.5" customHeight="1">
      <c r="A19" s="971" t="s">
        <v>805</v>
      </c>
      <c r="B19" s="972" t="s">
        <v>2482</v>
      </c>
      <c r="C19" s="24">
        <f ca="1">ROUND(D19*E19/10000,0)</f>
        <v>5284</v>
      </c>
      <c r="D19" s="1033">
        <f ca="1">IF(C1="",'数据-汇总表'!E5,IF(INDIRECT("'数据-取费表'!c"&amp;$K$1)="住宅",INDIRECT("'数据-取费表'!k"&amp;$K$1),0))</f>
        <v>240173.61</v>
      </c>
      <c r="E19" s="24">
        <f>'数据-取费表'!B27</f>
        <v>220</v>
      </c>
      <c r="F19" s="976"/>
      <c r="G19" s="15"/>
      <c r="H19" s="1578"/>
      <c r="I19" s="981"/>
      <c r="J19" s="981"/>
      <c r="K19" s="982"/>
    </row>
    <row r="20" spans="1:33" s="975" customFormat="1" ht="13.5" customHeight="1">
      <c r="A20" s="971" t="s">
        <v>806</v>
      </c>
      <c r="B20" s="972" t="s">
        <v>2483</v>
      </c>
      <c r="C20" s="24">
        <f ca="1">ROUND(D20*E20/10000,0)</f>
        <v>3639</v>
      </c>
      <c r="D20" s="1033">
        <f ca="1">IF(C1="",'数据-汇总表'!E6,IF(INDIRECT("'数据-取费表'!c"&amp;$K$1)="住宅",INDIRECT("'数据-取费表'!s"&amp;$K$1),INDIRECT("'数据-取费表'!k"&amp;$K$1)+INDIRECT("'数据-取费表'!s"&amp;$K$1)))</f>
        <v>165389.20999999996</v>
      </c>
      <c r="E20" s="24">
        <f>'数据-取费表'!B28</f>
        <v>220</v>
      </c>
      <c r="F20" s="976"/>
      <c r="G20" s="15"/>
      <c r="H20" s="981"/>
      <c r="I20" s="981"/>
      <c r="J20" s="981"/>
      <c r="K20" s="982"/>
    </row>
    <row r="21" spans="1:33" s="975" customFormat="1" ht="13.5" customHeight="1">
      <c r="A21" s="961" t="s">
        <v>802</v>
      </c>
      <c r="B21" s="985" t="s">
        <v>2484</v>
      </c>
      <c r="C21" s="986">
        <f ca="1">C16+C17+C18</f>
        <v>106336</v>
      </c>
      <c r="D21" s="987"/>
      <c r="E21" s="325"/>
      <c r="F21" s="325"/>
      <c r="G21" s="140" t="s">
        <v>2485</v>
      </c>
      <c r="H21" s="979"/>
      <c r="I21" s="979"/>
      <c r="J21" s="979"/>
      <c r="K21" s="980"/>
    </row>
    <row r="22" spans="1:33" s="975" customFormat="1" ht="13.5" customHeight="1">
      <c r="A22" s="961" t="s">
        <v>2457</v>
      </c>
      <c r="B22" s="985" t="s">
        <v>2486</v>
      </c>
      <c r="C22" s="986">
        <f ca="1">ROUND(C21*F22,0)</f>
        <v>2127</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5584</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'数据-取费表'!B48+'数据-取费表'!B49</f>
        <v>3.0499999999999999E-2</v>
      </c>
      <c r="G24" s="8" t="s">
        <v>2492</v>
      </c>
      <c r="H24" s="990"/>
      <c r="I24" s="990"/>
      <c r="J24" s="990"/>
      <c r="K24" s="991"/>
    </row>
    <row r="25" spans="1:33" s="975" customFormat="1" ht="13.5" customHeight="1">
      <c r="A25" s="961" t="s">
        <v>2493</v>
      </c>
      <c r="B25" s="987" t="s">
        <v>2494</v>
      </c>
      <c r="C25" s="1356">
        <f ca="1">C27</f>
        <v>6811</v>
      </c>
      <c r="D25" s="324">
        <f ca="1">C26</f>
        <v>0.12659999999999999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0.12659999999999999</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6811</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2497</v>
      </c>
      <c r="B28" s="2557" t="s">
        <v>2498</v>
      </c>
      <c r="C28" s="331">
        <f ca="1">C30</f>
        <v>10264</v>
      </c>
      <c r="D28" s="324">
        <f ca="1">C29</f>
        <v>7.7200000000000005E-2</v>
      </c>
      <c r="E28" s="326" t="s">
        <v>15</v>
      </c>
      <c r="F28" s="332">
        <f ca="1">IF(C1="",'数据-取费表'!Q16,INDIRECT("'数据-取费表'!q"&amp;$K$1))</f>
        <v>0.09</v>
      </c>
      <c r="G28" s="989"/>
      <c r="H28" s="990"/>
      <c r="I28" s="990"/>
      <c r="J28" s="990"/>
      <c r="K28" s="991"/>
    </row>
    <row r="29" spans="1:33" s="335" customFormat="1" ht="13.5" customHeight="1">
      <c r="A29" s="971" t="s">
        <v>803</v>
      </c>
      <c r="B29" s="994" t="s">
        <v>2499</v>
      </c>
      <c r="C29" s="328">
        <f ca="1">ROUND((1+C24)*F28*'数据-取费表'!B24/'数据-取费表'!B20,4)</f>
        <v>7.7200000000000005E-2</v>
      </c>
      <c r="D29" s="328"/>
      <c r="E29" s="329"/>
      <c r="F29" s="334"/>
      <c r="G29" s="140" t="s">
        <v>2500</v>
      </c>
      <c r="H29" s="979"/>
      <c r="I29" s="979"/>
      <c r="J29" s="979"/>
      <c r="K29" s="980"/>
    </row>
    <row r="30" spans="1:33" s="335" customFormat="1" ht="13.5" customHeight="1">
      <c r="A30" s="971" t="s">
        <v>804</v>
      </c>
      <c r="B30" s="994" t="s">
        <v>2501</v>
      </c>
      <c r="C30" s="336">
        <f ca="1">ROUND((C21+C22+C23)*F28,0)</f>
        <v>10264</v>
      </c>
      <c r="D30" s="328"/>
      <c r="E30" s="329"/>
      <c r="F30" s="334"/>
      <c r="G30" s="140"/>
      <c r="H30" s="979"/>
      <c r="I30" s="979"/>
      <c r="J30" s="979"/>
      <c r="K30" s="980"/>
    </row>
    <row r="31" spans="1:33" s="975" customFormat="1" ht="13.5" customHeight="1" thickBot="1">
      <c r="A31" s="2558" t="s">
        <v>2502</v>
      </c>
      <c r="B31" s="1005" t="s">
        <v>2503</v>
      </c>
      <c r="C31" s="1006">
        <f ca="1">ROUND(C4*F31/(1+'数据-取费表'!C42),0)</f>
        <v>19854</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179506</v>
      </c>
      <c r="D32" s="1001"/>
      <c r="E32" s="1001"/>
      <c r="F32" s="1001"/>
      <c r="G32" s="1003" t="s">
        <v>2506</v>
      </c>
      <c r="H32" s="1001"/>
      <c r="I32" s="1001"/>
      <c r="J32" s="1001"/>
      <c r="K32" s="1004"/>
    </row>
    <row r="34" spans="3:3" ht="12.75" customHeight="1"/>
    <row r="35" spans="3:3">
      <c r="C35" s="995">
        <v>12348</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11" zoomScale="90" zoomScaleNormal="90" zoomScalePageLayoutView="90" workbookViewId="0">
      <selection activeCell="K19" sqref="K19"/>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0"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580" t="s">
        <v>2517</v>
      </c>
      <c r="C1" s="1633" t="s">
        <v>2518</v>
      </c>
      <c r="D1" s="1620" t="s">
        <v>3180</v>
      </c>
      <c r="E1" s="2581"/>
      <c r="F1" s="2582" t="s">
        <v>2519</v>
      </c>
      <c r="G1" s="1630" t="s">
        <v>2520</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316885</v>
      </c>
      <c r="C2" s="2584" t="s">
        <v>70</v>
      </c>
      <c r="D2" s="1365" t="e">
        <f ca="1">SUMIF(INDIRECT("'"&amp;F2&amp;"'"&amp;"!A:A"),"承租人权益价值",INDIRECT("'"&amp;F2&amp;"'"&amp;"!c:c"))</f>
        <v>#REF!</v>
      </c>
      <c r="E2" s="2585" t="s">
        <v>2521</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f>IF(C2="——",C49,ROUND(B2*10000/D3,0))</f>
        <v>13194</v>
      </c>
      <c r="C3" s="400" t="s">
        <v>2522</v>
      </c>
      <c r="D3" s="399">
        <f>IF(D1="",'数据-汇总表'!E3,SUMIF('数据-汇总表'!$C19:$C33,D1,'数据-汇总表'!$E19:$E33))</f>
        <v>240173.61</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2523</v>
      </c>
      <c r="B4" s="402"/>
      <c r="C4" s="3235" t="s">
        <v>2524</v>
      </c>
      <c r="D4" s="3248"/>
      <c r="E4" s="3249" t="s">
        <v>2525</v>
      </c>
      <c r="F4" s="3250"/>
      <c r="G4" s="3235" t="s">
        <v>2526</v>
      </c>
      <c r="H4" s="3248"/>
      <c r="I4" s="3235" t="s">
        <v>2527</v>
      </c>
      <c r="J4" s="3248"/>
      <c r="K4" s="2594" t="s">
        <v>2528</v>
      </c>
      <c r="L4" s="1130"/>
      <c r="M4" s="1131"/>
      <c r="N4" s="1131"/>
      <c r="O4" s="1131"/>
      <c r="P4" s="3251" t="s">
        <v>2529</v>
      </c>
      <c r="Q4" s="3252"/>
      <c r="R4" s="3257" t="s">
        <v>2525</v>
      </c>
      <c r="S4" s="3258"/>
      <c r="T4" s="3257" t="s">
        <v>2526</v>
      </c>
      <c r="U4" s="3258"/>
      <c r="V4" s="3244" t="s">
        <v>2527</v>
      </c>
      <c r="W4" s="3244"/>
      <c r="X4" s="1812"/>
      <c r="Y4" s="3257" t="s">
        <v>2529</v>
      </c>
      <c r="Z4" s="3258"/>
      <c r="AA4" s="3245" t="s">
        <v>2525</v>
      </c>
      <c r="AB4" s="3245" t="s">
        <v>2526</v>
      </c>
      <c r="AC4" s="3245" t="s">
        <v>2527</v>
      </c>
    </row>
    <row r="5" spans="1:29" ht="15">
      <c r="A5" s="404"/>
      <c r="B5" s="405"/>
      <c r="C5" s="3265" t="s">
        <v>2530</v>
      </c>
      <c r="D5" s="3266"/>
      <c r="E5" s="3291" t="s">
        <v>3417</v>
      </c>
      <c r="F5" s="3273"/>
      <c r="G5" s="3289" t="s">
        <v>3419</v>
      </c>
      <c r="H5" s="3266"/>
      <c r="I5" s="3289" t="s">
        <v>3422</v>
      </c>
      <c r="J5" s="3266"/>
      <c r="K5" s="2595"/>
      <c r="L5" s="1130"/>
      <c r="M5" s="1131"/>
      <c r="N5" s="1131"/>
      <c r="O5" s="1131"/>
      <c r="P5" s="3253"/>
      <c r="Q5" s="3254"/>
      <c r="R5" s="3259"/>
      <c r="S5" s="3260"/>
      <c r="T5" s="3259"/>
      <c r="U5" s="3260"/>
      <c r="V5" s="3244"/>
      <c r="W5" s="3244"/>
      <c r="X5" s="1812"/>
      <c r="Y5" s="3259"/>
      <c r="Z5" s="3260"/>
      <c r="AA5" s="3246"/>
      <c r="AB5" s="3246"/>
      <c r="AC5" s="3246"/>
    </row>
    <row r="6" spans="1:29" ht="15.75" thickBot="1">
      <c r="A6" s="406"/>
      <c r="B6" s="407"/>
      <c r="C6" s="3263" t="s">
        <v>2534</v>
      </c>
      <c r="D6" s="3264"/>
      <c r="E6" s="3290" t="s">
        <v>3418</v>
      </c>
      <c r="F6" s="3271"/>
      <c r="G6" s="3288" t="s">
        <v>3420</v>
      </c>
      <c r="H6" s="3264"/>
      <c r="I6" s="3288" t="s">
        <v>3421</v>
      </c>
      <c r="J6" s="3264"/>
      <c r="K6" s="2595" t="s">
        <v>2535</v>
      </c>
      <c r="L6" s="1130"/>
      <c r="M6" s="1131"/>
      <c r="N6" s="1131"/>
      <c r="O6" s="1131"/>
      <c r="P6" s="3255"/>
      <c r="Q6" s="3256"/>
      <c r="R6" s="3259"/>
      <c r="S6" s="3260"/>
      <c r="T6" s="3261"/>
      <c r="U6" s="3262"/>
      <c r="V6" s="3244"/>
      <c r="W6" s="3244"/>
      <c r="X6" s="1812"/>
      <c r="Y6" s="3261"/>
      <c r="Z6" s="3262"/>
      <c r="AA6" s="3247"/>
      <c r="AB6" s="3247"/>
      <c r="AC6" s="3247"/>
    </row>
    <row r="7" spans="1:29" s="117" customFormat="1" ht="15.75" thickBot="1">
      <c r="A7" s="408" t="s">
        <v>2536</v>
      </c>
      <c r="B7" s="409"/>
      <c r="C7" s="410">
        <f>'数据-取费表'!B2</f>
        <v>43630</v>
      </c>
      <c r="D7" s="411">
        <v>100</v>
      </c>
      <c r="E7" s="412">
        <v>43617</v>
      </c>
      <c r="F7" s="413">
        <f>SUMIF(58:58,YEAR(E7)&amp;"-"&amp;MONTH(E7),59:59)</f>
        <v>100</v>
      </c>
      <c r="G7" s="412">
        <v>43497</v>
      </c>
      <c r="H7" s="411">
        <f>SUMIF(58:58,YEAR(G7)&amp;"-"&amp;MONTH(G7),59:59)</f>
        <v>100</v>
      </c>
      <c r="I7" s="412">
        <f>E7</f>
        <v>43617</v>
      </c>
      <c r="J7" s="411">
        <f>SUMIF(58:58,YEAR(I7)&amp;"-"&amp;MONTH(I7),59:59)</f>
        <v>100</v>
      </c>
      <c r="K7" s="2596"/>
      <c r="L7" s="1132"/>
      <c r="M7" s="1133"/>
      <c r="N7" s="1133"/>
      <c r="O7" s="1133"/>
      <c r="P7" s="3267" t="s">
        <v>2537</v>
      </c>
      <c r="Q7" s="3269"/>
      <c r="R7" s="770" t="s">
        <v>23</v>
      </c>
      <c r="S7" s="771">
        <f t="shared" ref="S7:S15" si="0">F7</f>
        <v>100</v>
      </c>
      <c r="T7" s="770" t="s">
        <v>23</v>
      </c>
      <c r="U7" s="771">
        <f t="shared" ref="U7:U15" si="1">H7</f>
        <v>100</v>
      </c>
      <c r="V7" s="770" t="s">
        <v>23</v>
      </c>
      <c r="W7" s="771">
        <f t="shared" ref="W7:W15" si="2">J7</f>
        <v>100</v>
      </c>
      <c r="X7" s="772"/>
      <c r="Y7" s="3267" t="s">
        <v>2537</v>
      </c>
      <c r="Z7" s="3268"/>
      <c r="AA7" s="773">
        <f>D7/F7</f>
        <v>1</v>
      </c>
      <c r="AB7" s="773">
        <f>D7/H7</f>
        <v>1</v>
      </c>
      <c r="AC7" s="773">
        <f>D7/J7</f>
        <v>1</v>
      </c>
    </row>
    <row r="8" spans="1:29" s="117" customFormat="1" ht="15.75" thickBot="1">
      <c r="A8" s="408" t="s">
        <v>2538</v>
      </c>
      <c r="B8" s="409"/>
      <c r="C8" s="414" t="s">
        <v>2539</v>
      </c>
      <c r="D8" s="411">
        <v>100</v>
      </c>
      <c r="E8" s="2597" t="s">
        <v>3340</v>
      </c>
      <c r="F8" s="413">
        <f>SUMIF(61:61,E8,62:62)-SUMIF(61:61,C8,62:62)+100</f>
        <v>100</v>
      </c>
      <c r="G8" s="2597" t="s">
        <v>3340</v>
      </c>
      <c r="H8" s="411">
        <f>SUMIF(61:61,G8,62:62)-SUMIF(61:61,C8,62:62)+100</f>
        <v>100</v>
      </c>
      <c r="I8" s="2597" t="s">
        <v>3340</v>
      </c>
      <c r="J8" s="411">
        <f>SUMIF(61:61,I8,62:62)-SUMIF(61:61,C8,62:62)+100</f>
        <v>100</v>
      </c>
      <c r="K8" s="2596"/>
      <c r="L8" s="1132"/>
      <c r="M8" s="1133"/>
      <c r="N8" s="1133"/>
      <c r="O8" s="1133"/>
      <c r="P8" s="3267" t="s">
        <v>2540</v>
      </c>
      <c r="Q8" s="3268"/>
      <c r="R8" s="770" t="s">
        <v>23</v>
      </c>
      <c r="S8" s="771">
        <f t="shared" si="0"/>
        <v>100</v>
      </c>
      <c r="T8" s="770" t="s">
        <v>23</v>
      </c>
      <c r="U8" s="771">
        <f t="shared" si="1"/>
        <v>100</v>
      </c>
      <c r="V8" s="770" t="s">
        <v>23</v>
      </c>
      <c r="W8" s="771">
        <f t="shared" si="2"/>
        <v>100</v>
      </c>
      <c r="X8" s="772"/>
      <c r="Y8" s="3267" t="s">
        <v>2540</v>
      </c>
      <c r="Z8" s="3268"/>
      <c r="AA8" s="773">
        <f t="shared" ref="AA8:AA19" si="3">D8/F8</f>
        <v>1</v>
      </c>
      <c r="AB8" s="773">
        <f t="shared" ref="AB8:AB19" si="4">D8/H8</f>
        <v>1</v>
      </c>
      <c r="AC8" s="773">
        <f t="shared" ref="AC8:AC19" si="5">D8/J8</f>
        <v>1</v>
      </c>
    </row>
    <row r="9" spans="1:29" s="117" customFormat="1">
      <c r="A9" s="415" t="s">
        <v>2541</v>
      </c>
      <c r="B9" s="71" t="s">
        <v>2542</v>
      </c>
      <c r="C9" s="2962" t="s">
        <v>3341</v>
      </c>
      <c r="D9" s="135">
        <v>100</v>
      </c>
      <c r="E9" s="417" t="s">
        <v>3180</v>
      </c>
      <c r="F9" s="418">
        <f>SUMIF(63:63,E9,64:64)-SUMIF(63:63,C9,64:64)+100</f>
        <v>100</v>
      </c>
      <c r="G9" s="417" t="s">
        <v>3180</v>
      </c>
      <c r="H9" s="135">
        <f>SUMIF(63:63,G9,64:64)-SUMIF(63:63,C9,64:64)+100</f>
        <v>100</v>
      </c>
      <c r="I9" s="417" t="s">
        <v>3180</v>
      </c>
      <c r="J9" s="135">
        <f>SUMIF(63:63,I9,64:64)-SUMIF(63:63,C9,64:64)+100</f>
        <v>100</v>
      </c>
      <c r="K9" s="2596"/>
      <c r="L9" s="1132"/>
      <c r="M9" s="1133"/>
      <c r="N9" s="1133"/>
      <c r="O9" s="1133"/>
      <c r="P9" s="3237" t="s">
        <v>2543</v>
      </c>
      <c r="Q9" s="1794" t="str">
        <f t="shared" ref="Q9:Q15" si="6">B9</f>
        <v>用途</v>
      </c>
      <c r="R9" s="770" t="s">
        <v>17</v>
      </c>
      <c r="S9" s="771">
        <f t="shared" si="0"/>
        <v>100</v>
      </c>
      <c r="T9" s="770" t="s">
        <v>17</v>
      </c>
      <c r="U9" s="771">
        <f t="shared" si="1"/>
        <v>100</v>
      </c>
      <c r="V9" s="770" t="s">
        <v>17</v>
      </c>
      <c r="W9" s="771">
        <f t="shared" si="2"/>
        <v>100</v>
      </c>
      <c r="X9" s="772"/>
      <c r="Y9" s="3075" t="s">
        <v>2544</v>
      </c>
      <c r="Z9" s="55" t="str">
        <f t="shared" ref="Z9:Z15" si="7">Q9</f>
        <v>用途</v>
      </c>
      <c r="AA9" s="773">
        <f t="shared" si="3"/>
        <v>1</v>
      </c>
      <c r="AB9" s="773">
        <f t="shared" si="4"/>
        <v>1</v>
      </c>
      <c r="AC9" s="773">
        <f t="shared" si="5"/>
        <v>1</v>
      </c>
    </row>
    <row r="10" spans="1:29" s="427" customFormat="1" ht="27">
      <c r="A10" s="421"/>
      <c r="B10" s="422" t="s">
        <v>2545</v>
      </c>
      <c r="C10" s="423" t="s">
        <v>3350</v>
      </c>
      <c r="D10" s="136">
        <v>100</v>
      </c>
      <c r="E10" s="424" t="s">
        <v>3342</v>
      </c>
      <c r="F10" s="425">
        <f>SUMIF(65:65,E10,66:66)-SUMIF(65:65,C10,66:66)+100</f>
        <v>101</v>
      </c>
      <c r="G10" s="424" t="s">
        <v>3342</v>
      </c>
      <c r="H10" s="136">
        <f>SUMIF(65:65,G10,66:66)-SUMIF(65:65,C10,66:66)+100</f>
        <v>101</v>
      </c>
      <c r="I10" s="424" t="s">
        <v>3342</v>
      </c>
      <c r="J10" s="136">
        <f>SUMIF(65:65,I10,66:66)-SUMIF(65:65,C10,66:66)+100</f>
        <v>101</v>
      </c>
      <c r="K10" s="426">
        <v>1</v>
      </c>
      <c r="L10" s="1135"/>
      <c r="M10" s="1136"/>
      <c r="N10" s="1136"/>
      <c r="O10" s="1136"/>
      <c r="P10" s="3237"/>
      <c r="Q10" s="1794" t="str">
        <f t="shared" si="6"/>
        <v>土地使用年限（年）</v>
      </c>
      <c r="R10" s="770" t="s">
        <v>17</v>
      </c>
      <c r="S10" s="771">
        <f t="shared" si="0"/>
        <v>101</v>
      </c>
      <c r="T10" s="770" t="s">
        <v>17</v>
      </c>
      <c r="U10" s="771">
        <f t="shared" si="1"/>
        <v>101</v>
      </c>
      <c r="V10" s="770" t="s">
        <v>17</v>
      </c>
      <c r="W10" s="771">
        <f t="shared" si="2"/>
        <v>101</v>
      </c>
      <c r="X10" s="772"/>
      <c r="Y10" s="3075"/>
      <c r="Z10" s="55" t="str">
        <f t="shared" si="7"/>
        <v>土地使用年限（年）</v>
      </c>
      <c r="AA10" s="773">
        <f t="shared" si="3"/>
        <v>0.99009900990099009</v>
      </c>
      <c r="AB10" s="773">
        <f t="shared" si="4"/>
        <v>0.99009900990099009</v>
      </c>
      <c r="AC10" s="773">
        <f t="shared" si="5"/>
        <v>0.99009900990099009</v>
      </c>
    </row>
    <row r="11" spans="1:29" ht="15.75" thickBot="1">
      <c r="A11" s="428"/>
      <c r="B11" s="422" t="s">
        <v>2546</v>
      </c>
      <c r="C11" s="429">
        <f>'数据-汇总表'!I6</f>
        <v>3.74</v>
      </c>
      <c r="D11" s="136">
        <v>100</v>
      </c>
      <c r="E11" s="430">
        <v>1.8</v>
      </c>
      <c r="F11" s="425">
        <f>LOOKUP(E11,68:68,69:69)-LOOKUP(C11,68:68,69:69)+100</f>
        <v>100</v>
      </c>
      <c r="G11" s="429">
        <v>1.98</v>
      </c>
      <c r="H11" s="136">
        <f>LOOKUP(G11,68:68,69:69)-LOOKUP(C11,68:68,69:69)+100</f>
        <v>100</v>
      </c>
      <c r="I11" s="429">
        <v>4.96</v>
      </c>
      <c r="J11" s="136">
        <f>LOOKUP(I11,68:68,69:69)-LOOKUP(C11,68:68,69:69)+100</f>
        <v>100</v>
      </c>
      <c r="K11" s="426">
        <v>0</v>
      </c>
      <c r="L11" s="1138"/>
      <c r="M11" s="1131"/>
      <c r="N11" s="1131"/>
      <c r="O11" s="1131"/>
      <c r="P11" s="3237"/>
      <c r="Q11" s="1794" t="str">
        <f t="shared" si="6"/>
        <v>容积率</v>
      </c>
      <c r="R11" s="770" t="s">
        <v>21</v>
      </c>
      <c r="S11" s="771">
        <f t="shared" si="0"/>
        <v>100</v>
      </c>
      <c r="T11" s="770" t="s">
        <v>21</v>
      </c>
      <c r="U11" s="771">
        <f t="shared" si="1"/>
        <v>100</v>
      </c>
      <c r="V11" s="770" t="s">
        <v>21</v>
      </c>
      <c r="W11" s="771">
        <f t="shared" si="2"/>
        <v>100</v>
      </c>
      <c r="X11" s="772"/>
      <c r="Y11" s="3075"/>
      <c r="Z11" s="55" t="str">
        <f t="shared" si="7"/>
        <v>容积率</v>
      </c>
      <c r="AA11" s="773">
        <f t="shared" si="3"/>
        <v>1</v>
      </c>
      <c r="AB11" s="773">
        <f t="shared" si="4"/>
        <v>1</v>
      </c>
      <c r="AC11" s="773">
        <f t="shared" si="5"/>
        <v>1</v>
      </c>
    </row>
    <row r="12" spans="1:29" s="117" customFormat="1" ht="15" hidden="1">
      <c r="A12" s="431"/>
      <c r="B12" s="2598"/>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37"/>
      <c r="Q12" s="1794">
        <f t="shared" si="6"/>
        <v>0</v>
      </c>
      <c r="R12" s="770" t="s">
        <v>21</v>
      </c>
      <c r="S12" s="771">
        <f t="shared" si="0"/>
        <v>100</v>
      </c>
      <c r="T12" s="770" t="s">
        <v>21</v>
      </c>
      <c r="U12" s="771">
        <f t="shared" si="1"/>
        <v>100</v>
      </c>
      <c r="V12" s="770" t="s">
        <v>21</v>
      </c>
      <c r="W12" s="771">
        <f t="shared" si="2"/>
        <v>100</v>
      </c>
      <c r="X12" s="772"/>
      <c r="Y12" s="3075"/>
      <c r="Z12" s="55">
        <f t="shared" si="7"/>
        <v>0</v>
      </c>
      <c r="AA12" s="773">
        <f>D12/F12</f>
        <v>1</v>
      </c>
      <c r="AB12" s="773">
        <f>D12/H12</f>
        <v>1</v>
      </c>
      <c r="AC12" s="773">
        <f>D12/J12</f>
        <v>1</v>
      </c>
    </row>
    <row r="13" spans="1:29" ht="15" hidden="1">
      <c r="A13" s="428"/>
      <c r="B13" s="2598"/>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37"/>
      <c r="Q13" s="1794">
        <f t="shared" si="6"/>
        <v>0</v>
      </c>
      <c r="R13" s="770" t="s">
        <v>21</v>
      </c>
      <c r="S13" s="771">
        <f t="shared" si="0"/>
        <v>100</v>
      </c>
      <c r="T13" s="770" t="s">
        <v>21</v>
      </c>
      <c r="U13" s="771">
        <f t="shared" si="1"/>
        <v>100</v>
      </c>
      <c r="V13" s="770" t="s">
        <v>21</v>
      </c>
      <c r="W13" s="771">
        <f t="shared" si="2"/>
        <v>100</v>
      </c>
      <c r="X13" s="772"/>
      <c r="Y13" s="3075"/>
      <c r="Z13" s="55">
        <f t="shared" si="7"/>
        <v>0</v>
      </c>
      <c r="AA13" s="773">
        <f t="shared" si="3"/>
        <v>1</v>
      </c>
      <c r="AB13" s="773">
        <f t="shared" si="4"/>
        <v>1</v>
      </c>
      <c r="AC13" s="773">
        <f t="shared" si="5"/>
        <v>1</v>
      </c>
    </row>
    <row r="14" spans="1:29" ht="15.75" hidden="1" thickBot="1">
      <c r="A14" s="436"/>
      <c r="B14" s="2600"/>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37"/>
      <c r="Q14" s="1794">
        <f t="shared" si="6"/>
        <v>0</v>
      </c>
      <c r="R14" s="770" t="s">
        <v>21</v>
      </c>
      <c r="S14" s="771">
        <f t="shared" si="0"/>
        <v>100</v>
      </c>
      <c r="T14" s="770" t="s">
        <v>21</v>
      </c>
      <c r="U14" s="771">
        <f t="shared" si="1"/>
        <v>100</v>
      </c>
      <c r="V14" s="770" t="s">
        <v>21</v>
      </c>
      <c r="W14" s="771">
        <f t="shared" si="2"/>
        <v>100</v>
      </c>
      <c r="X14" s="772"/>
      <c r="Y14" s="3075"/>
      <c r="Z14" s="55">
        <f t="shared" si="7"/>
        <v>0</v>
      </c>
      <c r="AA14" s="773">
        <f t="shared" si="3"/>
        <v>1</v>
      </c>
      <c r="AB14" s="773">
        <f t="shared" si="4"/>
        <v>1</v>
      </c>
      <c r="AC14" s="773">
        <f t="shared" si="5"/>
        <v>1</v>
      </c>
    </row>
    <row r="15" spans="1:29" ht="99.75">
      <c r="A15" s="440" t="s">
        <v>2547</v>
      </c>
      <c r="B15" s="69" t="s">
        <v>2076</v>
      </c>
      <c r="C15" s="2601" t="str">
        <f>估价对象房地状况!C3</f>
        <v>估价对象周边居住用地比例、居住小区规模和社区发展完善程度，综合评价居住社区成熟度一般</v>
      </c>
      <c r="D15" s="441">
        <v>100</v>
      </c>
      <c r="E15" s="444"/>
      <c r="F15" s="441">
        <f>SUMIF(76:76,E16,77:77)-SUMIF(76:76,C16,77:77)+100</f>
        <v>95</v>
      </c>
      <c r="G15" s="442"/>
      <c r="H15" s="441">
        <f>SUMIF(76:76,G16,77:77)-SUMIF(76:76,C16,77:77)+100</f>
        <v>100</v>
      </c>
      <c r="I15" s="442"/>
      <c r="J15" s="441">
        <f>SUMIF(76:76,I16,77:77)-SUMIF(76:76,C16,77:77)+100</f>
        <v>105</v>
      </c>
      <c r="K15" s="445">
        <v>5</v>
      </c>
      <c r="L15" s="1140"/>
      <c r="M15" s="1131"/>
      <c r="N15" s="1131"/>
      <c r="O15" s="1131"/>
      <c r="P15" s="3286" t="s">
        <v>2548</v>
      </c>
      <c r="Q15" s="1809" t="str">
        <f t="shared" si="6"/>
        <v>居住社区成熟度</v>
      </c>
      <c r="R15" s="774" t="s">
        <v>21</v>
      </c>
      <c r="S15" s="775">
        <f t="shared" si="0"/>
        <v>95</v>
      </c>
      <c r="T15" s="774" t="s">
        <v>21</v>
      </c>
      <c r="U15" s="775">
        <f t="shared" si="1"/>
        <v>100</v>
      </c>
      <c r="V15" s="774" t="s">
        <v>21</v>
      </c>
      <c r="W15" s="775">
        <f t="shared" si="2"/>
        <v>105</v>
      </c>
      <c r="X15" s="1812"/>
      <c r="Y15" s="3240" t="s">
        <v>2548</v>
      </c>
      <c r="Z15" s="1813" t="str">
        <f t="shared" si="7"/>
        <v>居住社区成熟度</v>
      </c>
      <c r="AA15" s="1810">
        <f t="shared" si="3"/>
        <v>1.0526315789473684</v>
      </c>
      <c r="AB15" s="1810">
        <f t="shared" si="4"/>
        <v>1</v>
      </c>
      <c r="AC15" s="1810">
        <f t="shared" si="5"/>
        <v>0.95238095238095233</v>
      </c>
    </row>
    <row r="16" spans="1:29" ht="15">
      <c r="A16" s="428"/>
      <c r="B16" s="446"/>
      <c r="C16" s="447" t="s">
        <v>3343</v>
      </c>
      <c r="D16" s="448"/>
      <c r="E16" s="2602" t="s">
        <v>3388</v>
      </c>
      <c r="F16" s="448"/>
      <c r="G16" s="2603" t="s">
        <v>3343</v>
      </c>
      <c r="H16" s="450"/>
      <c r="I16" s="2603" t="s">
        <v>3423</v>
      </c>
      <c r="J16" s="448"/>
      <c r="K16" s="2604"/>
      <c r="L16" s="1140"/>
      <c r="M16" s="1131"/>
      <c r="N16" s="1131"/>
      <c r="O16" s="1131"/>
      <c r="P16" s="3287"/>
      <c r="Q16" s="1809"/>
      <c r="R16" s="774"/>
      <c r="S16" s="775"/>
      <c r="T16" s="774"/>
      <c r="U16" s="775"/>
      <c r="V16" s="774"/>
      <c r="W16" s="775"/>
      <c r="X16" s="1812"/>
      <c r="Y16" s="3241"/>
      <c r="Z16" s="1813"/>
      <c r="AA16" s="1810">
        <v>1</v>
      </c>
      <c r="AB16" s="1810">
        <v>1</v>
      </c>
      <c r="AC16" s="1810">
        <v>1</v>
      </c>
    </row>
    <row r="17" spans="1:29" ht="85.5">
      <c r="A17" s="428"/>
      <c r="B17" s="451" t="s">
        <v>2088</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87"/>
      <c r="Q17" s="1809" t="str">
        <f>B17</f>
        <v>交通便捷度</v>
      </c>
      <c r="R17" s="774" t="s">
        <v>21</v>
      </c>
      <c r="S17" s="775">
        <f>F17</f>
        <v>100</v>
      </c>
      <c r="T17" s="774" t="s">
        <v>21</v>
      </c>
      <c r="U17" s="775">
        <f>H17</f>
        <v>100</v>
      </c>
      <c r="V17" s="774" t="s">
        <v>21</v>
      </c>
      <c r="W17" s="775">
        <f>J17</f>
        <v>100</v>
      </c>
      <c r="X17" s="1812"/>
      <c r="Y17" s="3241"/>
      <c r="Z17" s="1813" t="str">
        <f>Q17</f>
        <v>交通便捷度</v>
      </c>
      <c r="AA17" s="1810">
        <f t="shared" si="3"/>
        <v>1</v>
      </c>
      <c r="AB17" s="1810">
        <f t="shared" si="4"/>
        <v>1</v>
      </c>
      <c r="AC17" s="1810">
        <f t="shared" si="5"/>
        <v>1</v>
      </c>
    </row>
    <row r="18" spans="1:29" ht="15">
      <c r="A18" s="428"/>
      <c r="B18" s="456"/>
      <c r="C18" s="2606" t="s">
        <v>3343</v>
      </c>
      <c r="D18" s="450"/>
      <c r="E18" s="2607" t="s">
        <v>3343</v>
      </c>
      <c r="F18" s="450"/>
      <c r="G18" s="2608" t="s">
        <v>3343</v>
      </c>
      <c r="H18" s="448"/>
      <c r="I18" s="2608" t="s">
        <v>3343</v>
      </c>
      <c r="J18" s="448"/>
      <c r="K18" s="2604"/>
      <c r="L18" s="1140"/>
      <c r="M18" s="1131"/>
      <c r="N18" s="1131"/>
      <c r="O18" s="1131"/>
      <c r="P18" s="3287"/>
      <c r="Q18" s="1809"/>
      <c r="R18" s="774"/>
      <c r="S18" s="775"/>
      <c r="T18" s="774"/>
      <c r="U18" s="775"/>
      <c r="V18" s="774"/>
      <c r="W18" s="775"/>
      <c r="X18" s="1812"/>
      <c r="Y18" s="3241"/>
      <c r="Z18" s="1813"/>
      <c r="AA18" s="1810">
        <v>1</v>
      </c>
      <c r="AB18" s="1810">
        <v>1</v>
      </c>
      <c r="AC18" s="1810">
        <v>1</v>
      </c>
    </row>
    <row r="19" spans="1:29" ht="42.75">
      <c r="A19" s="428"/>
      <c r="B19" s="451" t="s">
        <v>2086</v>
      </c>
      <c r="C19" s="2605" t="str">
        <f>估价对象房地状况!C7</f>
        <v>估价对象所在区域公共配套设施齐备情况</v>
      </c>
      <c r="D19" s="455">
        <v>100</v>
      </c>
      <c r="E19" s="459"/>
      <c r="F19" s="455">
        <f>SUMIF(80:80,E20,81:81)-SUMIF(80:80,C20,81:81)+100</f>
        <v>97</v>
      </c>
      <c r="G19" s="457"/>
      <c r="H19" s="450">
        <f>SUMIF(80:80,G20,81:81)-SUMIF(80:80,C20,81:81)+100</f>
        <v>100</v>
      </c>
      <c r="I19" s="457"/>
      <c r="J19" s="450">
        <f>SUMIF(80:80,I20,81:81)-SUMIF(80:80,C20,81:81)+100</f>
        <v>103</v>
      </c>
      <c r="K19" s="445">
        <v>3</v>
      </c>
      <c r="L19" s="1140"/>
      <c r="M19" s="1131"/>
      <c r="N19" s="1131"/>
      <c r="O19" s="1131"/>
      <c r="P19" s="3287"/>
      <c r="Q19" s="1809" t="str">
        <f>B19</f>
        <v>公共配套设施</v>
      </c>
      <c r="R19" s="774" t="s">
        <v>21</v>
      </c>
      <c r="S19" s="775">
        <f>F19</f>
        <v>97</v>
      </c>
      <c r="T19" s="774" t="s">
        <v>21</v>
      </c>
      <c r="U19" s="775">
        <f>H19</f>
        <v>100</v>
      </c>
      <c r="V19" s="774" t="s">
        <v>21</v>
      </c>
      <c r="W19" s="775">
        <f>J19</f>
        <v>103</v>
      </c>
      <c r="X19" s="1812"/>
      <c r="Y19" s="3241"/>
      <c r="Z19" s="1813" t="str">
        <f>Q19</f>
        <v>公共配套设施</v>
      </c>
      <c r="AA19" s="1810">
        <f t="shared" si="3"/>
        <v>1.0309278350515463</v>
      </c>
      <c r="AB19" s="1810">
        <f t="shared" si="4"/>
        <v>1</v>
      </c>
      <c r="AC19" s="1810">
        <f t="shared" si="5"/>
        <v>0.970873786407767</v>
      </c>
    </row>
    <row r="20" spans="1:29" ht="15">
      <c r="A20" s="428"/>
      <c r="B20" s="456"/>
      <c r="C20" s="447" t="s">
        <v>3343</v>
      </c>
      <c r="D20" s="448"/>
      <c r="E20" s="447" t="s">
        <v>3388</v>
      </c>
      <c r="F20" s="448"/>
      <c r="G20" s="447" t="s">
        <v>3343</v>
      </c>
      <c r="H20" s="448"/>
      <c r="I20" s="447" t="s">
        <v>3423</v>
      </c>
      <c r="J20" s="448"/>
      <c r="K20" s="2604"/>
      <c r="L20" s="1140"/>
      <c r="M20" s="1131"/>
      <c r="N20" s="1131"/>
      <c r="O20" s="1131"/>
      <c r="P20" s="3287"/>
      <c r="Q20" s="1809"/>
      <c r="R20" s="774"/>
      <c r="S20" s="775"/>
      <c r="T20" s="774"/>
      <c r="U20" s="775"/>
      <c r="V20" s="774"/>
      <c r="W20" s="775"/>
      <c r="X20" s="1812"/>
      <c r="Y20" s="3241"/>
      <c r="Z20" s="1813"/>
      <c r="AA20" s="1810">
        <v>1</v>
      </c>
      <c r="AB20" s="1810">
        <v>1</v>
      </c>
      <c r="AC20" s="1810">
        <v>1</v>
      </c>
    </row>
    <row r="21" spans="1:29" ht="28.5">
      <c r="A21" s="428"/>
      <c r="B21" s="1384" t="s">
        <v>2089</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287"/>
      <c r="Q21" s="1809" t="str">
        <f>B21</f>
        <v>基础设施水平</v>
      </c>
      <c r="R21" s="774" t="s">
        <v>17</v>
      </c>
      <c r="S21" s="775">
        <f>F21</f>
        <v>100</v>
      </c>
      <c r="T21" s="774" t="s">
        <v>17</v>
      </c>
      <c r="U21" s="775">
        <f>H21</f>
        <v>100</v>
      </c>
      <c r="V21" s="774" t="s">
        <v>17</v>
      </c>
      <c r="W21" s="775">
        <f>J21</f>
        <v>100</v>
      </c>
      <c r="X21" s="1812"/>
      <c r="Y21" s="3241"/>
      <c r="Z21" s="1813" t="str">
        <f>Q21</f>
        <v>基础设施水平</v>
      </c>
      <c r="AA21" s="1810">
        <f t="shared" ref="AA21" si="8">D21/F21</f>
        <v>1</v>
      </c>
      <c r="AB21" s="1810">
        <f t="shared" ref="AB21" si="9">D21/H21</f>
        <v>1</v>
      </c>
      <c r="AC21" s="1810">
        <f t="shared" ref="AC21" si="10">D21/J21</f>
        <v>1</v>
      </c>
    </row>
    <row r="22" spans="1:29" ht="15">
      <c r="A22" s="428"/>
      <c r="B22" s="1384"/>
      <c r="C22" s="2606" t="s">
        <v>3326</v>
      </c>
      <c r="D22" s="448"/>
      <c r="E22" s="2606" t="s">
        <v>3326</v>
      </c>
      <c r="F22" s="448"/>
      <c r="G22" s="2606" t="s">
        <v>3326</v>
      </c>
      <c r="H22" s="448"/>
      <c r="I22" s="2606" t="s">
        <v>3326</v>
      </c>
      <c r="J22" s="448"/>
      <c r="K22" s="2610"/>
      <c r="L22" s="1140"/>
      <c r="M22" s="1131"/>
      <c r="N22" s="1131"/>
      <c r="O22" s="1131"/>
      <c r="P22" s="3287"/>
      <c r="Q22" s="1809"/>
      <c r="R22" s="774"/>
      <c r="S22" s="775"/>
      <c r="T22" s="774"/>
      <c r="U22" s="775"/>
      <c r="V22" s="774"/>
      <c r="W22" s="775"/>
      <c r="X22" s="1812"/>
      <c r="Y22" s="3241"/>
      <c r="Z22" s="1813"/>
      <c r="AA22" s="1810">
        <v>1</v>
      </c>
      <c r="AB22" s="1810">
        <v>1</v>
      </c>
      <c r="AC22" s="1810">
        <v>1</v>
      </c>
    </row>
    <row r="23" spans="1:29" ht="57">
      <c r="A23" s="428"/>
      <c r="B23" s="451" t="s">
        <v>2093</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87"/>
      <c r="Q23" s="1809" t="str">
        <f>B23</f>
        <v>自然及人文环境</v>
      </c>
      <c r="R23" s="774" t="s">
        <v>21</v>
      </c>
      <c r="S23" s="775">
        <f>F23</f>
        <v>100</v>
      </c>
      <c r="T23" s="774" t="s">
        <v>21</v>
      </c>
      <c r="U23" s="775">
        <f>H23</f>
        <v>100</v>
      </c>
      <c r="V23" s="774" t="s">
        <v>21</v>
      </c>
      <c r="W23" s="775">
        <f>J23</f>
        <v>100</v>
      </c>
      <c r="X23" s="1812"/>
      <c r="Y23" s="3241"/>
      <c r="Z23" s="1813" t="str">
        <f>Q23</f>
        <v>自然及人文环境</v>
      </c>
      <c r="AA23" s="1810">
        <f>D23/F23</f>
        <v>1</v>
      </c>
      <c r="AB23" s="1810">
        <f>D23/H23</f>
        <v>1</v>
      </c>
      <c r="AC23" s="1810">
        <f>D23/J23</f>
        <v>1</v>
      </c>
    </row>
    <row r="24" spans="1:29" ht="15.75" thickBot="1">
      <c r="A24" s="428"/>
      <c r="B24" s="456"/>
      <c r="C24" s="447" t="s">
        <v>3343</v>
      </c>
      <c r="D24" s="448"/>
      <c r="E24" s="447" t="s">
        <v>3343</v>
      </c>
      <c r="F24" s="448"/>
      <c r="G24" s="447" t="s">
        <v>3343</v>
      </c>
      <c r="H24" s="448"/>
      <c r="I24" s="447" t="s">
        <v>3343</v>
      </c>
      <c r="J24" s="448"/>
      <c r="K24" s="2604"/>
      <c r="L24" s="1140"/>
      <c r="M24" s="1131"/>
      <c r="N24" s="1131"/>
      <c r="O24" s="1131"/>
      <c r="P24" s="3287"/>
      <c r="Q24" s="1809"/>
      <c r="R24" s="774"/>
      <c r="S24" s="775"/>
      <c r="T24" s="774"/>
      <c r="U24" s="775"/>
      <c r="V24" s="774"/>
      <c r="W24" s="775"/>
      <c r="X24" s="1812"/>
      <c r="Y24" s="3241"/>
      <c r="Z24" s="1813"/>
      <c r="AA24" s="1810">
        <v>1</v>
      </c>
      <c r="AB24" s="1810">
        <v>1</v>
      </c>
      <c r="AC24" s="1810">
        <v>1</v>
      </c>
    </row>
    <row r="25" spans="1:29" ht="15" hidden="1">
      <c r="A25" s="428"/>
      <c r="B25" s="422" t="s">
        <v>2549</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8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41"/>
      <c r="Z25" s="1813" t="str">
        <f>Q25</f>
        <v>楼层-1</v>
      </c>
      <c r="AA25" s="1810">
        <f t="shared" ref="AA25:AA46" si="15">D25/F25</f>
        <v>1</v>
      </c>
      <c r="AB25" s="1810">
        <f t="shared" ref="AB25:AB46" si="16">D25/H25</f>
        <v>1</v>
      </c>
      <c r="AC25" s="1810">
        <f t="shared" ref="AC25:AC46" si="17">D25/J25</f>
        <v>1</v>
      </c>
    </row>
    <row r="26" spans="1:29" ht="15" hidden="1">
      <c r="A26" s="428"/>
      <c r="B26" s="422" t="s">
        <v>2550</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87"/>
      <c r="Q26" s="1809" t="str">
        <f t="shared" si="11"/>
        <v>朝向</v>
      </c>
      <c r="R26" s="774" t="s">
        <v>21</v>
      </c>
      <c r="S26" s="775">
        <f t="shared" si="12"/>
        <v>100</v>
      </c>
      <c r="T26" s="774" t="s">
        <v>21</v>
      </c>
      <c r="U26" s="775">
        <f t="shared" si="13"/>
        <v>100</v>
      </c>
      <c r="V26" s="774" t="s">
        <v>21</v>
      </c>
      <c r="W26" s="775">
        <f t="shared" si="14"/>
        <v>100</v>
      </c>
      <c r="X26" s="1812"/>
      <c r="Y26" s="3241"/>
      <c r="Z26" s="1813" t="str">
        <f>Q26</f>
        <v>朝向</v>
      </c>
      <c r="AA26" s="1810">
        <f t="shared" si="15"/>
        <v>1</v>
      </c>
      <c r="AB26" s="1810">
        <f t="shared" si="16"/>
        <v>1</v>
      </c>
      <c r="AC26" s="1810">
        <f t="shared" si="17"/>
        <v>1</v>
      </c>
    </row>
    <row r="27" spans="1:29" s="117" customFormat="1" ht="15" hidden="1">
      <c r="A27" s="431"/>
      <c r="B27" s="1386"/>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87"/>
      <c r="Q27" s="1794">
        <f t="shared" si="11"/>
        <v>0</v>
      </c>
      <c r="R27" s="770" t="s">
        <v>21</v>
      </c>
      <c r="S27" s="771">
        <f t="shared" si="12"/>
        <v>100</v>
      </c>
      <c r="T27" s="770" t="s">
        <v>21</v>
      </c>
      <c r="U27" s="771">
        <f t="shared" si="13"/>
        <v>100</v>
      </c>
      <c r="V27" s="770" t="s">
        <v>21</v>
      </c>
      <c r="W27" s="771">
        <f t="shared" si="14"/>
        <v>100</v>
      </c>
      <c r="X27" s="772"/>
      <c r="Y27" s="3241"/>
      <c r="Z27" s="55">
        <f>Q27</f>
        <v>0</v>
      </c>
      <c r="AA27" s="1810">
        <f t="shared" si="15"/>
        <v>1</v>
      </c>
      <c r="AB27" s="1810">
        <f t="shared" si="16"/>
        <v>1</v>
      </c>
      <c r="AC27" s="1810">
        <f t="shared" si="17"/>
        <v>1</v>
      </c>
    </row>
    <row r="28" spans="1:29" ht="15" hidden="1">
      <c r="A28" s="428"/>
      <c r="B28" s="1386"/>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87"/>
      <c r="Q28" s="1809">
        <f t="shared" si="11"/>
        <v>0</v>
      </c>
      <c r="R28" s="774" t="s">
        <v>21</v>
      </c>
      <c r="S28" s="775">
        <f t="shared" si="12"/>
        <v>100</v>
      </c>
      <c r="T28" s="774" t="s">
        <v>21</v>
      </c>
      <c r="U28" s="775">
        <f t="shared" si="13"/>
        <v>100</v>
      </c>
      <c r="V28" s="774" t="s">
        <v>21</v>
      </c>
      <c r="W28" s="775">
        <f t="shared" si="14"/>
        <v>100</v>
      </c>
      <c r="X28" s="1812"/>
      <c r="Y28" s="3241"/>
      <c r="Z28" s="1813">
        <f t="shared" ref="Z28:Z46" si="18">Q28</f>
        <v>0</v>
      </c>
      <c r="AA28" s="1810">
        <f t="shared" si="15"/>
        <v>1</v>
      </c>
      <c r="AB28" s="1810">
        <f t="shared" si="16"/>
        <v>1</v>
      </c>
      <c r="AC28" s="1810">
        <f t="shared" si="17"/>
        <v>1</v>
      </c>
    </row>
    <row r="29" spans="1:29" ht="15" hidden="1">
      <c r="A29" s="428"/>
      <c r="B29" s="1386"/>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87"/>
      <c r="Q29" s="1809">
        <f t="shared" si="11"/>
        <v>0</v>
      </c>
      <c r="R29" s="774" t="s">
        <v>21</v>
      </c>
      <c r="S29" s="775">
        <f t="shared" si="12"/>
        <v>100</v>
      </c>
      <c r="T29" s="774" t="s">
        <v>21</v>
      </c>
      <c r="U29" s="775">
        <f t="shared" si="13"/>
        <v>100</v>
      </c>
      <c r="V29" s="774" t="s">
        <v>21</v>
      </c>
      <c r="W29" s="775">
        <f t="shared" si="14"/>
        <v>100</v>
      </c>
      <c r="X29" s="1812"/>
      <c r="Y29" s="3241"/>
      <c r="Z29" s="1813">
        <f t="shared" si="18"/>
        <v>0</v>
      </c>
      <c r="AA29" s="1810">
        <f t="shared" si="15"/>
        <v>1</v>
      </c>
      <c r="AB29" s="1810">
        <f t="shared" si="16"/>
        <v>1</v>
      </c>
      <c r="AC29" s="1810">
        <f t="shared" si="17"/>
        <v>1</v>
      </c>
    </row>
    <row r="30" spans="1:29" ht="15" hidden="1">
      <c r="A30" s="428"/>
      <c r="B30" s="1386"/>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87"/>
      <c r="Q30" s="1809">
        <f t="shared" si="11"/>
        <v>0</v>
      </c>
      <c r="R30" s="774" t="s">
        <v>21</v>
      </c>
      <c r="S30" s="775">
        <f t="shared" si="12"/>
        <v>100</v>
      </c>
      <c r="T30" s="774" t="s">
        <v>21</v>
      </c>
      <c r="U30" s="775">
        <f t="shared" si="13"/>
        <v>100</v>
      </c>
      <c r="V30" s="774" t="s">
        <v>21</v>
      </c>
      <c r="W30" s="775">
        <f t="shared" si="14"/>
        <v>100</v>
      </c>
      <c r="X30" s="1812"/>
      <c r="Y30" s="3241"/>
      <c r="Z30" s="1813">
        <f t="shared" si="18"/>
        <v>0</v>
      </c>
      <c r="AA30" s="1810">
        <f t="shared" si="15"/>
        <v>1</v>
      </c>
      <c r="AB30" s="1810">
        <f t="shared" si="16"/>
        <v>1</v>
      </c>
      <c r="AC30" s="1810">
        <f t="shared" si="17"/>
        <v>1</v>
      </c>
    </row>
    <row r="31" spans="1:29" ht="15.75" hidden="1" thickBot="1">
      <c r="A31" s="436"/>
      <c r="B31" s="1386"/>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87"/>
      <c r="Q31" s="1809">
        <f t="shared" si="11"/>
        <v>0</v>
      </c>
      <c r="R31" s="774" t="s">
        <v>21</v>
      </c>
      <c r="S31" s="775">
        <f t="shared" si="12"/>
        <v>100</v>
      </c>
      <c r="T31" s="774" t="s">
        <v>21</v>
      </c>
      <c r="U31" s="775">
        <f t="shared" si="13"/>
        <v>100</v>
      </c>
      <c r="V31" s="774" t="s">
        <v>21</v>
      </c>
      <c r="W31" s="775">
        <f t="shared" si="14"/>
        <v>100</v>
      </c>
      <c r="X31" s="1812"/>
      <c r="Y31" s="3241"/>
      <c r="Z31" s="1813">
        <f t="shared" si="18"/>
        <v>0</v>
      </c>
      <c r="AA31" s="1810">
        <f t="shared" si="15"/>
        <v>1</v>
      </c>
      <c r="AB31" s="1810">
        <f t="shared" si="16"/>
        <v>1</v>
      </c>
      <c r="AC31" s="1810">
        <f t="shared" si="17"/>
        <v>1</v>
      </c>
    </row>
    <row r="32" spans="1:29" ht="15">
      <c r="A32" s="440" t="s">
        <v>2551</v>
      </c>
      <c r="B32" s="71" t="s">
        <v>2552</v>
      </c>
      <c r="C32" s="2615" t="s">
        <v>3338</v>
      </c>
      <c r="D32" s="467">
        <v>100</v>
      </c>
      <c r="E32" s="2615" t="s">
        <v>3338</v>
      </c>
      <c r="F32" s="461">
        <f>SUMIF(100:100,E32,101:101)-SUMIF(100:100,C32,101:101)+100</f>
        <v>100</v>
      </c>
      <c r="G32" s="2615" t="s">
        <v>3338</v>
      </c>
      <c r="H32" s="467">
        <f>SUMIF(100:100,G32,101:101)-SUMIF(100:100,C32,101:101)+100</f>
        <v>100</v>
      </c>
      <c r="I32" s="2615" t="s">
        <v>3338</v>
      </c>
      <c r="J32" s="435">
        <f>SUMIF(100:100,I32,101:101)-SUMIF(100:100,C32,101:101)+100</f>
        <v>100</v>
      </c>
      <c r="K32" s="426">
        <v>5</v>
      </c>
      <c r="L32" s="1140"/>
      <c r="M32" s="1131"/>
      <c r="N32" s="1131"/>
      <c r="O32" s="1131"/>
      <c r="P32" s="3282" t="s">
        <v>2553</v>
      </c>
      <c r="Q32" s="1809" t="str">
        <f t="shared" si="11"/>
        <v>建筑类型</v>
      </c>
      <c r="R32" s="774" t="s">
        <v>21</v>
      </c>
      <c r="S32" s="775">
        <f t="shared" si="12"/>
        <v>100</v>
      </c>
      <c r="T32" s="774" t="s">
        <v>21</v>
      </c>
      <c r="U32" s="775">
        <f t="shared" si="13"/>
        <v>100</v>
      </c>
      <c r="V32" s="774" t="s">
        <v>21</v>
      </c>
      <c r="W32" s="775">
        <f t="shared" si="14"/>
        <v>100</v>
      </c>
      <c r="X32" s="1812"/>
      <c r="Y32" s="3243" t="s">
        <v>2553</v>
      </c>
      <c r="Z32" s="1813" t="str">
        <f t="shared" si="18"/>
        <v>建筑类型</v>
      </c>
      <c r="AA32" s="1810">
        <f t="shared" si="15"/>
        <v>1</v>
      </c>
      <c r="AB32" s="1810">
        <f t="shared" si="16"/>
        <v>1</v>
      </c>
      <c r="AC32" s="1810">
        <f t="shared" si="17"/>
        <v>1</v>
      </c>
    </row>
    <row r="33" spans="1:29" s="471" customFormat="1" ht="15">
      <c r="A33" s="468"/>
      <c r="B33" s="422" t="s">
        <v>2554</v>
      </c>
      <c r="C33" s="469">
        <f>'数据-汇总表'!E3</f>
        <v>405562.81999999995</v>
      </c>
      <c r="D33" s="136">
        <v>100</v>
      </c>
      <c r="E33" s="469">
        <v>523810</v>
      </c>
      <c r="F33" s="425">
        <f>LOOKUP(E33,103:103,104:104)-LOOKUP(C33,103:103,104:104)+100</f>
        <v>100</v>
      </c>
      <c r="G33" s="469">
        <v>158574</v>
      </c>
      <c r="H33" s="136">
        <f>LOOKUP(G33,103:103,104:104)-LOOKUP(C33,103:103,104:104)+100</f>
        <v>100</v>
      </c>
      <c r="I33" s="469">
        <v>1105200</v>
      </c>
      <c r="J33" s="136">
        <f>LOOKUP(I33,103:103,104:104)-LOOKUP(C33,103:103,104:104)+100</f>
        <v>100</v>
      </c>
      <c r="K33" s="2599"/>
      <c r="L33" s="1138"/>
      <c r="M33" s="1141"/>
      <c r="N33" s="1141"/>
      <c r="O33" s="1141"/>
      <c r="P33" s="3283"/>
      <c r="Q33" s="776" t="str">
        <f t="shared" si="11"/>
        <v>项目建筑规模</v>
      </c>
      <c r="R33" s="777" t="s">
        <v>21</v>
      </c>
      <c r="S33" s="778">
        <f t="shared" si="12"/>
        <v>100</v>
      </c>
      <c r="T33" s="777" t="s">
        <v>21</v>
      </c>
      <c r="U33" s="778">
        <f t="shared" si="13"/>
        <v>100</v>
      </c>
      <c r="V33" s="777" t="s">
        <v>21</v>
      </c>
      <c r="W33" s="778">
        <f t="shared" si="14"/>
        <v>100</v>
      </c>
      <c r="X33" s="779"/>
      <c r="Y33" s="3243"/>
      <c r="Z33" s="780" t="str">
        <f t="shared" si="18"/>
        <v>项目建筑规模</v>
      </c>
      <c r="AA33" s="1810">
        <f t="shared" si="15"/>
        <v>1</v>
      </c>
      <c r="AB33" s="1810">
        <f t="shared" si="16"/>
        <v>1</v>
      </c>
      <c r="AC33" s="1810">
        <f t="shared" si="17"/>
        <v>1</v>
      </c>
    </row>
    <row r="34" spans="1:29" ht="15">
      <c r="A34" s="472"/>
      <c r="B34" s="422" t="s">
        <v>2555</v>
      </c>
      <c r="C34" s="2616" t="s">
        <v>3322</v>
      </c>
      <c r="D34" s="435">
        <v>100</v>
      </c>
      <c r="E34" s="2616" t="s">
        <v>3322</v>
      </c>
      <c r="F34" s="461">
        <f>SUMIF(105:105,E34,106:106)-SUMIF(105:105,C34,106:106)+100</f>
        <v>100</v>
      </c>
      <c r="G34" s="2616" t="s">
        <v>3322</v>
      </c>
      <c r="H34" s="435">
        <f>SUMIF(105:105,G34,106:106)-SUMIF(105:105,C34,106:106)+100</f>
        <v>100</v>
      </c>
      <c r="I34" s="2616" t="s">
        <v>3322</v>
      </c>
      <c r="J34" s="435">
        <f>SUMIF(105:105,I34,106:106)-SUMIF(105:105,C34,106:106)+100</f>
        <v>100</v>
      </c>
      <c r="K34" s="426">
        <v>2</v>
      </c>
      <c r="L34" s="1140"/>
      <c r="M34" s="1131"/>
      <c r="N34" s="1131"/>
      <c r="O34" s="1131"/>
      <c r="P34" s="3283"/>
      <c r="Q34" s="1809" t="str">
        <f t="shared" si="11"/>
        <v>建筑结构</v>
      </c>
      <c r="R34" s="774" t="s">
        <v>21</v>
      </c>
      <c r="S34" s="775">
        <f t="shared" si="12"/>
        <v>100</v>
      </c>
      <c r="T34" s="774" t="s">
        <v>21</v>
      </c>
      <c r="U34" s="775">
        <f t="shared" si="13"/>
        <v>100</v>
      </c>
      <c r="V34" s="774" t="s">
        <v>21</v>
      </c>
      <c r="W34" s="775">
        <f t="shared" si="14"/>
        <v>100</v>
      </c>
      <c r="X34" s="1812"/>
      <c r="Y34" s="3243"/>
      <c r="Z34" s="1813" t="str">
        <f t="shared" si="18"/>
        <v>建筑结构</v>
      </c>
      <c r="AA34" s="1810">
        <f t="shared" si="15"/>
        <v>1</v>
      </c>
      <c r="AB34" s="1810">
        <f t="shared" si="16"/>
        <v>1</v>
      </c>
      <c r="AC34" s="1810">
        <f t="shared" si="17"/>
        <v>1</v>
      </c>
    </row>
    <row r="35" spans="1:29" ht="15">
      <c r="A35" s="472"/>
      <c r="B35" s="422" t="s">
        <v>2556</v>
      </c>
      <c r="C35" s="2611" t="s">
        <v>3335</v>
      </c>
      <c r="D35" s="435">
        <v>100</v>
      </c>
      <c r="E35" s="2611" t="s">
        <v>3335</v>
      </c>
      <c r="F35" s="461">
        <f>SUMIF(107:107,E35,108:108)-SUMIF(107:107,C35,108:108)+100</f>
        <v>100</v>
      </c>
      <c r="G35" s="2611" t="s">
        <v>3335</v>
      </c>
      <c r="H35" s="435">
        <f>SUMIF(107:107,G35,108:108)-SUMIF(107:107,C35,108:108)+100</f>
        <v>100</v>
      </c>
      <c r="I35" s="2611" t="s">
        <v>3335</v>
      </c>
      <c r="J35" s="435">
        <f>SUMIF(107:107,I35,108:108)-SUMIF(107:107,C35,108:108)+100</f>
        <v>100</v>
      </c>
      <c r="K35" s="426">
        <v>2</v>
      </c>
      <c r="L35" s="1140"/>
      <c r="M35" s="1131"/>
      <c r="N35" s="1131"/>
      <c r="O35" s="1131"/>
      <c r="P35" s="3283"/>
      <c r="Q35" s="1809" t="str">
        <f t="shared" si="11"/>
        <v>建筑品质</v>
      </c>
      <c r="R35" s="774" t="s">
        <v>21</v>
      </c>
      <c r="S35" s="775">
        <f t="shared" si="12"/>
        <v>100</v>
      </c>
      <c r="T35" s="774" t="s">
        <v>21</v>
      </c>
      <c r="U35" s="775">
        <f t="shared" si="13"/>
        <v>100</v>
      </c>
      <c r="V35" s="774" t="s">
        <v>21</v>
      </c>
      <c r="W35" s="775">
        <f t="shared" si="14"/>
        <v>100</v>
      </c>
      <c r="X35" s="1812"/>
      <c r="Y35" s="3243"/>
      <c r="Z35" s="1813" t="str">
        <f t="shared" si="18"/>
        <v>建筑品质</v>
      </c>
      <c r="AA35" s="1810">
        <f t="shared" si="15"/>
        <v>1</v>
      </c>
      <c r="AB35" s="1810">
        <f t="shared" si="16"/>
        <v>1</v>
      </c>
      <c r="AC35" s="1810">
        <f t="shared" si="17"/>
        <v>1</v>
      </c>
    </row>
    <row r="36" spans="1:29" ht="15">
      <c r="A36" s="472"/>
      <c r="B36" s="422" t="s">
        <v>2557</v>
      </c>
      <c r="C36" s="2611" t="s">
        <v>3330</v>
      </c>
      <c r="D36" s="435">
        <v>100</v>
      </c>
      <c r="E36" s="2611" t="s">
        <v>3330</v>
      </c>
      <c r="F36" s="461">
        <f>SUMIF(109:109,E36,110:110)-SUMIF(109:109,C36,110:110)+100</f>
        <v>100</v>
      </c>
      <c r="G36" s="2611" t="s">
        <v>3330</v>
      </c>
      <c r="H36" s="435">
        <f>SUMIF(109:109,G36,110:110)-SUMIF(109:109,C36,110:110)+100</f>
        <v>100</v>
      </c>
      <c r="I36" s="2611" t="s">
        <v>3330</v>
      </c>
      <c r="J36" s="435">
        <f>SUMIF(109:109,I36,110:110)-SUMIF(109:109,C36,110:110)+100</f>
        <v>100</v>
      </c>
      <c r="K36" s="426">
        <v>2</v>
      </c>
      <c r="L36" s="1140"/>
      <c r="M36" s="1131"/>
      <c r="N36" s="1131"/>
      <c r="O36" s="1131"/>
      <c r="P36" s="3283"/>
      <c r="Q36" s="1809" t="str">
        <f t="shared" si="11"/>
        <v>公共部分装修</v>
      </c>
      <c r="R36" s="774" t="s">
        <v>21</v>
      </c>
      <c r="S36" s="775">
        <f t="shared" si="12"/>
        <v>100</v>
      </c>
      <c r="T36" s="774" t="s">
        <v>21</v>
      </c>
      <c r="U36" s="775">
        <f t="shared" si="13"/>
        <v>100</v>
      </c>
      <c r="V36" s="774" t="s">
        <v>21</v>
      </c>
      <c r="W36" s="775">
        <f t="shared" si="14"/>
        <v>100</v>
      </c>
      <c r="X36" s="1812"/>
      <c r="Y36" s="3243"/>
      <c r="Z36" s="1813" t="str">
        <f t="shared" si="18"/>
        <v>公共部分装修</v>
      </c>
      <c r="AA36" s="1810">
        <f t="shared" si="15"/>
        <v>1</v>
      </c>
      <c r="AB36" s="1810">
        <f t="shared" si="16"/>
        <v>1</v>
      </c>
      <c r="AC36" s="1810">
        <f t="shared" si="17"/>
        <v>1</v>
      </c>
    </row>
    <row r="37" spans="1:29" s="117" customFormat="1" ht="15">
      <c r="A37" s="473"/>
      <c r="B37" s="422" t="s">
        <v>2558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283"/>
      <c r="Q37" s="1794" t="str">
        <f t="shared" si="11"/>
        <v>成新度</v>
      </c>
      <c r="R37" s="770" t="s">
        <v>21</v>
      </c>
      <c r="S37" s="771">
        <f t="shared" si="12"/>
        <v>100</v>
      </c>
      <c r="T37" s="770" t="s">
        <v>21</v>
      </c>
      <c r="U37" s="771">
        <f t="shared" si="13"/>
        <v>100</v>
      </c>
      <c r="V37" s="770" t="s">
        <v>21</v>
      </c>
      <c r="W37" s="771">
        <f t="shared" si="14"/>
        <v>100</v>
      </c>
      <c r="X37" s="772"/>
      <c r="Y37" s="3243"/>
      <c r="Z37" s="55" t="str">
        <f t="shared" si="18"/>
        <v>成新度</v>
      </c>
      <c r="AA37" s="773">
        <f t="shared" si="15"/>
        <v>1</v>
      </c>
      <c r="AB37" s="773">
        <f t="shared" si="16"/>
        <v>1</v>
      </c>
      <c r="AC37" s="773">
        <f t="shared" si="17"/>
        <v>1</v>
      </c>
    </row>
    <row r="38" spans="1:29" ht="15">
      <c r="A38" s="472"/>
      <c r="B38" s="422" t="s">
        <v>2559</v>
      </c>
      <c r="C38" s="2611" t="s">
        <v>3324</v>
      </c>
      <c r="D38" s="435">
        <v>100</v>
      </c>
      <c r="E38" s="2611" t="s">
        <v>3324</v>
      </c>
      <c r="F38" s="461">
        <f>SUMIF(114:114,E38,115:115)-SUMIF(114:114,C38,115:115)+100</f>
        <v>100</v>
      </c>
      <c r="G38" s="2611" t="s">
        <v>3324</v>
      </c>
      <c r="H38" s="435">
        <f>SUMIF(114:114,G38,115:115)-SUMIF(114:114,C38,115:115)+100</f>
        <v>100</v>
      </c>
      <c r="I38" s="2611" t="s">
        <v>3324</v>
      </c>
      <c r="J38" s="435">
        <f>SUMIF(114:114,I38,115:115)-SUMIF(114:114,C38,115:115)+100</f>
        <v>100</v>
      </c>
      <c r="K38" s="426">
        <v>2</v>
      </c>
      <c r="L38" s="1140"/>
      <c r="M38" s="1131"/>
      <c r="N38" s="1131"/>
      <c r="O38" s="1131"/>
      <c r="P38" s="3283" t="s">
        <v>2553</v>
      </c>
      <c r="Q38" s="1809" t="str">
        <f t="shared" si="11"/>
        <v>物业管理</v>
      </c>
      <c r="R38" s="774" t="s">
        <v>21</v>
      </c>
      <c r="S38" s="775">
        <f t="shared" si="12"/>
        <v>100</v>
      </c>
      <c r="T38" s="774" t="s">
        <v>21</v>
      </c>
      <c r="U38" s="775">
        <f t="shared" si="13"/>
        <v>100</v>
      </c>
      <c r="V38" s="774" t="s">
        <v>21</v>
      </c>
      <c r="W38" s="775">
        <f t="shared" si="14"/>
        <v>100</v>
      </c>
      <c r="X38" s="1812"/>
      <c r="Y38" s="3243" t="s">
        <v>2553</v>
      </c>
      <c r="Z38" s="1813" t="str">
        <f t="shared" si="18"/>
        <v>物业管理</v>
      </c>
      <c r="AA38" s="1810">
        <f t="shared" si="15"/>
        <v>1</v>
      </c>
      <c r="AB38" s="1810">
        <f t="shared" si="16"/>
        <v>1</v>
      </c>
      <c r="AC38" s="1810">
        <f t="shared" si="17"/>
        <v>1</v>
      </c>
    </row>
    <row r="39" spans="1:29" ht="15">
      <c r="A39" s="472"/>
      <c r="B39" s="422" t="s">
        <v>2560</v>
      </c>
      <c r="C39" s="2611" t="s">
        <v>3326</v>
      </c>
      <c r="D39" s="435">
        <v>100</v>
      </c>
      <c r="E39" s="2611" t="s">
        <v>3326</v>
      </c>
      <c r="F39" s="461">
        <f>SUMIF(116:116,E39,117:117)-SUMIF(116:116,C39,117:117)+100</f>
        <v>100</v>
      </c>
      <c r="G39" s="2611" t="s">
        <v>3326</v>
      </c>
      <c r="H39" s="435">
        <f>SUMIF(116:116,G39,117:117)-SUMIF(116:116,C39,117:117)+100</f>
        <v>100</v>
      </c>
      <c r="I39" s="2611" t="s">
        <v>3326</v>
      </c>
      <c r="J39" s="435">
        <f>SUMIF(116:116,I39,117:117)-SUMIF(116:116,C39,117:117)+100</f>
        <v>100</v>
      </c>
      <c r="K39" s="426">
        <v>2</v>
      </c>
      <c r="L39" s="1140"/>
      <c r="M39" s="1131"/>
      <c r="N39" s="1131"/>
      <c r="O39" s="1131"/>
      <c r="P39" s="3283"/>
      <c r="Q39" s="1809" t="str">
        <f t="shared" si="11"/>
        <v>市政基础设施</v>
      </c>
      <c r="R39" s="774" t="s">
        <v>21</v>
      </c>
      <c r="S39" s="775">
        <f t="shared" si="12"/>
        <v>100</v>
      </c>
      <c r="T39" s="774" t="s">
        <v>21</v>
      </c>
      <c r="U39" s="775">
        <f t="shared" si="13"/>
        <v>100</v>
      </c>
      <c r="V39" s="774" t="s">
        <v>21</v>
      </c>
      <c r="W39" s="775">
        <f t="shared" si="14"/>
        <v>100</v>
      </c>
      <c r="X39" s="1812"/>
      <c r="Y39" s="3243"/>
      <c r="Z39" s="1813" t="str">
        <f t="shared" si="18"/>
        <v>市政基础设施</v>
      </c>
      <c r="AA39" s="1810">
        <f t="shared" si="15"/>
        <v>1</v>
      </c>
      <c r="AB39" s="1810">
        <f t="shared" si="16"/>
        <v>1</v>
      </c>
      <c r="AC39" s="1810">
        <f t="shared" si="17"/>
        <v>1</v>
      </c>
    </row>
    <row r="40" spans="1:29" ht="15">
      <c r="A40" s="472"/>
      <c r="B40" s="422" t="s">
        <v>2561</v>
      </c>
      <c r="C40" s="2611" t="s">
        <v>3328</v>
      </c>
      <c r="D40" s="435">
        <v>100</v>
      </c>
      <c r="E40" s="2611" t="s">
        <v>3328</v>
      </c>
      <c r="F40" s="461">
        <f>SUMIF(118:118,E40,119:119)-SUMIF(118:118,C40,119:119)+100</f>
        <v>100</v>
      </c>
      <c r="G40" s="2611" t="s">
        <v>3328</v>
      </c>
      <c r="H40" s="435">
        <f>SUMIF(118:118,G40,119:119)-SUMIF(118:118,C40,119:119)+100</f>
        <v>100</v>
      </c>
      <c r="I40" s="2611" t="s">
        <v>3328</v>
      </c>
      <c r="J40" s="435">
        <f>SUMIF(118:118,I40,119:119)-SUMIF(118:118,C40,119:119)+100</f>
        <v>100</v>
      </c>
      <c r="K40" s="426">
        <v>2</v>
      </c>
      <c r="L40" s="1140"/>
      <c r="M40" s="1131"/>
      <c r="N40" s="1131"/>
      <c r="O40" s="1131"/>
      <c r="P40" s="3283"/>
      <c r="Q40" s="1809" t="str">
        <f t="shared" si="11"/>
        <v>房型</v>
      </c>
      <c r="R40" s="774" t="s">
        <v>21</v>
      </c>
      <c r="S40" s="775">
        <f t="shared" si="12"/>
        <v>100</v>
      </c>
      <c r="T40" s="774" t="s">
        <v>21</v>
      </c>
      <c r="U40" s="775">
        <f t="shared" si="13"/>
        <v>100</v>
      </c>
      <c r="V40" s="774" t="s">
        <v>21</v>
      </c>
      <c r="W40" s="775">
        <f t="shared" si="14"/>
        <v>100</v>
      </c>
      <c r="X40" s="1812"/>
      <c r="Y40" s="3243"/>
      <c r="Z40" s="1813" t="str">
        <f t="shared" si="18"/>
        <v>房型</v>
      </c>
      <c r="AA40" s="1810">
        <f t="shared" si="15"/>
        <v>1</v>
      </c>
      <c r="AB40" s="1810">
        <f t="shared" si="16"/>
        <v>1</v>
      </c>
      <c r="AC40" s="1810">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83"/>
      <c r="Q41" s="776" t="str">
        <f t="shared" si="11"/>
        <v>单套/主力户型建筑面积</v>
      </c>
      <c r="R41" s="777" t="s">
        <v>21</v>
      </c>
      <c r="S41" s="778">
        <f t="shared" si="12"/>
        <v>100</v>
      </c>
      <c r="T41" s="777" t="s">
        <v>21</v>
      </c>
      <c r="U41" s="778">
        <f t="shared" si="13"/>
        <v>100</v>
      </c>
      <c r="V41" s="777" t="s">
        <v>21</v>
      </c>
      <c r="W41" s="778">
        <f t="shared" si="14"/>
        <v>100</v>
      </c>
      <c r="X41" s="779"/>
      <c r="Y41" s="3243"/>
      <c r="Z41" s="780" t="str">
        <f t="shared" si="18"/>
        <v>单套/主力户型建筑面积</v>
      </c>
      <c r="AA41" s="1810">
        <f t="shared" si="15"/>
        <v>1</v>
      </c>
      <c r="AB41" s="1810">
        <f t="shared" si="16"/>
        <v>1</v>
      </c>
      <c r="AC41" s="1810">
        <f t="shared" si="17"/>
        <v>1</v>
      </c>
    </row>
    <row r="42" spans="1:29" ht="15">
      <c r="A42" s="472"/>
      <c r="B42" s="422" t="s">
        <v>2563</v>
      </c>
      <c r="C42" s="2611" t="s">
        <v>3330</v>
      </c>
      <c r="D42" s="435">
        <v>100</v>
      </c>
      <c r="E42" s="2612" t="s">
        <v>3333</v>
      </c>
      <c r="F42" s="461">
        <f>SUMIF(122:122,E42,123:123)-SUMIF(122:122,C42,123:123)+100</f>
        <v>92</v>
      </c>
      <c r="G42" s="2611" t="s">
        <v>3330</v>
      </c>
      <c r="H42" s="435">
        <f>SUMIF(122:122,G42,123:123)-SUMIF(122:122,C42,123:123)+100</f>
        <v>100</v>
      </c>
      <c r="I42" s="2612" t="s">
        <v>3330</v>
      </c>
      <c r="J42" s="435">
        <f>SUMIF(122:122,I42,123:123)-SUMIF(122:122,C42,123:123)+100</f>
        <v>100</v>
      </c>
      <c r="K42" s="426">
        <v>4</v>
      </c>
      <c r="L42" s="1140"/>
      <c r="M42" s="1131"/>
      <c r="N42" s="1131"/>
      <c r="O42" s="1131"/>
      <c r="P42" s="3283"/>
      <c r="Q42" s="1809" t="str">
        <f t="shared" si="11"/>
        <v>内部装修</v>
      </c>
      <c r="R42" s="774" t="s">
        <v>21</v>
      </c>
      <c r="S42" s="775">
        <f t="shared" si="12"/>
        <v>92</v>
      </c>
      <c r="T42" s="774" t="s">
        <v>21</v>
      </c>
      <c r="U42" s="775">
        <f t="shared" si="13"/>
        <v>100</v>
      </c>
      <c r="V42" s="774" t="s">
        <v>21</v>
      </c>
      <c r="W42" s="775">
        <f t="shared" si="14"/>
        <v>100</v>
      </c>
      <c r="X42" s="1812"/>
      <c r="Y42" s="3243"/>
      <c r="Z42" s="1813" t="str">
        <f t="shared" si="18"/>
        <v>内部装修</v>
      </c>
      <c r="AA42" s="1810">
        <f t="shared" si="15"/>
        <v>1.0869565217391304</v>
      </c>
      <c r="AB42" s="1810">
        <f t="shared" si="16"/>
        <v>1</v>
      </c>
      <c r="AC42" s="1810">
        <f t="shared" si="17"/>
        <v>1</v>
      </c>
    </row>
    <row r="43" spans="1:29" ht="15">
      <c r="A43" s="472"/>
      <c r="B43" s="422" t="s">
        <v>2564</v>
      </c>
      <c r="C43" s="2611" t="s">
        <v>3343</v>
      </c>
      <c r="D43" s="435">
        <v>100</v>
      </c>
      <c r="E43" s="2611" t="s">
        <v>3343</v>
      </c>
      <c r="F43" s="461">
        <f>SUMIF(124:124,E43,125:125)-SUMIF(124:124,C43,125:125)+100</f>
        <v>100</v>
      </c>
      <c r="G43" s="2611" t="s">
        <v>3343</v>
      </c>
      <c r="H43" s="435">
        <f>SUMIF(124:124,G43,125:125)-SUMIF(124:124,C43,125:125)+100</f>
        <v>100</v>
      </c>
      <c r="I43" s="2611" t="s">
        <v>3343</v>
      </c>
      <c r="J43" s="435">
        <f>SUMIF(124:124,I43,125:125)-SUMIF(124:124,C43,125:125)+100</f>
        <v>100</v>
      </c>
      <c r="K43" s="426"/>
      <c r="L43" s="1140"/>
      <c r="M43" s="1131"/>
      <c r="N43" s="1131"/>
      <c r="O43" s="1131"/>
      <c r="P43" s="3283"/>
      <c r="Q43" s="1809" t="str">
        <f t="shared" si="11"/>
        <v>内部装修维护情况</v>
      </c>
      <c r="R43" s="774" t="s">
        <v>21</v>
      </c>
      <c r="S43" s="775">
        <f t="shared" si="12"/>
        <v>100</v>
      </c>
      <c r="T43" s="774" t="s">
        <v>21</v>
      </c>
      <c r="U43" s="775">
        <f t="shared" si="13"/>
        <v>100</v>
      </c>
      <c r="V43" s="774" t="s">
        <v>21</v>
      </c>
      <c r="W43" s="775">
        <f t="shared" si="14"/>
        <v>100</v>
      </c>
      <c r="X43" s="1812"/>
      <c r="Y43" s="3243"/>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83"/>
      <c r="Q44" s="1794">
        <f t="shared" si="11"/>
        <v>0</v>
      </c>
      <c r="R44" s="770" t="s">
        <v>21</v>
      </c>
      <c r="S44" s="771">
        <f t="shared" si="12"/>
        <v>100</v>
      </c>
      <c r="T44" s="770" t="s">
        <v>21</v>
      </c>
      <c r="U44" s="771">
        <f t="shared" si="13"/>
        <v>100</v>
      </c>
      <c r="V44" s="770" t="s">
        <v>21</v>
      </c>
      <c r="W44" s="771">
        <f t="shared" si="14"/>
        <v>100</v>
      </c>
      <c r="X44" s="772"/>
      <c r="Y44" s="3243"/>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83"/>
      <c r="Q45" s="1809">
        <f t="shared" si="11"/>
        <v>0</v>
      </c>
      <c r="R45" s="774" t="s">
        <v>21</v>
      </c>
      <c r="S45" s="775">
        <f t="shared" si="12"/>
        <v>100</v>
      </c>
      <c r="T45" s="774" t="s">
        <v>21</v>
      </c>
      <c r="U45" s="775">
        <f t="shared" si="13"/>
        <v>100</v>
      </c>
      <c r="V45" s="774" t="s">
        <v>21</v>
      </c>
      <c r="W45" s="775">
        <f t="shared" si="14"/>
        <v>100</v>
      </c>
      <c r="X45" s="1812"/>
      <c r="Y45" s="3243"/>
      <c r="Z45" s="1813">
        <f t="shared" si="18"/>
        <v>0</v>
      </c>
      <c r="AA45" s="1810">
        <f t="shared" si="15"/>
        <v>1</v>
      </c>
      <c r="AB45" s="1810">
        <f t="shared" si="16"/>
        <v>1</v>
      </c>
      <c r="AC45" s="1810">
        <f t="shared" si="17"/>
        <v>1</v>
      </c>
    </row>
    <row r="46" spans="1:29" ht="15.75" thickBot="1">
      <c r="A46" s="478"/>
      <c r="B46" s="2600"/>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84"/>
      <c r="Q46" s="1809">
        <f t="shared" si="11"/>
        <v>0</v>
      </c>
      <c r="R46" s="774" t="s">
        <v>20</v>
      </c>
      <c r="S46" s="775">
        <f t="shared" si="12"/>
        <v>100</v>
      </c>
      <c r="T46" s="774" t="s">
        <v>20</v>
      </c>
      <c r="U46" s="775">
        <f t="shared" si="13"/>
        <v>100</v>
      </c>
      <c r="V46" s="774" t="s">
        <v>20</v>
      </c>
      <c r="W46" s="775">
        <f t="shared" si="14"/>
        <v>100</v>
      </c>
      <c r="X46" s="1812"/>
      <c r="Y46" s="3285"/>
      <c r="Z46" s="1813">
        <f t="shared" si="18"/>
        <v>0</v>
      </c>
      <c r="AA46" s="1810">
        <f t="shared" si="15"/>
        <v>1</v>
      </c>
      <c r="AB46" s="1810">
        <f t="shared" si="16"/>
        <v>1</v>
      </c>
      <c r="AC46" s="1810">
        <f t="shared" si="17"/>
        <v>1</v>
      </c>
    </row>
    <row r="47" spans="1:29" ht="15">
      <c r="A47" s="479" t="s">
        <v>2565</v>
      </c>
      <c r="B47" s="480"/>
      <c r="C47" s="1407" t="s">
        <v>19</v>
      </c>
      <c r="D47" s="1408"/>
      <c r="E47" s="2997">
        <f>Sheet1!E144</f>
        <v>11896.262052714277</v>
      </c>
      <c r="F47" s="1410"/>
      <c r="G47" s="1411">
        <v>13000</v>
      </c>
      <c r="H47" s="1412"/>
      <c r="I47" s="1409">
        <v>14000</v>
      </c>
      <c r="J47" s="1412"/>
      <c r="K47" s="2617"/>
      <c r="L47" s="1143"/>
      <c r="M47" s="1144"/>
      <c r="N47" s="1131"/>
      <c r="O47" s="1144"/>
      <c r="P47" s="3238" t="str">
        <f>A47</f>
        <v>成交单价（元/平方米）</v>
      </c>
      <c r="Q47" s="3238"/>
      <c r="R47" s="3281">
        <f>E47</f>
        <v>11896.262052714277</v>
      </c>
      <c r="S47" s="3281"/>
      <c r="T47" s="3281">
        <f>G47</f>
        <v>13000</v>
      </c>
      <c r="U47" s="3281"/>
      <c r="V47" s="3281">
        <f>I47</f>
        <v>14000</v>
      </c>
      <c r="W47" s="3281"/>
      <c r="X47" s="759"/>
      <c r="Y47" s="781"/>
      <c r="Z47" s="759"/>
      <c r="AA47" s="759"/>
      <c r="AB47" s="759"/>
      <c r="AC47" s="759"/>
    </row>
    <row r="48" spans="1:29" ht="15.75" thickBot="1">
      <c r="A48" s="486" t="s">
        <v>2566</v>
      </c>
      <c r="B48" s="487"/>
      <c r="C48" s="1413">
        <f>R49</f>
        <v>13194</v>
      </c>
      <c r="D48" s="1414"/>
      <c r="E48" s="1415">
        <f>R48</f>
        <v>13893</v>
      </c>
      <c r="F48" s="1415"/>
      <c r="G48" s="1413">
        <f>T48</f>
        <v>12871</v>
      </c>
      <c r="H48" s="1414"/>
      <c r="I48" s="1415">
        <f>V48</f>
        <v>12817</v>
      </c>
      <c r="J48" s="1414"/>
      <c r="K48" s="2618"/>
      <c r="L48" s="1143"/>
      <c r="M48" s="1144"/>
      <c r="N48" s="1144"/>
      <c r="O48" s="1144"/>
      <c r="P48" s="3238" t="str">
        <f>A48</f>
        <v>比较价值（元/平方米）</v>
      </c>
      <c r="Q48" s="3238"/>
      <c r="R48" s="3281">
        <f>IF(F1="售价",ROUND(PRODUCT(R47,AA7:AA46),0),ROUND(PRODUCT(R47,AA7:AA46),1))</f>
        <v>13893</v>
      </c>
      <c r="S48" s="3281"/>
      <c r="T48" s="3281">
        <f>IF(F1="售价",ROUND(PRODUCT(T47,AB7:AB46),0),ROUND(PRODUCT(T47,AB7:AB46),1))</f>
        <v>12871</v>
      </c>
      <c r="U48" s="3281"/>
      <c r="V48" s="3281">
        <f>IF(F1="售价",ROUND(PRODUCT(V47,AC7:AC46),0),ROUND(PRODUCT(V47,AC7:AC46),1))</f>
        <v>12817</v>
      </c>
      <c r="W48" s="3281"/>
      <c r="X48" s="759"/>
      <c r="Y48" s="759"/>
      <c r="Z48" s="759"/>
      <c r="AA48" s="759"/>
      <c r="AB48" s="759"/>
      <c r="AC48" s="759"/>
    </row>
    <row r="49" spans="1:29" ht="15.75" thickBot="1">
      <c r="A49" s="492" t="s">
        <v>2567</v>
      </c>
      <c r="B49" s="493"/>
      <c r="C49" s="1416">
        <f>R49</f>
        <v>13194</v>
      </c>
      <c r="D49" s="1417"/>
      <c r="E49" s="1417"/>
      <c r="F49" s="1417"/>
      <c r="G49" s="1417"/>
      <c r="H49" s="1417"/>
      <c r="I49" s="1417"/>
      <c r="J49" s="1417"/>
      <c r="K49" s="2619"/>
      <c r="L49" s="1143"/>
      <c r="M49" s="1144"/>
      <c r="N49" s="1144"/>
      <c r="O49" s="1144"/>
      <c r="P49" s="3232" t="str">
        <f>A49</f>
        <v>估价对象XX用房的比较价值（楼面单价，元/平方米）</v>
      </c>
      <c r="Q49" s="3233"/>
      <c r="R49" s="3280">
        <f>IF(F1="售价",ROUND(AVERAGE(R48:V48),0),ROUND(AVERAGE(R48:V48),1))</f>
        <v>13194</v>
      </c>
      <c r="S49" s="3280"/>
      <c r="T49" s="3280"/>
      <c r="U49" s="3280"/>
      <c r="V49" s="3280"/>
      <c r="W49" s="328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2568</v>
      </c>
      <c r="D52" s="498"/>
      <c r="E52" s="499">
        <f>IF(E47&lt;E48,E48/E47-1,E47/E48-1)</f>
        <v>0.16784582740678133</v>
      </c>
      <c r="F52" s="500" t="str">
        <f>IF(OR(E52&gt;=0.3,E52&lt;=-0.3),"超过30%","")</f>
        <v/>
      </c>
      <c r="G52" s="499">
        <f>IF(G47&lt;G48,G48/G47-1,G47/G48-1)</f>
        <v>1.0022531271851376E-2</v>
      </c>
      <c r="H52" s="500" t="str">
        <f>IF(OR(G52&gt;=0.3,G52&lt;=-0.3),"超过30%","")</f>
        <v/>
      </c>
      <c r="I52" s="499">
        <f>IF(I47&lt;I48,I48/I47-1,I47/I48-1)</f>
        <v>9.2299290005461554E-2</v>
      </c>
      <c r="J52" s="500" t="str">
        <f>IF(OR(I52&gt;=0.3,I52&lt;=-0.3),"超过30%","")</f>
        <v/>
      </c>
      <c r="K52" s="1105"/>
      <c r="L52" s="1106"/>
      <c r="M52" s="1144"/>
      <c r="N52" s="1144"/>
      <c r="O52" s="1144"/>
    </row>
    <row r="53" spans="1:29" ht="13.5" customHeight="1">
      <c r="A53" s="1144"/>
      <c r="B53" s="1144"/>
      <c r="C53" s="497" t="s">
        <v>2569</v>
      </c>
      <c r="D53" s="501"/>
      <c r="E53" s="499">
        <f>IF(E48&lt;G48,G48/E48-1,E48/G48-1)</f>
        <v>7.940330976614085E-2</v>
      </c>
      <c r="F53" s="500" t="str">
        <f>IF(OR(E53&gt;=0.2,E53&lt;=-0.2),"超过20%","")</f>
        <v/>
      </c>
      <c r="G53" s="499">
        <f>IF(G48&lt;I48,I48/G48-1,G48/I48-1)</f>
        <v>4.213154404306696E-3</v>
      </c>
      <c r="H53" s="500" t="str">
        <f>IF(OR(G53&gt;=0.2,G53&lt;=-0.2),"超过20%","")</f>
        <v/>
      </c>
      <c r="I53" s="499">
        <f>IF(I48&lt;E48,E48/I48-1,I48/E48-1)</f>
        <v>8.3951002574705447E-2</v>
      </c>
      <c r="J53" s="500" t="str">
        <f>IF(OR(I53&gt;=0.2,I53&lt;=-0.2),"超过20%","")</f>
        <v/>
      </c>
      <c r="K53" s="1105"/>
      <c r="L53" s="1106"/>
      <c r="M53" s="1144"/>
      <c r="N53" s="1144"/>
      <c r="O53" s="1144"/>
    </row>
    <row r="54" spans="1:29" s="502" customFormat="1" ht="13.5" customHeight="1">
      <c r="A54" s="1145"/>
      <c r="B54" s="1145"/>
      <c r="C54" s="497" t="s">
        <v>2570</v>
      </c>
      <c r="D54" s="501"/>
      <c r="E54" s="499">
        <f>IF(E47&lt;G47,G47/E47-1,E47/G47-1)</f>
        <v>9.2780231504222099E-2</v>
      </c>
      <c r="F54" s="500" t="str">
        <f>IF(OR(E54&gt;=0.3,E54&lt;=-0.3),"超过30%","")</f>
        <v/>
      </c>
      <c r="G54" s="499">
        <f>IF(G47&lt;I47,I47/G47-1,G47/I47-1)</f>
        <v>7.6923076923076872E-2</v>
      </c>
      <c r="H54" s="500" t="str">
        <f>IF(OR(G54&gt;=0.3,G54&lt;=-0.3),"超过30%","")</f>
        <v/>
      </c>
      <c r="I54" s="499">
        <f>IF(I47&lt;E47,E47/I47-1,I47/E47-1)</f>
        <v>0.17684024931223918</v>
      </c>
      <c r="J54" s="500" t="str">
        <f>IF(OR(I54&gt;=0.3,I54&lt;=-0.3),"超过30%","")</f>
        <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2571</v>
      </c>
      <c r="B57" s="759"/>
      <c r="C57" s="764"/>
      <c r="D57" s="764"/>
      <c r="E57" s="764"/>
      <c r="F57" s="765"/>
      <c r="G57" s="765"/>
      <c r="H57" s="764"/>
      <c r="I57" s="764"/>
      <c r="J57" s="764"/>
      <c r="K57" s="1160"/>
      <c r="L57" s="1161"/>
      <c r="M57" s="1159"/>
      <c r="N57" s="1159"/>
      <c r="O57" s="1159"/>
      <c r="P57" s="2622"/>
      <c r="Q57" s="504"/>
    </row>
    <row r="58" spans="1:29" s="508" customFormat="1" ht="15">
      <c r="A58" s="505" t="s">
        <v>2572</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3"/>
      <c r="C59" s="1572">
        <v>100</v>
      </c>
      <c r="D59" s="511"/>
      <c r="E59" s="512"/>
      <c r="F59" s="512"/>
      <c r="G59" s="512">
        <v>100</v>
      </c>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2574</v>
      </c>
      <c r="B61" s="510"/>
      <c r="C61" s="522" t="s">
        <v>2575</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2576</v>
      </c>
      <c r="B63" s="528" t="s">
        <v>2542</v>
      </c>
      <c r="C63" s="529" t="str">
        <f>C9</f>
        <v>住宅</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2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6"/>
      <c r="Q66" s="504"/>
    </row>
    <row r="67" spans="1:17" ht="15.75" thickTop="1">
      <c r="A67" s="534"/>
      <c r="B67" s="546" t="s">
        <v>2546</v>
      </c>
      <c r="C67" s="547" t="str">
        <f>C68&amp;"（含）"&amp;"-"&amp;D68</f>
        <v>0（含）-2</v>
      </c>
      <c r="D67" s="547" t="str">
        <f t="shared" ref="D67:L67" si="21">D68&amp;"（含）"&amp;"-"&amp;E68</f>
        <v>2（含）-4</v>
      </c>
      <c r="E67" s="547" t="str">
        <f t="shared" si="21"/>
        <v>4（含）-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v>0</v>
      </c>
      <c r="D68" s="549">
        <v>2</v>
      </c>
      <c r="E68" s="549">
        <v>4</v>
      </c>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0</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0</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0</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26"/>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3"/>
      <c r="O81" s="1153"/>
      <c r="P81" s="2626"/>
      <c r="Q81" s="504"/>
    </row>
    <row r="82" spans="1:17" ht="15.75" thickTop="1">
      <c r="A82" s="534"/>
      <c r="B82" s="546" t="s">
        <v>2089</v>
      </c>
      <c r="C82" s="539" t="s">
        <v>2592</v>
      </c>
      <c r="D82" s="539" t="s">
        <v>2593</v>
      </c>
      <c r="E82" s="539" t="s">
        <v>2594</v>
      </c>
      <c r="F82" s="539" t="s">
        <v>2595</v>
      </c>
      <c r="G82" s="539" t="s">
        <v>2596</v>
      </c>
      <c r="H82" s="539"/>
      <c r="I82" s="539"/>
      <c r="J82" s="539"/>
      <c r="K82" s="539"/>
      <c r="L82" s="539"/>
      <c r="M82" s="1382"/>
      <c r="N82" s="1153"/>
      <c r="O82" s="1153"/>
      <c r="P82" s="2626"/>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75" thickTop="1">
      <c r="A86" s="579"/>
      <c r="B86" s="538" t="s">
        <v>2598</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2599</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0</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0</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0</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0</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0</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2551</v>
      </c>
      <c r="B100" s="528" t="s">
        <v>2600</v>
      </c>
      <c r="C100" s="2961" t="s">
        <v>3339</v>
      </c>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6"/>
      <c r="Q101" s="504"/>
    </row>
    <row r="102" spans="1:17" ht="15.75" thickTop="1">
      <c r="A102" s="534"/>
      <c r="B102" s="538" t="s">
        <v>2601</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v>0</v>
      </c>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2602</v>
      </c>
      <c r="C105" s="2959" t="s">
        <v>3337</v>
      </c>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6"/>
      <c r="Q106" s="504"/>
    </row>
    <row r="107" spans="1:17" ht="15" thickTop="1">
      <c r="A107" s="599"/>
      <c r="B107" s="538" t="s">
        <v>2603</v>
      </c>
      <c r="C107" s="2960" t="s">
        <v>3336</v>
      </c>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6"/>
      <c r="Q108" s="504"/>
    </row>
    <row r="109" spans="1:17" ht="15" thickTop="1">
      <c r="A109" s="599"/>
      <c r="B109" s="538" t="s">
        <v>2604</v>
      </c>
      <c r="C109" s="2959" t="s">
        <v>3331</v>
      </c>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7"/>
      <c r="Q113" s="559"/>
    </row>
    <row r="114" spans="1:17" ht="15" thickTop="1">
      <c r="A114" s="599"/>
      <c r="B114" s="538" t="s">
        <v>2605</v>
      </c>
      <c r="C114" s="2959" t="s">
        <v>3325</v>
      </c>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6"/>
      <c r="Q115" s="504"/>
    </row>
    <row r="116" spans="1:17" ht="15" thickTop="1">
      <c r="A116" s="599"/>
      <c r="B116" s="538" t="s">
        <v>2606</v>
      </c>
      <c r="C116" s="2959" t="s">
        <v>3327</v>
      </c>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2607</v>
      </c>
      <c r="C118" s="2960" t="s">
        <v>3329</v>
      </c>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3"/>
      <c r="O119" s="1153"/>
      <c r="P119" s="2626"/>
      <c r="Q119" s="504"/>
    </row>
    <row r="120" spans="1:17" s="471" customFormat="1" ht="28.5" thickTop="1">
      <c r="A120" s="593"/>
      <c r="B120" s="538" t="s">
        <v>2562</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2608</v>
      </c>
      <c r="C122" s="2959" t="s">
        <v>3331</v>
      </c>
      <c r="D122" s="2959" t="s">
        <v>3332</v>
      </c>
      <c r="E122" s="2959" t="s">
        <v>3334</v>
      </c>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3"/>
      <c r="O123" s="1153"/>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0</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0</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2610</v>
      </c>
    </row>
    <row r="137" spans="1:17" ht="15">
      <c r="B137" s="2634" t="s">
        <v>2611</v>
      </c>
      <c r="C137" s="2635"/>
      <c r="D137" s="2635"/>
      <c r="E137" s="2635"/>
      <c r="F137" s="2635"/>
      <c r="G137" s="2636"/>
      <c r="H137" s="2637"/>
      <c r="I137" s="2638" t="s">
        <v>2612</v>
      </c>
      <c r="J137" s="2635"/>
      <c r="K137" s="2639"/>
    </row>
    <row r="138" spans="1:17" ht="15">
      <c r="B138" s="2640"/>
      <c r="C138" s="146" t="s">
        <v>2613</v>
      </c>
      <c r="D138" s="146" t="s">
        <v>2614</v>
      </c>
      <c r="E138" s="2641" t="s">
        <v>2615</v>
      </c>
      <c r="F138" s="2642" t="s">
        <v>2616</v>
      </c>
      <c r="G138" s="146" t="s">
        <v>2614</v>
      </c>
      <c r="H138" s="147" t="s">
        <v>2615</v>
      </c>
      <c r="I138" s="2643"/>
      <c r="J138" s="146" t="s">
        <v>2617</v>
      </c>
      <c r="K138" s="147" t="s">
        <v>2618</v>
      </c>
    </row>
    <row r="139" spans="1:17" ht="15">
      <c r="B139" s="1084">
        <v>6</v>
      </c>
      <c r="C139" s="1085">
        <v>96</v>
      </c>
      <c r="D139" s="2644" t="s">
        <v>2619</v>
      </c>
      <c r="E139" s="1086">
        <v>100</v>
      </c>
      <c r="F139" s="1087">
        <v>102.5</v>
      </c>
      <c r="G139" s="2644" t="s">
        <v>2619</v>
      </c>
      <c r="H139" s="1088">
        <v>105</v>
      </c>
      <c r="I139" s="2645" t="s">
        <v>2620</v>
      </c>
      <c r="J139" s="1085">
        <v>20</v>
      </c>
      <c r="K139" s="1089">
        <f>C145/(J139-2)</f>
        <v>4.0555555555555553E-3</v>
      </c>
    </row>
    <row r="140" spans="1:17" ht="15">
      <c r="B140" s="1090">
        <v>5</v>
      </c>
      <c r="C140" s="1091">
        <v>100</v>
      </c>
      <c r="D140" s="1091"/>
      <c r="E140" s="1092"/>
      <c r="F140" s="1093">
        <v>102</v>
      </c>
      <c r="G140" s="1091"/>
      <c r="H140" s="1094"/>
      <c r="I140" s="2646" t="s">
        <v>2621</v>
      </c>
      <c r="J140" s="315">
        <f>ROUNDUP((J139-1)/2,0)</f>
        <v>10</v>
      </c>
      <c r="K140" s="1095">
        <v>100</v>
      </c>
    </row>
    <row r="141" spans="1:17" ht="15">
      <c r="B141" s="1090">
        <v>4</v>
      </c>
      <c r="C141" s="1091">
        <v>102</v>
      </c>
      <c r="D141" s="1091"/>
      <c r="E141" s="1092"/>
      <c r="F141" s="1093">
        <v>101.5</v>
      </c>
      <c r="G141" s="1091"/>
      <c r="H141" s="1094"/>
      <c r="I141" s="2646" t="s">
        <v>2622</v>
      </c>
      <c r="J141" s="315">
        <v>1</v>
      </c>
      <c r="K141" s="1096">
        <f>ROUND(100+(J141-J140)*K139*100,1)</f>
        <v>96.4</v>
      </c>
    </row>
    <row r="142" spans="1:17" ht="15">
      <c r="B142" s="1090">
        <v>3</v>
      </c>
      <c r="C142" s="1091">
        <v>103</v>
      </c>
      <c r="D142" s="1091"/>
      <c r="E142" s="1092"/>
      <c r="F142" s="1093">
        <v>101</v>
      </c>
      <c r="G142" s="1091"/>
      <c r="H142" s="1094"/>
      <c r="I142" s="2646" t="s">
        <v>2623</v>
      </c>
      <c r="J142" s="315">
        <f>J139</f>
        <v>20</v>
      </c>
      <c r="K142" s="1097">
        <v>95</v>
      </c>
    </row>
    <row r="143" spans="1:17" ht="15">
      <c r="B143" s="1090">
        <v>2</v>
      </c>
      <c r="C143" s="1091">
        <v>100</v>
      </c>
      <c r="D143" s="1091"/>
      <c r="E143" s="1092"/>
      <c r="F143" s="1093">
        <v>100.5</v>
      </c>
      <c r="G143" s="1091"/>
      <c r="H143" s="1094"/>
      <c r="I143" s="2646" t="s">
        <v>2624</v>
      </c>
      <c r="J143" s="1091">
        <v>15</v>
      </c>
      <c r="K143" s="1096">
        <f>ROUND(100+(J143-J140)*K139*100,1)</f>
        <v>102</v>
      </c>
    </row>
    <row r="144" spans="1:17" ht="15">
      <c r="B144" s="1090">
        <v>1</v>
      </c>
      <c r="C144" s="1091">
        <v>98</v>
      </c>
      <c r="D144" s="2647" t="s">
        <v>2625</v>
      </c>
      <c r="E144" s="1092">
        <v>102</v>
      </c>
      <c r="F144" s="1098">
        <v>100</v>
      </c>
      <c r="G144" s="2647" t="s">
        <v>2625</v>
      </c>
      <c r="H144" s="1094">
        <v>105</v>
      </c>
      <c r="I144" s="2646" t="s">
        <v>2624</v>
      </c>
      <c r="J144" s="1091">
        <v>18</v>
      </c>
      <c r="K144" s="1096">
        <f>ROUND(100+(J144-J140)*K139*100,1)</f>
        <v>103.2</v>
      </c>
    </row>
    <row r="145" spans="2:11" ht="15.75" thickBot="1">
      <c r="B145" s="2648" t="s">
        <v>2626</v>
      </c>
      <c r="C145" s="1099">
        <f>ROUND(MAX(C139:C144)/MIN(C139:C144)-1,3)</f>
        <v>7.2999999999999995E-2</v>
      </c>
      <c r="D145" s="1100"/>
      <c r="E145" s="1100"/>
      <c r="F145" s="2649" t="s">
        <v>2627</v>
      </c>
      <c r="G145" s="2650"/>
      <c r="H145" s="2651"/>
      <c r="I145" s="2652" t="s">
        <v>2624</v>
      </c>
      <c r="J145" s="1101">
        <v>8</v>
      </c>
      <c r="K145" s="1102">
        <f>ROUND(100+(J145-J140)*K139*100,1)</f>
        <v>99.2</v>
      </c>
    </row>
    <row r="147" spans="2:11">
      <c r="B147" s="2633" t="s">
        <v>2628</v>
      </c>
    </row>
    <row r="148" spans="2:11">
      <c r="B148" s="2633"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光大兴陇有限责任公司：</v>
      </c>
    </row>
    <row r="4" spans="1:1" ht="54">
      <c r="A4" s="1947" t="str">
        <f>"受贵公司委托，我公司对"&amp;项目基本情况!S1&amp;"进行了预评估。"</f>
        <v>受贵公司委托，我公司对四川省成都市天府新区华阳街道广福社区“恒大天府半岛”居住项目六期出让国有建设用地使用权及在建建筑物房地产抵押价值进行了预评估。</v>
      </c>
    </row>
    <row r="5" spans="1:1" ht="18.75">
      <c r="A5" s="1948" t="s">
        <v>1608</v>
      </c>
    </row>
    <row r="6" spans="1:1" ht="18.75">
      <c r="A6" s="1949" t="s">
        <v>1609</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天府新区华阳街道广福社区“恒大天府半岛”居住项目六期出让国有建设用地使用权及在建建筑物房地产，为成都心怡房地产开发有限公司所有。根据《国有土地使用证》[成天国用（2014）第1945号]，估价对象（分摊）出让国有建设用地使用权面积为72072.02平方米。根据《恒大天府半岛六期综合技术经济指标表》，估价对象建筑面积为405562.82平方米。</v>
      </c>
    </row>
    <row r="8" spans="1:1" ht="57.75">
      <c r="A8" s="1950" t="s">
        <v>1610</v>
      </c>
    </row>
    <row r="9" spans="1:1" ht="18.75">
      <c r="A9" s="1949" t="s">
        <v>1611</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天府新区华阳街道广福社区“恒大天府半岛”居住项目六期出让国有建设用地使用权及在建建筑物房地产,属成都心怡房地产开发有限公司开发建设的居住项目，该项目尚在开发建设中。根据《国有土地使用证》[成天国用（2014）第1945号]，估价对象（分摊）出让国有建设用地使用权面积为72072.02平方米。根据《恒大天府半岛六期综合技术经济指标表》，估价对象规划建筑面积为405562.82平方米。</v>
      </c>
    </row>
    <row r="11" spans="1:1" ht="76.5">
      <c r="A11" s="1950" t="s">
        <v>1612</v>
      </c>
    </row>
    <row r="12" spans="1:1" ht="18.75">
      <c r="A12" s="1948" t="s">
        <v>1613</v>
      </c>
    </row>
    <row r="13" spans="1:1" ht="38.25" customHeight="1">
      <c r="A13" s="1951" t="str">
        <f>IF(项目基本情况!B8="抵押",IF(项目基本情况!B5=项目基本情况!B6,定义!C51,定义!B51),定义!D51)</f>
        <v>成都心怡房地产开发有限公司拟使用四川省成都市天府新区华阳街道广福社区“恒大天府半岛”居住项目六期出让国有建设用地使用权及在建建筑物房地产作为抵押担保物，向光大兴陇有限责任公司办理贷款手续。光大兴陇有限责任公司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2019年6月14日（评估专业人员实地查勘之日）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住宅、商业及地下车库，土地取得方式为出让，出让国有建设用地使用权剩余土地使用年限为住宅56.6年、商业23.6年及地下车库33.6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及地下车库，实际开发程度为宗地红线外“六通”（即通路、通电、通讯、通上水、通下水、燃气）、红线内场地平整条件下，剩余土地使用年限为住宅56.6年、商业23.6年及地下车库33.6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70" zoomScaleNormal="70" zoomScaleSheetLayoutView="90" zoomScalePageLayoutView="70" workbookViewId="0">
      <selection activeCell="C13" sqref="C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4" customWidth="1"/>
    <col min="12" max="12" width="16.375" style="302" customWidth="1"/>
    <col min="13" max="13" width="13" style="302" customWidth="1"/>
    <col min="14" max="14" width="13.875" style="1841" customWidth="1"/>
    <col min="15" max="15" width="5.125" style="1841" customWidth="1"/>
    <col min="16" max="16" width="25.875" style="1841" customWidth="1"/>
    <col min="17" max="17" width="13.875" style="1841" customWidth="1"/>
    <col min="18" max="18" width="20.5" style="1841" customWidth="1"/>
    <col min="19" max="19" width="13.125" style="1841" customWidth="1"/>
    <col min="20" max="37" width="9" style="1841"/>
    <col min="38" max="16384" width="9" style="302"/>
  </cols>
  <sheetData>
    <row r="1" spans="1:37" s="337" customFormat="1" ht="21">
      <c r="A1" s="1832" t="s">
        <v>1585</v>
      </c>
      <c r="B1" s="782"/>
      <c r="C1" s="1836" t="s">
        <v>1373</v>
      </c>
      <c r="D1" s="1819" t="s">
        <v>3320</v>
      </c>
      <c r="E1" s="1820" t="s">
        <v>1383</v>
      </c>
      <c r="F1" s="1283">
        <f ca="1">J53</f>
        <v>21.13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25761</v>
      </c>
      <c r="C2" s="1844" t="s">
        <v>1512</v>
      </c>
      <c r="D2" s="1844"/>
      <c r="E2" s="1845"/>
      <c r="F2" s="1846"/>
      <c r="G2" s="1847"/>
      <c r="H2" s="1839"/>
      <c r="I2" s="1839"/>
      <c r="J2" s="1839"/>
      <c r="K2" s="1840"/>
      <c r="L2" s="1839"/>
      <c r="M2" s="1839"/>
    </row>
    <row r="3" spans="1:37" ht="18" customHeight="1" thickBot="1">
      <c r="A3" s="1848" t="s">
        <v>1513</v>
      </c>
      <c r="B3" s="1849">
        <f ca="1">IF(ISERROR(B2*10000/F43),0,ROUND(B2*10000/F43,0))</f>
        <v>19906</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2131</v>
      </c>
      <c r="D5" s="1821" t="s">
        <v>1398</v>
      </c>
      <c r="E5" s="1293"/>
      <c r="F5" s="1294"/>
      <c r="G5" s="1850"/>
      <c r="H5" s="344">
        <v>1</v>
      </c>
      <c r="I5" s="345" t="s">
        <v>1397</v>
      </c>
      <c r="J5" s="1292">
        <f ca="1">J6+J10+J12</f>
        <v>0</v>
      </c>
      <c r="K5" s="1821" t="s">
        <v>1398</v>
      </c>
      <c r="L5" s="1293"/>
      <c r="M5" s="1294"/>
    </row>
    <row r="6" spans="1:37" ht="18" customHeight="1">
      <c r="A6" s="1291" t="s">
        <v>1032</v>
      </c>
      <c r="B6" s="3294" t="s">
        <v>1399</v>
      </c>
      <c r="C6" s="1296">
        <f ca="1">ROUND(F6*F8*F7*(1-F9)/10000,0)</f>
        <v>2126</v>
      </c>
      <c r="D6" s="164" t="s">
        <v>3020</v>
      </c>
      <c r="E6" s="347" t="s">
        <v>1401</v>
      </c>
      <c r="F6" s="348">
        <f ca="1">INDIRECT("'数据-取费表'!u"&amp;$G$1)</f>
        <v>5</v>
      </c>
      <c r="G6" s="1850"/>
      <c r="H6" s="1291" t="s">
        <v>1032</v>
      </c>
      <c r="I6" s="3294" t="s">
        <v>1399</v>
      </c>
      <c r="J6" s="346">
        <f ca="1">ROUND(M6*M8*M7*(1-M9)/10000,0)</f>
        <v>0</v>
      </c>
      <c r="K6" s="164" t="s">
        <v>3019</v>
      </c>
      <c r="L6" s="347" t="s">
        <v>1401</v>
      </c>
      <c r="M6" s="348">
        <f ca="1">INDIRECT("'数据-取费表'!z"&amp;$G$1)</f>
        <v>0</v>
      </c>
    </row>
    <row r="7" spans="1:37" ht="18" customHeight="1">
      <c r="A7" s="1295"/>
      <c r="B7" s="3295"/>
      <c r="C7" s="1297"/>
      <c r="D7" s="352"/>
      <c r="E7" s="1298" t="s">
        <v>1402</v>
      </c>
      <c r="F7" s="348">
        <f ca="1">IF(INDIRECT("'数据-取费表'!ah"&amp;$G$1)="",INDIRECT("'数据-取费表'!k"&amp;$G$1),INDIRECT("'数据-取费表'!ah"&amp;$G$1))</f>
        <v>12941.53</v>
      </c>
      <c r="G7" s="1850"/>
      <c r="H7" s="349"/>
      <c r="I7" s="3295"/>
      <c r="J7" s="351"/>
      <c r="K7" s="352"/>
      <c r="L7" s="347" t="s">
        <v>1402</v>
      </c>
      <c r="M7" s="348">
        <f ca="1">F7</f>
        <v>12941.53</v>
      </c>
    </row>
    <row r="8" spans="1:37" ht="18" customHeight="1">
      <c r="A8" s="349"/>
      <c r="B8" s="3295"/>
      <c r="C8" s="351"/>
      <c r="D8" s="352"/>
      <c r="E8" s="347" t="s">
        <v>1403</v>
      </c>
      <c r="F8" s="348">
        <f ca="1">INDIRECT("'数据-取费表'!ai"&amp;$G$1)</f>
        <v>365</v>
      </c>
      <c r="G8" s="1850"/>
      <c r="H8" s="349"/>
      <c r="I8" s="3295"/>
      <c r="J8" s="351"/>
      <c r="K8" s="352"/>
      <c r="L8" s="347" t="s">
        <v>1403</v>
      </c>
      <c r="M8" s="348">
        <f ca="1">INDIRECT("'数据-取费表'!ai"&amp;$G$1)</f>
        <v>365</v>
      </c>
    </row>
    <row r="9" spans="1:37" ht="18" customHeight="1">
      <c r="A9" s="349"/>
      <c r="B9" s="3296"/>
      <c r="C9" s="351"/>
      <c r="D9" s="352"/>
      <c r="E9" s="347" t="s">
        <v>1404</v>
      </c>
      <c r="F9" s="357">
        <f ca="1">INDIRECT("'数据-取费表'!w"&amp;$G$1)</f>
        <v>0.1</v>
      </c>
      <c r="G9" s="1850"/>
      <c r="H9" s="349"/>
      <c r="I9" s="3296"/>
      <c r="J9" s="351"/>
      <c r="K9" s="352"/>
      <c r="L9" s="358" t="s">
        <v>1404</v>
      </c>
      <c r="M9" s="359">
        <f ca="1">INDIRECT("'数据-取费表'!ab"&amp;$G$1)</f>
        <v>0</v>
      </c>
    </row>
    <row r="10" spans="1:37" ht="18" customHeight="1">
      <c r="A10" s="1291" t="s">
        <v>1036</v>
      </c>
      <c r="B10" s="1822" t="s">
        <v>1405</v>
      </c>
      <c r="C10" s="361">
        <f ca="1">ROUND(IF(F10="押一",C6/12*F11,IF(F10="押二",C6/12*2*F11,IF(F10="押三",C6/12*3*F11,C11*F11))),0)</f>
        <v>5</v>
      </c>
      <c r="D10" s="1823" t="s">
        <v>3029</v>
      </c>
      <c r="E10" s="358" t="s">
        <v>1406</v>
      </c>
      <c r="F10" s="3029" t="s">
        <v>3481</v>
      </c>
      <c r="G10" s="1850"/>
      <c r="H10" s="1291" t="s">
        <v>1036</v>
      </c>
      <c r="I10" s="1822" t="s">
        <v>1405</v>
      </c>
      <c r="J10" s="346">
        <f ca="1">ROUND(IF(M10="押一",J6/12*M11,IF(M10="押二",J6/12*2*M11,IF(M10="押三",J6/12*3*M11,J11*M11))),0)</f>
        <v>0</v>
      </c>
      <c r="K10" s="1823" t="s">
        <v>3028</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7091</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4451</v>
      </c>
      <c r="D14" s="1799" t="s">
        <v>1414</v>
      </c>
      <c r="E14" s="1793"/>
      <c r="F14" s="364"/>
      <c r="G14" s="1850"/>
      <c r="H14" s="1201" t="s">
        <v>1032</v>
      </c>
      <c r="I14" s="347" t="s">
        <v>1415</v>
      </c>
      <c r="J14" s="24">
        <f ca="1">C29</f>
        <v>7091</v>
      </c>
      <c r="K14" s="15"/>
      <c r="L14" s="979"/>
      <c r="M14" s="980"/>
    </row>
    <row r="15" spans="1:37" s="1857" customFormat="1" ht="18" customHeight="1" thickBot="1">
      <c r="A15" s="1201" t="s">
        <v>1033</v>
      </c>
      <c r="B15" s="347" t="s">
        <v>1416</v>
      </c>
      <c r="C15" s="24">
        <f ca="1">ROUND(C14*F15,0)</f>
        <v>134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169</v>
      </c>
      <c r="K16" s="1337" t="s">
        <v>1421</v>
      </c>
      <c r="L16" s="1338"/>
      <c r="M16" s="1294"/>
    </row>
    <row r="17" spans="1:37" s="1857" customFormat="1" ht="18" customHeight="1">
      <c r="A17" s="1201" t="s">
        <v>1386</v>
      </c>
      <c r="B17" s="347" t="s">
        <v>1422</v>
      </c>
      <c r="C17" s="24">
        <f ca="1">ROUND(F17*(F43+INDIRECT("'数据-取费表'!S"&amp;$G$1))/10000,0)</f>
        <v>383</v>
      </c>
      <c r="D17" s="347" t="s">
        <v>1423</v>
      </c>
      <c r="E17" s="347" t="s">
        <v>1424</v>
      </c>
      <c r="F17" s="26">
        <f>'数据-取费表'!B35</f>
        <v>250</v>
      </c>
      <c r="G17" s="1853"/>
      <c r="H17" s="1201" t="s">
        <v>1032</v>
      </c>
      <c r="I17" s="347" t="s">
        <v>1425</v>
      </c>
      <c r="J17" s="24">
        <f ca="1">ROUND(IF(项目基本情况!B11="自然人",J5*M17,J18+J19+J20),1)</f>
        <v>62.8</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67</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5035</v>
      </c>
      <c r="D19" s="140" t="s">
        <v>1432</v>
      </c>
      <c r="E19" s="1817"/>
      <c r="F19" s="26"/>
      <c r="G19" s="1850"/>
      <c r="H19" s="1201" t="s">
        <v>1033</v>
      </c>
      <c r="I19" s="347" t="s">
        <v>1433</v>
      </c>
      <c r="J19" s="24">
        <f ca="1">IF(K19="按租金收入计税",ROUND(J5*M19,2),ROUND(C29*M19*0.7,2))</f>
        <v>59.56</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101</v>
      </c>
      <c r="D20" s="369" t="s">
        <v>1436</v>
      </c>
      <c r="E20" s="347" t="s">
        <v>1418</v>
      </c>
      <c r="F20" s="367">
        <f>'数据-取费表'!B37</f>
        <v>0.02</v>
      </c>
      <c r="G20" s="1853"/>
      <c r="H20" s="1201" t="s">
        <v>1385</v>
      </c>
      <c r="I20" s="164" t="s">
        <v>1437</v>
      </c>
      <c r="J20" s="25">
        <f ca="1">ROUND(M20*M21/10000,2)</f>
        <v>3.27</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2720.9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106.4</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370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-169</v>
      </c>
      <c r="K25" s="1345" t="s">
        <v>1460</v>
      </c>
      <c r="L25" s="1346"/>
      <c r="M25" s="1347"/>
    </row>
    <row r="26" spans="1:37">
      <c r="A26" s="1201" t="s">
        <v>1031</v>
      </c>
      <c r="B26" s="347" t="s">
        <v>1461</v>
      </c>
      <c r="C26" s="24">
        <f ca="1">ROUND((C19+C20)*F26,0)</f>
        <v>1027</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4.0000000000000001E-3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7091</v>
      </c>
      <c r="D29" s="1342"/>
      <c r="E29" s="1340"/>
      <c r="F29" s="1343"/>
      <c r="G29" s="1853"/>
      <c r="H29" s="380" t="s">
        <v>1030</v>
      </c>
      <c r="I29" s="381" t="s">
        <v>1475</v>
      </c>
      <c r="J29" s="382">
        <f ca="1">ROUND(J26/(1+F40)^F41,0)</f>
        <v>0</v>
      </c>
      <c r="K29" s="383" t="s">
        <v>1476</v>
      </c>
      <c r="L29" s="384"/>
      <c r="M29" s="385">
        <f ca="1">INDIRECT("'数据-取费表'!k"&amp;$G$1)</f>
        <v>12941.53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511</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372.6</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113.65</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255.72</v>
      </c>
      <c r="D33" s="1827" t="s">
        <v>3321</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3.27</v>
      </c>
      <c r="D34" s="370" t="s">
        <v>1438</v>
      </c>
      <c r="E34" s="347" t="s">
        <v>1439</v>
      </c>
      <c r="F34" s="371">
        <f>'数据-取费表'!B52</f>
        <v>12</v>
      </c>
      <c r="G34" s="1850"/>
      <c r="H34" s="745"/>
      <c r="I34" s="1859"/>
      <c r="J34" s="1860"/>
      <c r="K34" s="1862"/>
      <c r="L34" s="1863"/>
      <c r="M34" s="1863"/>
    </row>
    <row r="35" spans="1:18" ht="18" customHeight="1">
      <c r="A35" s="1353"/>
      <c r="B35" s="1351"/>
      <c r="C35" s="29"/>
      <c r="D35" s="373"/>
      <c r="E35" s="347" t="s">
        <v>1443</v>
      </c>
      <c r="F35" s="348">
        <f ca="1">INDIRECT("'数据-取费表'!r"&amp;$G$1)</f>
        <v>2720.9</v>
      </c>
      <c r="G35" s="1850"/>
      <c r="H35" s="745"/>
      <c r="I35" s="1859"/>
      <c r="J35" s="1860"/>
      <c r="K35" s="1861"/>
      <c r="L35" s="1858"/>
      <c r="M35" s="1858"/>
    </row>
    <row r="36" spans="1:18" ht="18" customHeight="1">
      <c r="A36" s="1352" t="s">
        <v>1036</v>
      </c>
      <c r="B36" s="347" t="s">
        <v>1445</v>
      </c>
      <c r="C36" s="24">
        <f ca="1">ROUND(C29*F36,1)</f>
        <v>106.4</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10.6</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21.3</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1620</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25761</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21.13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19906</v>
      </c>
      <c r="D43" s="383" t="s">
        <v>1484</v>
      </c>
      <c r="E43" s="384" t="s">
        <v>1485</v>
      </c>
      <c r="F43" s="385">
        <f ca="1">INDIRECT("'数据-取费表'!k"&amp;$G$1)</f>
        <v>12941.53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-34579</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3322</v>
      </c>
      <c r="K47" s="1881" t="s">
        <v>1523</v>
      </c>
      <c r="L47" s="1882">
        <f ca="1">INDIRECT("'数据-取费表'!d"&amp;$G$1)</f>
        <v>40</v>
      </c>
      <c r="M47" s="1837" t="str">
        <f>IF(ISNUMBER(FIND("住宅",C1)),"住宅","非住宅")</f>
        <v>非住宅</v>
      </c>
      <c r="O47" s="1883" t="s">
        <v>1037</v>
      </c>
      <c r="P47" s="1884" t="s">
        <v>1524</v>
      </c>
      <c r="Q47" s="1885">
        <f ca="1">C40+J29</f>
        <v>25761</v>
      </c>
      <c r="R47" s="1885" t="s">
        <v>1525</v>
      </c>
    </row>
    <row r="48" spans="1:18" s="1841" customFormat="1" ht="28.5" thickBot="1">
      <c r="A48" s="1360" t="s">
        <v>1132</v>
      </c>
      <c r="B48" s="345" t="s">
        <v>1397</v>
      </c>
      <c r="C48" s="1816">
        <f ca="1">C49+C53+C55</f>
        <v>0</v>
      </c>
      <c r="D48" s="1362"/>
      <c r="E48" s="1363"/>
      <c r="F48" s="1181"/>
      <c r="G48" s="792"/>
      <c r="H48" s="793"/>
      <c r="I48" s="1886" t="s">
        <v>1526</v>
      </c>
      <c r="J48" s="1887" t="s">
        <v>3323</v>
      </c>
      <c r="K48" s="1888" t="s">
        <v>1527</v>
      </c>
      <c r="L48" s="1889">
        <f ca="1">INDIRECT("'数据-取费表'!f"&amp;$G$1)</f>
        <v>23.63</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3021</v>
      </c>
      <c r="E49" s="1829" t="s">
        <v>1487</v>
      </c>
      <c r="F49" s="1281"/>
      <c r="G49" s="1890"/>
      <c r="H49" s="793"/>
      <c r="I49" s="1886" t="s">
        <v>1530</v>
      </c>
      <c r="J49" s="1891"/>
      <c r="K49" s="1888" t="s">
        <v>1531</v>
      </c>
      <c r="L49" s="1892"/>
      <c r="O49" s="1893" t="s">
        <v>1039</v>
      </c>
      <c r="P49" s="1884" t="s">
        <v>1532</v>
      </c>
      <c r="Q49" s="1885">
        <f ca="1">C29</f>
        <v>7091</v>
      </c>
      <c r="R49" s="1885" t="s">
        <v>1525</v>
      </c>
    </row>
    <row r="50" spans="1:18" s="1841" customFormat="1" ht="13.5" thickBot="1">
      <c r="A50" s="1195"/>
      <c r="B50" s="1198"/>
      <c r="C50" s="1368"/>
      <c r="D50" s="1172"/>
      <c r="E50" s="1277" t="s">
        <v>1402</v>
      </c>
      <c r="F50" s="1278">
        <f ca="1">F7</f>
        <v>12941.53</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13922</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21.13</v>
      </c>
      <c r="R52" s="1885" t="s">
        <v>1542</v>
      </c>
    </row>
    <row r="53" spans="1:18" s="1841" customFormat="1" ht="24.75" thickBot="1">
      <c r="A53" s="1405" t="s">
        <v>1134</v>
      </c>
      <c r="B53" s="1830" t="s">
        <v>1405</v>
      </c>
      <c r="C53" s="361">
        <f ca="1">ROUND(IF(F53="押一",C49/12*F11,IF(F53="押二",C49/12*2*F11,IF(F53="押三",C49/12*3*F11,C54*F11))),0)</f>
        <v>0</v>
      </c>
      <c r="D53" s="1823" t="s">
        <v>3028</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21.13</v>
      </c>
      <c r="K53" s="3292" t="s">
        <v>1544</v>
      </c>
      <c r="L53" s="3293"/>
      <c r="O53" s="1883" t="s">
        <v>1043</v>
      </c>
      <c r="P53" s="1884" t="s">
        <v>1545</v>
      </c>
      <c r="Q53" s="1885">
        <f ca="1">Q47+Q48</f>
        <v>25761</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7091</v>
      </c>
      <c r="D56" s="1913"/>
      <c r="E56" s="1914"/>
      <c r="F56" s="1906"/>
      <c r="I56" s="1915" t="s">
        <v>1550</v>
      </c>
      <c r="J56" s="1916" t="s">
        <v>3316</v>
      </c>
      <c r="K56" s="1886" t="s">
        <v>1551</v>
      </c>
      <c r="L56" s="1889" t="str">
        <f ca="1">IF(L48&lt;J51,"——",L48-J53)</f>
        <v>——</v>
      </c>
      <c r="O56" s="1883" t="s">
        <v>1037</v>
      </c>
      <c r="P56" s="1884" t="s">
        <v>1524</v>
      </c>
      <c r="Q56" s="1885">
        <f ca="1">C40+J29</f>
        <v>25761</v>
      </c>
      <c r="R56" s="1885" t="s">
        <v>1525</v>
      </c>
    </row>
    <row r="57" spans="1:18" s="1841" customFormat="1" ht="24.75" thickBot="1">
      <c r="A57" s="1917"/>
      <c r="B57" s="1169" t="s">
        <v>1474</v>
      </c>
      <c r="C57" s="282">
        <f ca="1">C29</f>
        <v>7091</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716</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598.9</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595.64</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3.27</v>
      </c>
      <c r="D62" s="1184" t="s">
        <v>1493</v>
      </c>
      <c r="E62" s="1169" t="s">
        <v>1494</v>
      </c>
      <c r="F62" s="371">
        <f t="shared" si="0"/>
        <v>12</v>
      </c>
      <c r="I62" s="1928" t="s">
        <v>1566</v>
      </c>
      <c r="J62" s="1929" t="s">
        <v>1567</v>
      </c>
      <c r="K62" s="1929" t="s">
        <v>1568</v>
      </c>
      <c r="L62" s="1929" t="s">
        <v>1569</v>
      </c>
      <c r="M62" s="1930" t="s">
        <v>1570</v>
      </c>
      <c r="O62" s="1883" t="s">
        <v>1043</v>
      </c>
      <c r="P62" s="1884" t="s">
        <v>1571</v>
      </c>
      <c r="Q62" s="1885">
        <f ca="1">Q56+Q57</f>
        <v>25761</v>
      </c>
      <c r="R62" s="1885" t="s">
        <v>1044</v>
      </c>
    </row>
    <row r="63" spans="1:18" s="1841" customFormat="1" ht="13.5" thickBot="1">
      <c r="A63" s="372"/>
      <c r="B63" s="1175"/>
      <c r="C63" s="29"/>
      <c r="D63" s="1185"/>
      <c r="E63" s="1169" t="s">
        <v>1495</v>
      </c>
      <c r="F63" s="348">
        <f t="shared" ca="1" si="0"/>
        <v>2720.9</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106.4</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10.6</v>
      </c>
      <c r="D65" s="1183" t="s">
        <v>1450</v>
      </c>
      <c r="E65" s="1169" t="s">
        <v>1451</v>
      </c>
      <c r="F65" s="376">
        <f t="shared" ca="1" si="0"/>
        <v>1.5E-3</v>
      </c>
      <c r="I65" s="1928" t="s">
        <v>1575</v>
      </c>
      <c r="J65" s="1929">
        <v>40</v>
      </c>
      <c r="K65" s="1929">
        <v>30</v>
      </c>
      <c r="L65" s="1929">
        <v>50</v>
      </c>
      <c r="M65" s="1931">
        <v>0.02</v>
      </c>
      <c r="O65" s="1883" t="s">
        <v>1037</v>
      </c>
      <c r="P65" s="1884" t="s">
        <v>1576</v>
      </c>
      <c r="Q65" s="1885">
        <f ca="1">C40+J29</f>
        <v>25761</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-716</v>
      </c>
      <c r="D67" s="1182" t="s">
        <v>1460</v>
      </c>
      <c r="E67" s="1187"/>
      <c r="F67" s="1188"/>
      <c r="O67" s="1893" t="s">
        <v>1039</v>
      </c>
      <c r="P67" s="1884" t="s">
        <v>1558</v>
      </c>
      <c r="Q67" s="1932">
        <f ca="1">L51</f>
        <v>13922</v>
      </c>
      <c r="R67" s="1885" t="s">
        <v>1578</v>
      </c>
    </row>
    <row r="68" spans="1:18" s="1841" customFormat="1" ht="16.5" thickBot="1">
      <c r="A68" s="1166" t="s">
        <v>1029</v>
      </c>
      <c r="B68" s="1167" t="s">
        <v>1481</v>
      </c>
      <c r="C68" s="346">
        <f ca="1">ROUND(C67*(1-((1+F70)/(1+F68))^F69)/(F68-F70),0)</f>
        <v>-8818</v>
      </c>
      <c r="D68" s="1184" t="s">
        <v>1465</v>
      </c>
      <c r="E68" s="1169" t="s">
        <v>1466</v>
      </c>
      <c r="F68" s="357">
        <f ca="1">F40</f>
        <v>5.5E-2</v>
      </c>
      <c r="O68" s="1893" t="s">
        <v>1040</v>
      </c>
      <c r="P68" s="1933" t="s">
        <v>1579</v>
      </c>
      <c r="Q68" s="1885">
        <f ca="1">ROUND(Q69-Q70*Q71,0)</f>
        <v>1017</v>
      </c>
      <c r="R68" s="1885" t="s">
        <v>1048</v>
      </c>
    </row>
    <row r="69" spans="1:18" s="1841" customFormat="1" ht="13.5" thickBot="1">
      <c r="A69" s="1170"/>
      <c r="B69" s="1171"/>
      <c r="C69" s="351"/>
      <c r="D69" s="1189" t="s">
        <v>1469</v>
      </c>
      <c r="E69" s="1169" t="s">
        <v>1470</v>
      </c>
      <c r="F69" s="379">
        <f ca="1">F41</f>
        <v>21.13</v>
      </c>
      <c r="O69" s="1893" t="s">
        <v>1045</v>
      </c>
      <c r="P69" s="1933" t="s">
        <v>1580</v>
      </c>
      <c r="Q69" s="1885">
        <f ca="1">C39</f>
        <v>1620</v>
      </c>
      <c r="R69" s="1885" t="s">
        <v>1525</v>
      </c>
    </row>
    <row r="70" spans="1:18" s="1841" customFormat="1" ht="13.5" thickBot="1">
      <c r="A70" s="1173"/>
      <c r="B70" s="1174"/>
      <c r="C70" s="355"/>
      <c r="D70" s="1185"/>
      <c r="E70" s="1169" t="s">
        <v>1473</v>
      </c>
      <c r="F70" s="1275"/>
      <c r="O70" s="1893" t="s">
        <v>1046</v>
      </c>
      <c r="P70" s="1933" t="s">
        <v>1581</v>
      </c>
      <c r="Q70" s="1885">
        <f ca="1">C13</f>
        <v>7091</v>
      </c>
      <c r="R70" s="1885" t="s">
        <v>1525</v>
      </c>
    </row>
    <row r="71" spans="1:18" s="1841" customFormat="1" ht="13.5" thickBot="1">
      <c r="A71" s="1190" t="s">
        <v>1030</v>
      </c>
      <c r="B71" s="1191" t="s">
        <v>1483</v>
      </c>
      <c r="C71" s="382">
        <f ca="1">ROUND(C68*10000/F71,0)</f>
        <v>-6814</v>
      </c>
      <c r="D71" s="1192" t="s">
        <v>1484</v>
      </c>
      <c r="E71" s="1193" t="s">
        <v>1485</v>
      </c>
      <c r="F71" s="385">
        <f ca="1">F43</f>
        <v>12941.53</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603</v>
      </c>
      <c r="D75" s="1841"/>
      <c r="E75" s="1841"/>
      <c r="F75" s="1841"/>
      <c r="K75" s="1867"/>
      <c r="L75" s="1841"/>
      <c r="O75" s="1883" t="s">
        <v>1043</v>
      </c>
      <c r="P75" s="1884" t="s">
        <v>1545</v>
      </c>
      <c r="Q75" s="1885">
        <f ca="1">Q65+Q66</f>
        <v>25761</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0.628</v>
      </c>
    </row>
    <row r="80" spans="1:18">
      <c r="B80" s="386" t="s">
        <v>1507</v>
      </c>
      <c r="C80" s="318">
        <f ca="1">ROUND(C75/C39,3)</f>
        <v>0.372</v>
      </c>
    </row>
    <row r="81" spans="2:3">
      <c r="B81" s="314" t="s">
        <v>1508</v>
      </c>
      <c r="C81" s="282"/>
    </row>
    <row r="82" spans="2:3">
      <c r="B82" s="317" t="s">
        <v>1509</v>
      </c>
      <c r="C82" s="319">
        <f ca="1">1-C83</f>
        <v>0.72499999999999998</v>
      </c>
    </row>
    <row r="83" spans="2:3">
      <c r="B83" s="317" t="s">
        <v>1510</v>
      </c>
      <c r="C83" s="318">
        <f ca="1">ROUND(C13/C40,3)</f>
        <v>0.27500000000000002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4" customWidth="1"/>
    <col min="12" max="12" width="16.375" style="302" customWidth="1"/>
    <col min="13" max="13" width="13" style="302" customWidth="1"/>
    <col min="14" max="14" width="13.875" style="1841" customWidth="1"/>
    <col min="15" max="15" width="5.125" style="1841" customWidth="1"/>
    <col min="16" max="16" width="25.875" style="1841" customWidth="1"/>
    <col min="17" max="17" width="13.875" style="1841" customWidth="1"/>
    <col min="18" max="18" width="20.5" style="1841" customWidth="1"/>
    <col min="19" max="19" width="13.1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94" t="s">
        <v>1399</v>
      </c>
      <c r="C6" s="1296">
        <f ca="1">ROUND(F6*F8*F7*(1-F9),0)</f>
        <v>0</v>
      </c>
      <c r="D6" s="164" t="s">
        <v>3017</v>
      </c>
      <c r="E6" s="347" t="s">
        <v>1401</v>
      </c>
      <c r="F6" s="348">
        <f ca="1">INDIRECT("'数据-取费表'!u"&amp;$G$1)</f>
        <v>0</v>
      </c>
      <c r="G6" s="1850"/>
      <c r="H6" s="1291" t="s">
        <v>1032</v>
      </c>
      <c r="I6" s="3294" t="s">
        <v>1399</v>
      </c>
      <c r="J6" s="346">
        <f ca="1">ROUND(M6*M8*M7*(1-M9),0)</f>
        <v>0</v>
      </c>
      <c r="K6" s="1833" t="s">
        <v>3018</v>
      </c>
      <c r="L6" s="347" t="s">
        <v>1401</v>
      </c>
      <c r="M6" s="348">
        <f ca="1">INDIRECT("'数据-取费表'!z"&amp;$G$1)</f>
        <v>0</v>
      </c>
    </row>
    <row r="7" spans="1:37" ht="18" customHeight="1">
      <c r="A7" s="1295"/>
      <c r="B7" s="3295"/>
      <c r="C7" s="1297"/>
      <c r="D7" s="352"/>
      <c r="E7" s="1298" t="s">
        <v>1402</v>
      </c>
      <c r="F7" s="348">
        <f ca="1">IF(INDIRECT("'数据-取费表'!ah"&amp;$G$1)="",INDIRECT("'数据-取费表'!k"&amp;$G$1),INDIRECT("'数据-取费表'!ah"&amp;$G$1))</f>
        <v>0</v>
      </c>
      <c r="G7" s="1850"/>
      <c r="H7" s="349"/>
      <c r="I7" s="3295"/>
      <c r="J7" s="351"/>
      <c r="K7" s="352"/>
      <c r="L7" s="347" t="s">
        <v>1402</v>
      </c>
      <c r="M7" s="348">
        <f ca="1">F7</f>
        <v>0</v>
      </c>
    </row>
    <row r="8" spans="1:37" ht="18" customHeight="1">
      <c r="A8" s="349"/>
      <c r="B8" s="3295"/>
      <c r="C8" s="351"/>
      <c r="D8" s="352"/>
      <c r="E8" s="347" t="s">
        <v>1403</v>
      </c>
      <c r="F8" s="348">
        <f ca="1">INDIRECT("'数据-取费表'!ai"&amp;$G$1)</f>
        <v>0</v>
      </c>
      <c r="G8" s="1850"/>
      <c r="H8" s="349"/>
      <c r="I8" s="3295"/>
      <c r="J8" s="351"/>
      <c r="K8" s="352"/>
      <c r="L8" s="347" t="s">
        <v>1403</v>
      </c>
      <c r="M8" s="348">
        <f ca="1">INDIRECT("'数据-取费表'!ai"&amp;$G$1)</f>
        <v>0</v>
      </c>
    </row>
    <row r="9" spans="1:37" ht="18" customHeight="1">
      <c r="A9" s="349"/>
      <c r="B9" s="3296"/>
      <c r="C9" s="351"/>
      <c r="D9" s="352"/>
      <c r="E9" s="347" t="s">
        <v>1404</v>
      </c>
      <c r="F9" s="357">
        <f ca="1">INDIRECT("'数据-取费表'!w"&amp;$G$1)</f>
        <v>0</v>
      </c>
      <c r="G9" s="1850"/>
      <c r="H9" s="349"/>
      <c r="I9" s="3296"/>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3028</v>
      </c>
      <c r="E10" s="358" t="s">
        <v>1406</v>
      </c>
      <c r="F10" s="1366"/>
      <c r="G10" s="1850"/>
      <c r="H10" s="1291" t="s">
        <v>1036</v>
      </c>
      <c r="I10" s="1822" t="s">
        <v>1405</v>
      </c>
      <c r="J10" s="346">
        <f ca="1">ROUND(IF(M10="押一",J6/12*M11,IF(M10="押二",J6/12*2*M11,IF(M10="押三",J6/12*3*M11,J11*M11))),0)</f>
        <v>0</v>
      </c>
      <c r="K10" s="1834" t="s">
        <v>3030</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250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3031</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92" t="s">
        <v>1544</v>
      </c>
      <c r="L53" s="3293"/>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2514</v>
      </c>
      <c r="B1" s="2560"/>
      <c r="C1" s="2560"/>
      <c r="D1" s="2560"/>
      <c r="E1" s="2561"/>
    </row>
    <row r="2" spans="1:6" ht="15.75">
      <c r="A2" s="2562" t="s">
        <v>2318</v>
      </c>
      <c r="B2" s="2563">
        <f ca="1">SUMIF(B6:B13,"&lt;&gt;#ref!",B6:B13)</f>
        <v>55386</v>
      </c>
      <c r="C2" s="2564" t="s">
        <v>2507</v>
      </c>
      <c r="D2" s="2565" t="s">
        <v>2508</v>
      </c>
      <c r="E2" s="2566">
        <f>SUM(E6:E13)</f>
        <v>121414.87</v>
      </c>
    </row>
    <row r="3" spans="1:6" ht="15.75">
      <c r="A3" s="2562" t="s">
        <v>1391</v>
      </c>
      <c r="B3" s="2563">
        <f ca="1">ROUND(B2*10000/E2,0)</f>
        <v>4562</v>
      </c>
      <c r="C3" s="2564" t="s">
        <v>2515</v>
      </c>
      <c r="D3" s="2567"/>
      <c r="E3" s="2568"/>
    </row>
    <row r="4" spans="1:6" ht="15.75">
      <c r="A4" s="2569"/>
      <c r="B4" s="2567"/>
      <c r="C4" s="2567"/>
      <c r="D4" s="2567"/>
      <c r="E4" s="2568"/>
    </row>
    <row r="5" spans="1:6" ht="15">
      <c r="A5" s="2570" t="s">
        <v>2509</v>
      </c>
      <c r="B5" s="3297" t="s">
        <v>2510</v>
      </c>
      <c r="C5" s="3297"/>
      <c r="D5" s="2571"/>
      <c r="E5" s="2572" t="s">
        <v>2511</v>
      </c>
      <c r="F5" s="2573" t="s">
        <v>2512</v>
      </c>
    </row>
    <row r="6" spans="1:6">
      <c r="A6" s="2574">
        <f>'数据-取费表'!AN6</f>
        <v>0</v>
      </c>
      <c r="B6" s="2573" t="e">
        <f ca="1">IF(F6="是",'数据-取费表'!AO6,0)</f>
        <v>#REF!</v>
      </c>
      <c r="C6" s="2564" t="s">
        <v>2507</v>
      </c>
      <c r="D6" s="2567"/>
      <c r="E6" s="2575">
        <f>IF(OR(A6=0,F6="否"),0,'数据-取费表'!K6+'数据-取费表'!S6)</f>
        <v>0</v>
      </c>
      <c r="F6" s="2576" t="s">
        <v>2513</v>
      </c>
    </row>
    <row r="7" spans="1:6">
      <c r="A7" s="2574" t="str">
        <f>'数据-取费表'!AN7</f>
        <v>收益法（商业）</v>
      </c>
      <c r="B7" s="2573">
        <f ca="1">IF(F7="是",'数据-取费表'!AO7,0)</f>
        <v>25761</v>
      </c>
      <c r="C7" s="2564" t="s">
        <v>2507</v>
      </c>
      <c r="D7" s="2567"/>
      <c r="E7" s="2575">
        <f>IF(OR(A7=0,F7="否"),0,'数据-取费表'!K7+'数据-取费表'!S7)</f>
        <v>15311.050000000001</v>
      </c>
      <c r="F7" s="2576" t="s">
        <v>2513</v>
      </c>
    </row>
    <row r="8" spans="1:6">
      <c r="A8" s="2574" t="str">
        <f>'数据-取费表'!AN8</f>
        <v>收益法（地下车库）</v>
      </c>
      <c r="B8" s="2573">
        <f ca="1">IF(F8="是",'数据-取费表'!AO8,0)</f>
        <v>29625</v>
      </c>
      <c r="C8" s="2564" t="s">
        <v>2507</v>
      </c>
      <c r="D8" s="2567"/>
      <c r="E8" s="2575">
        <f>IF(OR(A8=0,F8="否"),0,'数据-取费表'!K8+'数据-取费表'!S8)</f>
        <v>106103.81999999999</v>
      </c>
      <c r="F8" s="2576" t="s">
        <v>2513</v>
      </c>
    </row>
    <row r="9" spans="1:6">
      <c r="A9" s="2574">
        <f>'数据-取费表'!AN9</f>
        <v>0</v>
      </c>
      <c r="B9" s="2573" t="e">
        <f ca="1">IF(F9="是",'数据-取费表'!AO9,0)</f>
        <v>#REF!</v>
      </c>
      <c r="C9" s="2564" t="s">
        <v>2507</v>
      </c>
      <c r="D9" s="2567"/>
      <c r="E9" s="2575">
        <f>IF(OR(A9=0,F9="否"),0,'数据-取费表'!K9+'数据-取费表'!S9)</f>
        <v>0</v>
      </c>
      <c r="F9" s="2576" t="s">
        <v>2513</v>
      </c>
    </row>
    <row r="10" spans="1:6">
      <c r="A10" s="2574">
        <f>'数据-取费表'!AN10</f>
        <v>0</v>
      </c>
      <c r="B10" s="2573" t="e">
        <f ca="1">IF(F10="是",'数据-取费表'!AO10,0)</f>
        <v>#REF!</v>
      </c>
      <c r="C10" s="2564" t="s">
        <v>2507</v>
      </c>
      <c r="D10" s="2567"/>
      <c r="E10" s="2575">
        <f>IF(OR(A10=0,F10="否"),0,'数据-取费表'!K10+'数据-取费表'!S10)</f>
        <v>0</v>
      </c>
      <c r="F10" s="2576" t="s">
        <v>2513</v>
      </c>
    </row>
    <row r="11" spans="1:6">
      <c r="A11" s="2574">
        <f>'数据-取费表'!AN11</f>
        <v>0</v>
      </c>
      <c r="B11" s="2573" t="e">
        <f ca="1">IF(F11="是",'数据-取费表'!AO11,0)</f>
        <v>#REF!</v>
      </c>
      <c r="C11" s="2564" t="s">
        <v>2507</v>
      </c>
      <c r="D11" s="2567"/>
      <c r="E11" s="2575">
        <f>IF(OR(A11=0,F11="否"),0,'数据-取费表'!K11+'数据-取费表'!S11)</f>
        <v>0</v>
      </c>
      <c r="F11" s="2576" t="s">
        <v>2513</v>
      </c>
    </row>
    <row r="12" spans="1:6">
      <c r="A12" s="2574">
        <f>'数据-取费表'!AN12</f>
        <v>0</v>
      </c>
      <c r="B12" s="2573" t="e">
        <f ca="1">IF(F12="是",'数据-取费表'!AO12,0)</f>
        <v>#REF!</v>
      </c>
      <c r="C12" s="2564" t="s">
        <v>2507</v>
      </c>
      <c r="D12" s="2567"/>
      <c r="E12" s="2575">
        <f>IF(OR(A12=0,F12="否"),0,'数据-取费表'!K12+'数据-取费表'!S12)</f>
        <v>0</v>
      </c>
      <c r="F12" s="2576" t="s">
        <v>2513</v>
      </c>
    </row>
    <row r="13" spans="1:6" ht="15" thickBot="1">
      <c r="A13" s="2577">
        <f>'数据-取费表'!AN13</f>
        <v>0</v>
      </c>
      <c r="B13" s="2573" t="e">
        <f ca="1">IF(F13="是",'数据-取费表'!AO13,0)</f>
        <v>#REF!</v>
      </c>
      <c r="C13" s="2578" t="s">
        <v>2507</v>
      </c>
      <c r="D13" s="2579"/>
      <c r="E13" s="2575">
        <f>IF(OR(A13=0,F13="否"),0,'数据-取费表'!K13+'数据-取费表'!S13)</f>
        <v>0</v>
      </c>
      <c r="F13" s="2576" t="s">
        <v>2513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875" customWidth="1"/>
  </cols>
  <sheetData>
    <row r="1" spans="1:9" ht="14.25">
      <c r="A1" s="3314" t="s">
        <v>1073</v>
      </c>
      <c r="B1" s="3315"/>
      <c r="C1" s="3316"/>
      <c r="D1" s="3317">
        <f>SUM(I10,I15,I20,I21,I23)</f>
        <v>0</v>
      </c>
      <c r="E1" s="3317"/>
      <c r="F1" s="3317"/>
      <c r="G1" s="3317"/>
      <c r="H1" s="3317"/>
      <c r="I1" s="3318"/>
    </row>
    <row r="2" spans="1:9">
      <c r="A2" s="3304" t="s">
        <v>1074</v>
      </c>
      <c r="B2" s="3305" t="s">
        <v>1075</v>
      </c>
      <c r="C2" s="3305"/>
      <c r="D2" s="1301" t="s">
        <v>1076</v>
      </c>
      <c r="E2" s="1301" t="s">
        <v>1077</v>
      </c>
      <c r="F2" s="1301" t="s">
        <v>1078</v>
      </c>
      <c r="G2" s="1301" t="s">
        <v>1079</v>
      </c>
      <c r="H2" s="1301" t="s">
        <v>1080</v>
      </c>
      <c r="I2" s="1302" t="s">
        <v>1081</v>
      </c>
    </row>
    <row r="3" spans="1:9">
      <c r="A3" s="3304"/>
      <c r="B3" s="3305" t="s">
        <v>1082</v>
      </c>
      <c r="C3" s="3305"/>
      <c r="D3" s="1303"/>
      <c r="E3" s="1301"/>
      <c r="F3" s="1304"/>
      <c r="G3" s="1304"/>
      <c r="H3" s="1305"/>
      <c r="I3" s="1306">
        <f>ROUND(D3*E3*F3*G3*H3/10000,0)</f>
        <v>0</v>
      </c>
    </row>
    <row r="4" spans="1:9">
      <c r="A4" s="3304"/>
      <c r="B4" s="3305" t="s">
        <v>1083</v>
      </c>
      <c r="C4" s="3305"/>
      <c r="D4" s="1303"/>
      <c r="E4" s="1301"/>
      <c r="F4" s="1304"/>
      <c r="G4" s="1304"/>
      <c r="H4" s="1305"/>
      <c r="I4" s="1306">
        <f t="shared" ref="I4:I9" si="0">ROUND(D4*E4*F4*G4*H4/10000,0)</f>
        <v>0</v>
      </c>
    </row>
    <row r="5" spans="1:9">
      <c r="A5" s="3304"/>
      <c r="B5" s="3305" t="s">
        <v>1084</v>
      </c>
      <c r="C5" s="3305"/>
      <c r="D5" s="1303"/>
      <c r="E5" s="1301"/>
      <c r="F5" s="1304"/>
      <c r="G5" s="1304"/>
      <c r="H5" s="1305"/>
      <c r="I5" s="1306">
        <f t="shared" si="0"/>
        <v>0</v>
      </c>
    </row>
    <row r="6" spans="1:9">
      <c r="A6" s="3304"/>
      <c r="B6" s="3305" t="s">
        <v>1085</v>
      </c>
      <c r="C6" s="3305"/>
      <c r="D6" s="1303"/>
      <c r="E6" s="1301"/>
      <c r="F6" s="1304"/>
      <c r="G6" s="1304"/>
      <c r="H6" s="1305"/>
      <c r="I6" s="1306">
        <f t="shared" si="0"/>
        <v>0</v>
      </c>
    </row>
    <row r="7" spans="1:9">
      <c r="A7" s="3304"/>
      <c r="B7" s="3305" t="s">
        <v>1086</v>
      </c>
      <c r="C7" s="3305"/>
      <c r="D7" s="1303"/>
      <c r="E7" s="1301"/>
      <c r="F7" s="1304"/>
      <c r="G7" s="1304"/>
      <c r="H7" s="1305"/>
      <c r="I7" s="1306">
        <f t="shared" si="0"/>
        <v>0</v>
      </c>
    </row>
    <row r="8" spans="1:9">
      <c r="A8" s="3304"/>
      <c r="B8" s="3305" t="s">
        <v>1087</v>
      </c>
      <c r="C8" s="3305"/>
      <c r="D8" s="1303"/>
      <c r="E8" s="1301"/>
      <c r="F8" s="1304"/>
      <c r="G8" s="1304"/>
      <c r="H8" s="1305"/>
      <c r="I8" s="1306">
        <f t="shared" si="0"/>
        <v>0</v>
      </c>
    </row>
    <row r="9" spans="1:9">
      <c r="A9" s="3304"/>
      <c r="B9" s="3305" t="s">
        <v>1088</v>
      </c>
      <c r="C9" s="3305"/>
      <c r="D9" s="1303"/>
      <c r="E9" s="1301"/>
      <c r="F9" s="1304"/>
      <c r="G9" s="1304"/>
      <c r="H9" s="1305"/>
      <c r="I9" s="1306">
        <f t="shared" si="0"/>
        <v>0</v>
      </c>
    </row>
    <row r="10" spans="1:9">
      <c r="A10" s="3304"/>
      <c r="B10" s="3306" t="s">
        <v>1089</v>
      </c>
      <c r="C10" s="3306"/>
      <c r="D10" s="1307"/>
      <c r="E10" s="1307" t="e">
        <f>ROUND(D1*10000/D10/H9,0)</f>
        <v>#DIV/0!</v>
      </c>
      <c r="F10" s="1308"/>
      <c r="G10" s="1308"/>
      <c r="H10" s="1309"/>
      <c r="I10" s="1310">
        <f>SUM(I3:I9)</f>
        <v>0</v>
      </c>
    </row>
    <row r="11" spans="1:9" ht="14.25">
      <c r="A11" s="3304" t="s">
        <v>1090</v>
      </c>
      <c r="B11" s="3305" t="s">
        <v>1091</v>
      </c>
      <c r="C11" s="3305"/>
      <c r="D11" s="1303" t="s">
        <v>1092</v>
      </c>
      <c r="E11" s="1303" t="s">
        <v>1093</v>
      </c>
      <c r="F11" s="1304" t="s">
        <v>1094</v>
      </c>
      <c r="G11" s="1304" t="s">
        <v>1080</v>
      </c>
      <c r="H11" s="1311" t="s">
        <v>1095</v>
      </c>
      <c r="I11" s="1302" t="s">
        <v>1081</v>
      </c>
    </row>
    <row r="12" spans="1:9">
      <c r="A12" s="3304"/>
      <c r="B12" s="3305" t="s">
        <v>1096</v>
      </c>
      <c r="C12" s="3305"/>
      <c r="D12" s="1303"/>
      <c r="E12" s="1303"/>
      <c r="F12" s="1304"/>
      <c r="G12" s="1305"/>
      <c r="H12" s="1312"/>
      <c r="I12" s="1302">
        <f>ROUND(D12*E12*F12*G12/10000,0)</f>
        <v>0</v>
      </c>
    </row>
    <row r="13" spans="1:9">
      <c r="A13" s="3304"/>
      <c r="B13" s="3305" t="s">
        <v>1097</v>
      </c>
      <c r="C13" s="3305"/>
      <c r="D13" s="1303"/>
      <c r="E13" s="1303"/>
      <c r="F13" s="1304"/>
      <c r="G13" s="1305"/>
      <c r="H13" s="1312"/>
      <c r="I13" s="1302">
        <f>ROUND(D13*E13*F13*G13/10000,0)</f>
        <v>0</v>
      </c>
    </row>
    <row r="14" spans="1:9">
      <c r="A14" s="3304"/>
      <c r="B14" s="3305" t="s">
        <v>1098</v>
      </c>
      <c r="C14" s="3305"/>
      <c r="D14" s="1303"/>
      <c r="E14" s="1303"/>
      <c r="F14" s="1304"/>
      <c r="G14" s="1305"/>
      <c r="H14" s="1312"/>
      <c r="I14" s="1302">
        <f>ROUND(D14*E14*F14*G14/10000,0)</f>
        <v>0</v>
      </c>
    </row>
    <row r="15" spans="1:9">
      <c r="A15" s="3304"/>
      <c r="B15" s="3306" t="s">
        <v>1089</v>
      </c>
      <c r="C15" s="3306"/>
      <c r="D15" s="1307"/>
      <c r="E15" s="1307">
        <f>SUM(E12:E14)</f>
        <v>0</v>
      </c>
      <c r="F15" s="1308"/>
      <c r="G15" s="1305"/>
      <c r="H15" s="1312"/>
      <c r="I15" s="1313">
        <f>SUM(I12:I14)</f>
        <v>0</v>
      </c>
    </row>
    <row r="16" spans="1:9" ht="24">
      <c r="A16" s="3304" t="s">
        <v>1099</v>
      </c>
      <c r="B16" s="3305" t="s">
        <v>1100</v>
      </c>
      <c r="C16" s="3305"/>
      <c r="D16" s="1303" t="s">
        <v>1076</v>
      </c>
      <c r="E16" s="1314" t="s">
        <v>1101</v>
      </c>
      <c r="F16" s="1304" t="s">
        <v>1102</v>
      </c>
      <c r="G16" s="1305" t="s">
        <v>1080</v>
      </c>
      <c r="H16" s="1311" t="s">
        <v>1095</v>
      </c>
      <c r="I16" s="1302" t="s">
        <v>1081</v>
      </c>
    </row>
    <row r="17" spans="1:9" ht="14.25">
      <c r="A17" s="3304"/>
      <c r="B17" s="3305" t="s">
        <v>1103</v>
      </c>
      <c r="C17" s="3305"/>
      <c r="D17" s="1303"/>
      <c r="E17" s="1303"/>
      <c r="F17" s="1304"/>
      <c r="G17" s="1305"/>
      <c r="H17" s="1315"/>
      <c r="I17" s="1316">
        <f>ROUND(D17*E17*F17*G17/10000,0)</f>
        <v>0</v>
      </c>
    </row>
    <row r="18" spans="1:9" ht="14.25">
      <c r="A18" s="3304"/>
      <c r="B18" s="3305" t="s">
        <v>1104</v>
      </c>
      <c r="C18" s="3305"/>
      <c r="D18" s="1303"/>
      <c r="E18" s="1303"/>
      <c r="F18" s="1304"/>
      <c r="G18" s="1305"/>
      <c r="H18" s="1315"/>
      <c r="I18" s="1316">
        <f>ROUND(D18*E18*F18*G18/10000,0)</f>
        <v>0</v>
      </c>
    </row>
    <row r="19" spans="1:9" ht="14.25">
      <c r="A19" s="3304"/>
      <c r="B19" s="3305" t="s">
        <v>1105</v>
      </c>
      <c r="C19" s="3305"/>
      <c r="D19" s="1303"/>
      <c r="E19" s="1303"/>
      <c r="F19" s="1304"/>
      <c r="G19" s="1305"/>
      <c r="H19" s="1315"/>
      <c r="I19" s="1316">
        <f>ROUND(D19*E19*F19*G19/10000,0)</f>
        <v>0</v>
      </c>
    </row>
    <row r="20" spans="1:9">
      <c r="A20" s="3304"/>
      <c r="B20" s="3306" t="s">
        <v>1089</v>
      </c>
      <c r="C20" s="3306"/>
      <c r="D20" s="1307">
        <f>SUM(D17:D19)</f>
        <v>0</v>
      </c>
      <c r="E20" s="1307"/>
      <c r="F20" s="1308"/>
      <c r="G20" s="1305"/>
      <c r="H20" s="1312"/>
      <c r="I20" s="1313">
        <f>SUM(I17:I19)</f>
        <v>0</v>
      </c>
    </row>
    <row r="21" spans="1:9">
      <c r="A21" s="3304" t="s">
        <v>1106</v>
      </c>
      <c r="B21" s="3307"/>
      <c r="C21" s="3307"/>
      <c r="D21" s="3307"/>
      <c r="E21" s="3307"/>
      <c r="F21" s="3307"/>
      <c r="G21" s="3307"/>
      <c r="H21" s="1764">
        <v>0.1</v>
      </c>
      <c r="I21" s="1310">
        <f>ROUND(I10*H21,0)</f>
        <v>0</v>
      </c>
    </row>
    <row r="22" spans="1:9" ht="14.25">
      <c r="A22" s="3308" t="s">
        <v>1107</v>
      </c>
      <c r="B22" s="3309"/>
      <c r="C22" s="3310"/>
      <c r="D22" s="1317" t="s">
        <v>1108</v>
      </c>
      <c r="E22" s="1317" t="s">
        <v>1109</v>
      </c>
      <c r="F22" s="1318" t="s">
        <v>1110</v>
      </c>
      <c r="G22" s="1318" t="s">
        <v>1111</v>
      </c>
      <c r="H22" s="1311" t="s">
        <v>1112</v>
      </c>
      <c r="I22" s="1302" t="s">
        <v>1113</v>
      </c>
    </row>
    <row r="23" spans="1:9" ht="14.25" thickBot="1">
      <c r="A23" s="3311"/>
      <c r="B23" s="3312"/>
      <c r="C23" s="3313"/>
      <c r="D23" s="1319"/>
      <c r="E23" s="1319"/>
      <c r="F23" s="1319"/>
      <c r="G23" s="1320"/>
      <c r="H23" s="1321"/>
      <c r="I23" s="1322">
        <f>ROUND(E23*D23*F23*(1-G23)/10000,0)</f>
        <v>0</v>
      </c>
    </row>
    <row r="26" spans="1:9">
      <c r="A26" s="1323" t="s">
        <v>1114</v>
      </c>
      <c r="B26" s="1323"/>
      <c r="C26" s="1323"/>
      <c r="D26" s="1323"/>
      <c r="E26" s="3301">
        <f>C27-C30-C31-C32</f>
        <v>0</v>
      </c>
      <c r="F26" s="3301"/>
      <c r="G26" s="3301"/>
      <c r="H26" s="1736" t="s">
        <v>1336</v>
      </c>
    </row>
    <row r="27" spans="1:9">
      <c r="A27" s="1324">
        <v>1</v>
      </c>
      <c r="B27" s="1325" t="s">
        <v>1115</v>
      </c>
      <c r="C27" s="1325">
        <f>C28+C29</f>
        <v>0</v>
      </c>
      <c r="D27" s="1325"/>
      <c r="E27" s="3302"/>
      <c r="F27" s="3302"/>
      <c r="G27" s="3302"/>
    </row>
    <row r="28" spans="1:9">
      <c r="A28" s="1326" t="s">
        <v>1116</v>
      </c>
      <c r="B28" s="1325" t="s">
        <v>1117</v>
      </c>
      <c r="C28" s="1325"/>
      <c r="D28" s="1325"/>
      <c r="E28" s="3302"/>
      <c r="F28" s="3302"/>
      <c r="G28" s="330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03"/>
      <c r="F32" s="3303"/>
      <c r="G32" s="3303"/>
    </row>
    <row r="33" spans="1:7" hidden="1">
      <c r="A33" s="3298" t="s">
        <v>1126</v>
      </c>
      <c r="B33" s="3299"/>
      <c r="C33" s="3299"/>
      <c r="D33" s="3300"/>
      <c r="E33" s="3301"/>
      <c r="F33" s="3301"/>
      <c r="G33" s="3301"/>
    </row>
    <row r="34" spans="1:7" hidden="1">
      <c r="A34" s="1328">
        <v>1</v>
      </c>
      <c r="B34" s="1325" t="s">
        <v>1127</v>
      </c>
      <c r="C34" s="1325"/>
      <c r="D34" s="1325"/>
      <c r="E34" s="3302"/>
      <c r="F34" s="3302"/>
      <c r="G34" s="3302"/>
    </row>
    <row r="35" spans="1:7" hidden="1">
      <c r="A35" s="1328">
        <v>2</v>
      </c>
      <c r="B35" s="1325" t="s">
        <v>1128</v>
      </c>
      <c r="C35" s="1325"/>
      <c r="D35" s="1325"/>
      <c r="E35" s="3302"/>
      <c r="F35" s="3302"/>
      <c r="G35" s="3302"/>
    </row>
    <row r="36" spans="1:7" hidden="1">
      <c r="A36" s="1328">
        <v>3</v>
      </c>
      <c r="B36" s="1325" t="s">
        <v>1129</v>
      </c>
      <c r="C36" s="1325"/>
      <c r="D36" s="1325"/>
      <c r="E36" s="3302"/>
      <c r="F36" s="3302"/>
      <c r="G36" s="3302"/>
    </row>
    <row r="37" spans="1:7" hidden="1">
      <c r="A37" s="1328">
        <v>4</v>
      </c>
      <c r="B37" s="1325" t="s">
        <v>1130</v>
      </c>
      <c r="C37" s="1325"/>
      <c r="D37" s="1325"/>
      <c r="E37" s="3302"/>
      <c r="F37" s="3302"/>
      <c r="G37" s="3302"/>
    </row>
    <row r="38" spans="1:7" hidden="1">
      <c r="A38" s="3298" t="s">
        <v>1131</v>
      </c>
      <c r="B38" s="3299"/>
      <c r="C38" s="3299"/>
      <c r="D38" s="3300"/>
      <c r="E38" s="3301"/>
      <c r="F38" s="3301"/>
      <c r="G38" s="33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F29" sqref="B4:F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4" customWidth="1"/>
    <col min="12" max="12" width="16.375" style="302" customWidth="1"/>
    <col min="13" max="13" width="13" style="302" customWidth="1"/>
    <col min="14" max="14" width="13.875" style="1841" customWidth="1"/>
    <col min="15" max="15" width="5.125" style="1841" customWidth="1"/>
    <col min="16" max="16" width="25.875" style="1841" customWidth="1"/>
    <col min="17" max="17" width="13.875" style="1841" customWidth="1"/>
    <col min="18" max="18" width="20.5" style="1841" customWidth="1"/>
    <col min="19" max="19" width="13.125" style="1841" customWidth="1"/>
    <col min="20" max="37" width="9" style="1841"/>
    <col min="38" max="16384" width="9" style="302"/>
  </cols>
  <sheetData>
    <row r="1" spans="1:37" s="337" customFormat="1" ht="21">
      <c r="A1" s="1832" t="s">
        <v>1585</v>
      </c>
      <c r="B1" s="782"/>
      <c r="C1" s="1836" t="s">
        <v>48</v>
      </c>
      <c r="D1" s="1819" t="s">
        <v>3320</v>
      </c>
      <c r="E1" s="1820" t="s">
        <v>1383</v>
      </c>
      <c r="F1" s="1283">
        <f ca="1">J53</f>
        <v>31.14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29625</v>
      </c>
      <c r="C2" s="1844" t="s">
        <v>1512</v>
      </c>
      <c r="D2" s="1844"/>
      <c r="E2" s="1845"/>
      <c r="F2" s="1846"/>
      <c r="G2" s="1847"/>
      <c r="H2" s="1839"/>
      <c r="I2" s="1839"/>
      <c r="J2" s="1839"/>
      <c r="K2" s="1840"/>
      <c r="L2" s="1839"/>
      <c r="M2" s="1839"/>
    </row>
    <row r="3" spans="1:37" ht="18" customHeight="1" thickBot="1">
      <c r="A3" s="1848" t="s">
        <v>1513</v>
      </c>
      <c r="B3" s="1849">
        <f ca="1">IF(ISERROR(B2*10000/F43),0,ROUND(B2*10000/F43,0))</f>
        <v>3303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2357</v>
      </c>
      <c r="D5" s="1821" t="s">
        <v>1398</v>
      </c>
      <c r="E5" s="1293"/>
      <c r="F5" s="1294"/>
      <c r="G5" s="1850"/>
      <c r="H5" s="344">
        <v>1</v>
      </c>
      <c r="I5" s="345" t="s">
        <v>1397</v>
      </c>
      <c r="J5" s="1292">
        <f ca="1">J6+J10+J12</f>
        <v>0</v>
      </c>
      <c r="K5" s="1821" t="s">
        <v>1398</v>
      </c>
      <c r="L5" s="1293"/>
      <c r="M5" s="1294"/>
    </row>
    <row r="6" spans="1:37" ht="18" customHeight="1">
      <c r="A6" s="1291" t="s">
        <v>1032</v>
      </c>
      <c r="B6" s="3294" t="s">
        <v>1399</v>
      </c>
      <c r="C6" s="1296">
        <f ca="1">ROUND(F6*F8*F7*(1-F9)/10000,0)</f>
        <v>2357</v>
      </c>
      <c r="D6" s="164" t="s">
        <v>3020</v>
      </c>
      <c r="E6" s="347" t="s">
        <v>1401</v>
      </c>
      <c r="F6" s="348">
        <f ca="1">INDIRECT("'数据-取费表'!u"&amp;$G$1)</f>
        <v>0.8</v>
      </c>
      <c r="G6" s="1850"/>
      <c r="H6" s="1291" t="s">
        <v>1032</v>
      </c>
      <c r="I6" s="3294" t="s">
        <v>1399</v>
      </c>
      <c r="J6" s="346">
        <f ca="1">ROUND(M6*M8*M7*(1-M9)/10000,0)</f>
        <v>0</v>
      </c>
      <c r="K6" s="164" t="s">
        <v>3019</v>
      </c>
      <c r="L6" s="347" t="s">
        <v>1401</v>
      </c>
      <c r="M6" s="348">
        <f ca="1">INDIRECT("'数据-取费表'!z"&amp;$G$1)</f>
        <v>0</v>
      </c>
    </row>
    <row r="7" spans="1:37" ht="18" customHeight="1">
      <c r="A7" s="1295"/>
      <c r="B7" s="3295"/>
      <c r="C7" s="1297"/>
      <c r="D7" s="352"/>
      <c r="E7" s="2954" t="s">
        <v>1402</v>
      </c>
      <c r="F7" s="348">
        <f ca="1">IF(INDIRECT("'数据-取费表'!ah"&amp;$G$1)="",INDIRECT("'数据-取费表'!k"&amp;$G$1),INDIRECT("'数据-取费表'!ah"&amp;$G$1))</f>
        <v>89683.34</v>
      </c>
      <c r="G7" s="1850"/>
      <c r="H7" s="349"/>
      <c r="I7" s="3295"/>
      <c r="J7" s="351"/>
      <c r="K7" s="352"/>
      <c r="L7" s="347" t="s">
        <v>1402</v>
      </c>
      <c r="M7" s="348">
        <f ca="1">F7</f>
        <v>89683.34</v>
      </c>
    </row>
    <row r="8" spans="1:37" ht="18" customHeight="1">
      <c r="A8" s="349"/>
      <c r="B8" s="3295"/>
      <c r="C8" s="351"/>
      <c r="D8" s="352"/>
      <c r="E8" s="347" t="s">
        <v>1403</v>
      </c>
      <c r="F8" s="348">
        <f ca="1">INDIRECT("'数据-取费表'!ai"&amp;$G$1)</f>
        <v>365</v>
      </c>
      <c r="G8" s="1850"/>
      <c r="H8" s="349"/>
      <c r="I8" s="3295"/>
      <c r="J8" s="351"/>
      <c r="K8" s="352"/>
      <c r="L8" s="347" t="s">
        <v>1403</v>
      </c>
      <c r="M8" s="348">
        <f ca="1">INDIRECT("'数据-取费表'!ai"&amp;$G$1)</f>
        <v>365</v>
      </c>
    </row>
    <row r="9" spans="1:37" ht="18" customHeight="1">
      <c r="A9" s="349"/>
      <c r="B9" s="3296"/>
      <c r="C9" s="351"/>
      <c r="D9" s="352"/>
      <c r="E9" s="347" t="s">
        <v>1404</v>
      </c>
      <c r="F9" s="357">
        <f ca="1">INDIRECT("'数据-取费表'!w"&amp;$G$1)</f>
        <v>0.1</v>
      </c>
      <c r="G9" s="1850"/>
      <c r="H9" s="349"/>
      <c r="I9" s="3296"/>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3029</v>
      </c>
      <c r="E10" s="358" t="s">
        <v>1406</v>
      </c>
      <c r="F10" s="1366"/>
      <c r="G10" s="1850"/>
      <c r="H10" s="1291" t="s">
        <v>1036</v>
      </c>
      <c r="I10" s="1822" t="s">
        <v>1405</v>
      </c>
      <c r="J10" s="346">
        <f ca="1">ROUND(IF(M10="押一",J6/12*M11,IF(M10="押二",J6/12*2*M11,IF(M10="押三",J6/12*3*M11,J11*M11))),0)</f>
        <v>0</v>
      </c>
      <c r="K10" s="1823" t="s">
        <v>3028</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35575</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25465</v>
      </c>
      <c r="D14" s="2948" t="s">
        <v>1414</v>
      </c>
      <c r="E14" s="2946"/>
      <c r="F14" s="364"/>
      <c r="G14" s="1850"/>
      <c r="H14" s="1201" t="s">
        <v>1032</v>
      </c>
      <c r="I14" s="347" t="s">
        <v>1415</v>
      </c>
      <c r="J14" s="24">
        <f ca="1">C29</f>
        <v>35575</v>
      </c>
      <c r="K14" s="2953"/>
      <c r="L14" s="979"/>
      <c r="M14" s="980"/>
    </row>
    <row r="15" spans="1:37" s="1857" customFormat="1" ht="18" customHeight="1" thickBot="1">
      <c r="A15" s="1201" t="s">
        <v>1033</v>
      </c>
      <c r="B15" s="347" t="s">
        <v>1416</v>
      </c>
      <c r="C15" s="24">
        <f ca="1">ROUND(C14*F15,0)</f>
        <v>764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855</v>
      </c>
      <c r="K16" s="1337" t="s">
        <v>1421</v>
      </c>
      <c r="L16" s="2949"/>
      <c r="M16" s="1294"/>
    </row>
    <row r="17" spans="1:37" s="1857" customFormat="1" ht="18" customHeight="1">
      <c r="A17" s="1201" t="s">
        <v>1386</v>
      </c>
      <c r="B17" s="347" t="s">
        <v>1422</v>
      </c>
      <c r="C17" s="24">
        <f ca="1">ROUND(F17*(F43+INDIRECT("'数据-取费表'!S"&amp;$G$1))/10000,0)</f>
        <v>2653</v>
      </c>
      <c r="D17" s="347" t="s">
        <v>1423</v>
      </c>
      <c r="E17" s="347" t="s">
        <v>1424</v>
      </c>
      <c r="F17" s="26">
        <f>'数据-取费表'!B35</f>
        <v>250</v>
      </c>
      <c r="G17" s="1853"/>
      <c r="H17" s="1201" t="s">
        <v>1032</v>
      </c>
      <c r="I17" s="347" t="s">
        <v>1425</v>
      </c>
      <c r="J17" s="24">
        <f ca="1">ROUND(IF(项目基本情况!B11="自然人",J5*M17,J18+J19+J20),1)</f>
        <v>321.5</v>
      </c>
      <c r="K17" s="2948" t="s">
        <v>1426</v>
      </c>
      <c r="L17" s="294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382</v>
      </c>
      <c r="D18" s="347" t="s">
        <v>1417</v>
      </c>
      <c r="E18" s="347" t="s">
        <v>1418</v>
      </c>
      <c r="F18" s="367">
        <f>'数据-取费表'!B36</f>
        <v>1.4999999999999999E-2</v>
      </c>
      <c r="G18" s="1853"/>
      <c r="H18" s="1201" t="s">
        <v>1031</v>
      </c>
      <c r="I18" s="347" t="s">
        <v>1429</v>
      </c>
      <c r="J18" s="24">
        <f ca="1">ROUND(J5*M18/(1+'数据-取费表'!C42),2)</f>
        <v>0</v>
      </c>
      <c r="K18" s="294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29264</v>
      </c>
      <c r="D19" s="140" t="s">
        <v>1432</v>
      </c>
      <c r="E19" s="2952"/>
      <c r="F19" s="26"/>
      <c r="G19" s="1850"/>
      <c r="H19" s="1201" t="s">
        <v>1033</v>
      </c>
      <c r="I19" s="347" t="s">
        <v>1433</v>
      </c>
      <c r="J19" s="24">
        <f ca="1">IF(K19="按租金收入计税",ROUND(J5*M19,2),ROUND(C29*M19*0.7,2))</f>
        <v>298.83</v>
      </c>
      <c r="K19" s="1827" t="s">
        <v>1434</v>
      </c>
      <c r="L19" s="347" t="s">
        <v>1418</v>
      </c>
      <c r="M19" s="367">
        <f>IF(K19="按租金收入计税",'数据-取费表'!B51,'数据-取费表'!B50)</f>
        <v>1.2E-2</v>
      </c>
    </row>
    <row r="20" spans="1:37" s="1857" customFormat="1" ht="18" customHeight="1">
      <c r="A20" s="1201" t="s">
        <v>1036</v>
      </c>
      <c r="B20" s="347" t="s">
        <v>1435</v>
      </c>
      <c r="C20" s="24">
        <f ca="1">ROUND(C19*F20,0)</f>
        <v>585</v>
      </c>
      <c r="D20" s="369" t="s">
        <v>1436</v>
      </c>
      <c r="E20" s="347" t="s">
        <v>1418</v>
      </c>
      <c r="F20" s="367">
        <f>'数据-取费表'!B37</f>
        <v>0.02</v>
      </c>
      <c r="G20" s="1853"/>
      <c r="H20" s="1201" t="s">
        <v>1385</v>
      </c>
      <c r="I20" s="164" t="s">
        <v>1437</v>
      </c>
      <c r="J20" s="25">
        <f ca="1">ROUND(M20*M21/10000,2)</f>
        <v>22.63</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18855.57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2"/>
      <c r="F22" s="26"/>
      <c r="G22" s="1850"/>
      <c r="H22" s="1201" t="s">
        <v>1036</v>
      </c>
      <c r="I22" s="347" t="s">
        <v>1445</v>
      </c>
      <c r="J22" s="24">
        <f ca="1">ROUND(J14*M22,1)</f>
        <v>533.6</v>
      </c>
      <c r="K22" s="294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2152</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4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52"/>
      <c r="F25" s="26"/>
      <c r="G25" s="1850"/>
      <c r="H25" s="1329" t="s">
        <v>1028</v>
      </c>
      <c r="I25" s="1344" t="s">
        <v>1459</v>
      </c>
      <c r="J25" s="355">
        <f ca="1">J5-J16</f>
        <v>-855</v>
      </c>
      <c r="K25" s="1345" t="s">
        <v>1460</v>
      </c>
      <c r="L25" s="1346"/>
      <c r="M25" s="1347"/>
    </row>
    <row r="26" spans="1:37">
      <c r="A26" s="1201" t="s">
        <v>1031</v>
      </c>
      <c r="B26" s="347" t="s">
        <v>1461</v>
      </c>
      <c r="C26" s="24">
        <f ca="1">ROUND((C19+C20)*F26,0)</f>
        <v>895</v>
      </c>
      <c r="D26" s="369" t="s">
        <v>1462</v>
      </c>
      <c r="E26" s="358" t="s">
        <v>1463</v>
      </c>
      <c r="F26" s="357">
        <f ca="1">INDIRECT("'数据-取费表'!q"&amp;$G$1)</f>
        <v>0.03</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5.9999999999999995E-4</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35575</v>
      </c>
      <c r="D29" s="1342"/>
      <c r="E29" s="1340"/>
      <c r="F29" s="1343"/>
      <c r="G29" s="1853"/>
      <c r="H29" s="380" t="s">
        <v>1030</v>
      </c>
      <c r="I29" s="381" t="s">
        <v>1475</v>
      </c>
      <c r="J29" s="382">
        <f ca="1">ROUND(J26/(1+F40)^F41,0)</f>
        <v>0</v>
      </c>
      <c r="K29" s="383" t="s">
        <v>1476</v>
      </c>
      <c r="L29" s="384"/>
      <c r="M29" s="385">
        <f ca="1">INDIRECT("'数据-取费表'!k"&amp;$G$1)</f>
        <v>89683.34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1042</v>
      </c>
      <c r="D30" s="1337" t="s">
        <v>1421</v>
      </c>
      <c r="E30" s="2949"/>
      <c r="F30" s="1294"/>
      <c r="G30" s="1850"/>
      <c r="H30" s="745"/>
      <c r="I30" s="746"/>
      <c r="J30" s="747"/>
      <c r="K30" s="748"/>
      <c r="L30" s="749"/>
      <c r="M30" s="750"/>
    </row>
    <row r="31" spans="1:37" ht="18" customHeight="1">
      <c r="A31" s="1201" t="s">
        <v>1032</v>
      </c>
      <c r="B31" s="347" t="s">
        <v>1425</v>
      </c>
      <c r="C31" s="24">
        <f ca="1">ROUND(IF(项目基本情况!B11="自然人",C5*F31,C32+C33+C34),1)</f>
        <v>431.2</v>
      </c>
      <c r="D31" s="2948" t="s">
        <v>1426</v>
      </c>
      <c r="E31" s="294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125.71</v>
      </c>
      <c r="D32" s="294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282.83999999999997</v>
      </c>
      <c r="D33" s="1827" t="s">
        <v>3321</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22.63</v>
      </c>
      <c r="D34" s="370" t="s">
        <v>1438</v>
      </c>
      <c r="E34" s="347" t="s">
        <v>1439</v>
      </c>
      <c r="F34" s="371">
        <f>'数据-取费表'!B52</f>
        <v>12</v>
      </c>
      <c r="G34" s="1850"/>
      <c r="H34" s="745"/>
      <c r="I34" s="1859"/>
      <c r="J34" s="1860"/>
      <c r="K34" s="1862"/>
      <c r="L34" s="1863"/>
      <c r="M34" s="1863"/>
    </row>
    <row r="35" spans="1:18" ht="18" customHeight="1">
      <c r="A35" s="1353"/>
      <c r="B35" s="1351"/>
      <c r="C35" s="29"/>
      <c r="D35" s="373"/>
      <c r="E35" s="347" t="s">
        <v>1443</v>
      </c>
      <c r="F35" s="348">
        <f ca="1">INDIRECT("'数据-取费表'!r"&amp;$G$1)</f>
        <v>18855.57</v>
      </c>
      <c r="G35" s="1850"/>
      <c r="H35" s="745"/>
      <c r="I35" s="1859"/>
      <c r="J35" s="1860"/>
      <c r="K35" s="1861"/>
      <c r="L35" s="1858"/>
      <c r="M35" s="1858"/>
    </row>
    <row r="36" spans="1:18" ht="18" customHeight="1">
      <c r="A36" s="1352" t="s">
        <v>1036</v>
      </c>
      <c r="B36" s="347" t="s">
        <v>1445</v>
      </c>
      <c r="C36" s="24">
        <f ca="1">ROUND(C29*F36,1)</f>
        <v>533.6</v>
      </c>
      <c r="D36" s="294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53.4</v>
      </c>
      <c r="D37" s="294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23.6</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1315</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29625</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31.14</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3303</v>
      </c>
      <c r="D43" s="383" t="s">
        <v>1484</v>
      </c>
      <c r="E43" s="384" t="s">
        <v>1485</v>
      </c>
      <c r="F43" s="385">
        <f ca="1">INDIRECT("'数据-取费表'!k"&amp;$G$1)</f>
        <v>89683.34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-85836</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3322</v>
      </c>
      <c r="K47" s="1881" t="s">
        <v>1523</v>
      </c>
      <c r="L47" s="1882">
        <f ca="1">INDIRECT("'数据-取费表'!d"&amp;$G$1)</f>
        <v>50</v>
      </c>
      <c r="M47" s="1837" t="str">
        <f>IF(ISNUMBER(FIND("住宅",C1)),"住宅","非住宅")</f>
        <v>非住宅</v>
      </c>
      <c r="O47" s="1883" t="s">
        <v>1037</v>
      </c>
      <c r="P47" s="1884" t="s">
        <v>1524</v>
      </c>
      <c r="Q47" s="1885">
        <f ca="1">C40+J29</f>
        <v>29625</v>
      </c>
      <c r="R47" s="1885" t="s">
        <v>1525</v>
      </c>
    </row>
    <row r="48" spans="1:18" s="1841" customFormat="1" ht="28.5" thickBot="1">
      <c r="A48" s="1360" t="s">
        <v>1132</v>
      </c>
      <c r="B48" s="345" t="s">
        <v>1397</v>
      </c>
      <c r="C48" s="2951">
        <f ca="1">C49+C53+C55</f>
        <v>0</v>
      </c>
      <c r="D48" s="1362"/>
      <c r="E48" s="1363"/>
      <c r="F48" s="1181"/>
      <c r="G48" s="792"/>
      <c r="H48" s="793"/>
      <c r="I48" s="1886" t="s">
        <v>1526</v>
      </c>
      <c r="J48" s="1887" t="s">
        <v>3323</v>
      </c>
      <c r="K48" s="1888" t="s">
        <v>1527</v>
      </c>
      <c r="L48" s="1889">
        <f ca="1">INDIRECT("'数据-取费表'!f"&amp;$G$1)</f>
        <v>33.64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3021</v>
      </c>
      <c r="E49" s="1829" t="s">
        <v>1487</v>
      </c>
      <c r="F49" s="1281"/>
      <c r="G49" s="1890"/>
      <c r="H49" s="793"/>
      <c r="I49" s="1886" t="s">
        <v>1530</v>
      </c>
      <c r="J49" s="1891"/>
      <c r="K49" s="1888" t="s">
        <v>1531</v>
      </c>
      <c r="L49" s="1892"/>
      <c r="O49" s="1893" t="s">
        <v>1039</v>
      </c>
      <c r="P49" s="1884" t="s">
        <v>1532</v>
      </c>
      <c r="Q49" s="1885">
        <f ca="1">C29</f>
        <v>35575</v>
      </c>
      <c r="R49" s="1885" t="s">
        <v>1525</v>
      </c>
    </row>
    <row r="50" spans="1:18" s="1841" customFormat="1" ht="13.5" thickBot="1">
      <c r="A50" s="1195"/>
      <c r="B50" s="1198"/>
      <c r="C50" s="1368"/>
      <c r="D50" s="1172"/>
      <c r="E50" s="1277" t="s">
        <v>1402</v>
      </c>
      <c r="F50" s="1278">
        <f ca="1">F7</f>
        <v>89683.34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-29337</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31.14</v>
      </c>
      <c r="R52" s="1885" t="s">
        <v>1542</v>
      </c>
    </row>
    <row r="53" spans="1:18" s="1841" customFormat="1" ht="24.75" thickBot="1">
      <c r="A53" s="1405" t="s">
        <v>1134</v>
      </c>
      <c r="B53" s="1830" t="s">
        <v>1405</v>
      </c>
      <c r="C53" s="361">
        <f ca="1">ROUND(IF(F53="押一",C49/12*F11,IF(F53="押二",C49/12*2*F11,IF(F53="押三",C49/12*3*F11,C54*F11))),0)</f>
        <v>0</v>
      </c>
      <c r="D53" s="1823" t="s">
        <v>3028</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31.14</v>
      </c>
      <c r="K53" s="3292" t="s">
        <v>1544</v>
      </c>
      <c r="L53" s="3293"/>
      <c r="O53" s="1883" t="s">
        <v>1043</v>
      </c>
      <c r="P53" s="1884" t="s">
        <v>1545</v>
      </c>
      <c r="Q53" s="1885">
        <f ca="1">Q47+Q48</f>
        <v>29625</v>
      </c>
      <c r="R53" s="1885" t="s">
        <v>1044</v>
      </c>
    </row>
    <row r="54" spans="1:18" s="1841" customFormat="1" ht="13.5" thickBot="1">
      <c r="A54" s="1406"/>
      <c r="B54" s="1824" t="s">
        <v>1384</v>
      </c>
      <c r="C54" s="1178"/>
      <c r="D54" s="1823"/>
      <c r="E54" s="295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2950"/>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35575</v>
      </c>
      <c r="D56" s="1913"/>
      <c r="E56" s="1914"/>
      <c r="F56" s="1906"/>
      <c r="I56" s="1915" t="s">
        <v>1550</v>
      </c>
      <c r="J56" s="1916" t="s">
        <v>3316</v>
      </c>
      <c r="K56" s="1886" t="s">
        <v>1551</v>
      </c>
      <c r="L56" s="1889" t="str">
        <f ca="1">IF(L48&lt;J51,"——",L48-J53)</f>
        <v>——</v>
      </c>
      <c r="O56" s="1883" t="s">
        <v>1037</v>
      </c>
      <c r="P56" s="1884" t="s">
        <v>1524</v>
      </c>
      <c r="Q56" s="1885">
        <f ca="1">C40+J29</f>
        <v>29625</v>
      </c>
      <c r="R56" s="1885" t="s">
        <v>1525</v>
      </c>
    </row>
    <row r="57" spans="1:18" s="1841" customFormat="1" ht="24.75" thickBot="1">
      <c r="A57" s="1917"/>
      <c r="B57" s="1169" t="s">
        <v>1474</v>
      </c>
      <c r="C57" s="282">
        <f ca="1">C29</f>
        <v>35575</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3598</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3010.9</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2988.3</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22.63</v>
      </c>
      <c r="D62" s="1184" t="s">
        <v>1493</v>
      </c>
      <c r="E62" s="1169" t="s">
        <v>1494</v>
      </c>
      <c r="F62" s="371">
        <f t="shared" si="0"/>
        <v>12</v>
      </c>
      <c r="I62" s="1928" t="s">
        <v>1566</v>
      </c>
      <c r="J62" s="1929" t="s">
        <v>1567</v>
      </c>
      <c r="K62" s="1929" t="s">
        <v>1568</v>
      </c>
      <c r="L62" s="1929" t="s">
        <v>1569</v>
      </c>
      <c r="M62" s="1930" t="s">
        <v>1570</v>
      </c>
      <c r="O62" s="1883" t="s">
        <v>1043</v>
      </c>
      <c r="P62" s="1884" t="s">
        <v>1571</v>
      </c>
      <c r="Q62" s="1885">
        <f ca="1">Q56+Q57</f>
        <v>29625</v>
      </c>
      <c r="R62" s="1885" t="s">
        <v>1044</v>
      </c>
    </row>
    <row r="63" spans="1:18" s="1841" customFormat="1" ht="13.5" thickBot="1">
      <c r="A63" s="372"/>
      <c r="B63" s="1175"/>
      <c r="C63" s="29"/>
      <c r="D63" s="1185"/>
      <c r="E63" s="1169" t="s">
        <v>1495</v>
      </c>
      <c r="F63" s="348">
        <f t="shared" ca="1" si="0"/>
        <v>18855.57</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533.6</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53.4</v>
      </c>
      <c r="D65" s="1183" t="s">
        <v>1450</v>
      </c>
      <c r="E65" s="1169" t="s">
        <v>1451</v>
      </c>
      <c r="F65" s="376">
        <f t="shared" ca="1" si="0"/>
        <v>1.5E-3</v>
      </c>
      <c r="I65" s="1928" t="s">
        <v>1575</v>
      </c>
      <c r="J65" s="1929">
        <v>40</v>
      </c>
      <c r="K65" s="1929">
        <v>30</v>
      </c>
      <c r="L65" s="1929">
        <v>50</v>
      </c>
      <c r="M65" s="1931">
        <v>0.02</v>
      </c>
      <c r="O65" s="1883" t="s">
        <v>1037</v>
      </c>
      <c r="P65" s="1884" t="s">
        <v>1576</v>
      </c>
      <c r="Q65" s="1885">
        <f ca="1">C40+J29</f>
        <v>29625</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-3598</v>
      </c>
      <c r="D67" s="1182" t="s">
        <v>1460</v>
      </c>
      <c r="E67" s="1187"/>
      <c r="F67" s="1188"/>
      <c r="O67" s="1893" t="s">
        <v>1039</v>
      </c>
      <c r="P67" s="1884" t="s">
        <v>1558</v>
      </c>
      <c r="Q67" s="1932">
        <f ca="1">L51</f>
        <v>-29337</v>
      </c>
      <c r="R67" s="1885" t="s">
        <v>1578</v>
      </c>
    </row>
    <row r="68" spans="1:18" s="1841" customFormat="1" ht="16.5" thickBot="1">
      <c r="A68" s="1166" t="s">
        <v>1029</v>
      </c>
      <c r="B68" s="1167" t="s">
        <v>1481</v>
      </c>
      <c r="C68" s="346">
        <f ca="1">ROUND(C67*(1-((1+F70)/(1+F68))^F69)/(F68-F70),0)</f>
        <v>-56211</v>
      </c>
      <c r="D68" s="1184" t="s">
        <v>1465</v>
      </c>
      <c r="E68" s="1169" t="s">
        <v>1466</v>
      </c>
      <c r="F68" s="357">
        <f ca="1">F40</f>
        <v>0.05</v>
      </c>
      <c r="O68" s="1893" t="s">
        <v>1040</v>
      </c>
      <c r="P68" s="1933" t="s">
        <v>1579</v>
      </c>
      <c r="Q68" s="1885">
        <f ca="1">ROUND(Q69-Q70*Q71,0)</f>
        <v>-1709</v>
      </c>
      <c r="R68" s="1885" t="s">
        <v>1048</v>
      </c>
    </row>
    <row r="69" spans="1:18" s="1841" customFormat="1" ht="13.5" thickBot="1">
      <c r="A69" s="1170"/>
      <c r="B69" s="1171"/>
      <c r="C69" s="351"/>
      <c r="D69" s="1189" t="s">
        <v>1469</v>
      </c>
      <c r="E69" s="1169" t="s">
        <v>1470</v>
      </c>
      <c r="F69" s="379">
        <f ca="1">F41</f>
        <v>31.14</v>
      </c>
      <c r="O69" s="1893" t="s">
        <v>1045</v>
      </c>
      <c r="P69" s="1933" t="s">
        <v>1580</v>
      </c>
      <c r="Q69" s="1885">
        <f ca="1">C39</f>
        <v>1315</v>
      </c>
      <c r="R69" s="1885" t="s">
        <v>1525</v>
      </c>
    </row>
    <row r="70" spans="1:18" s="1841" customFormat="1" ht="13.5" thickBot="1">
      <c r="A70" s="1173"/>
      <c r="B70" s="1174"/>
      <c r="C70" s="355"/>
      <c r="D70" s="1185"/>
      <c r="E70" s="1169" t="s">
        <v>1473</v>
      </c>
      <c r="F70" s="1275"/>
      <c r="O70" s="1893" t="s">
        <v>1046</v>
      </c>
      <c r="P70" s="1933" t="s">
        <v>1581</v>
      </c>
      <c r="Q70" s="1885">
        <f ca="1">C13</f>
        <v>35575</v>
      </c>
      <c r="R70" s="1885" t="s">
        <v>1525</v>
      </c>
    </row>
    <row r="71" spans="1:18" s="1841" customFormat="1" ht="13.5" thickBot="1">
      <c r="A71" s="1190" t="s">
        <v>1030</v>
      </c>
      <c r="B71" s="1191" t="s">
        <v>1483</v>
      </c>
      <c r="C71" s="382">
        <f ca="1">ROUND(C68*10000/F71,0)</f>
        <v>-6268</v>
      </c>
      <c r="D71" s="1192" t="s">
        <v>1484</v>
      </c>
      <c r="E71" s="1193" t="s">
        <v>1485</v>
      </c>
      <c r="F71" s="385">
        <f ca="1">F43</f>
        <v>89683.34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3024</v>
      </c>
      <c r="D75" s="1841"/>
      <c r="E75" s="1841"/>
      <c r="F75" s="1841"/>
      <c r="K75" s="1867"/>
      <c r="L75" s="1841"/>
      <c r="O75" s="1883" t="s">
        <v>1043</v>
      </c>
      <c r="P75" s="1884" t="s">
        <v>1545</v>
      </c>
      <c r="Q75" s="1885">
        <f ca="1">Q65+Q66</f>
        <v>29625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-1.2999999999999998</v>
      </c>
    </row>
    <row r="80" spans="1:18">
      <c r="B80" s="386" t="s">
        <v>1507</v>
      </c>
      <c r="C80" s="318">
        <f ca="1">ROUND(C75/C39,3)</f>
        <v>2.2999999999999998</v>
      </c>
    </row>
    <row r="81" spans="2:3">
      <c r="B81" s="314" t="s">
        <v>1508</v>
      </c>
      <c r="C81" s="282"/>
    </row>
    <row r="82" spans="2:3">
      <c r="B82" s="317" t="s">
        <v>1509</v>
      </c>
      <c r="C82" s="319">
        <f ca="1">1-C83</f>
        <v>-0.20100000000000007</v>
      </c>
    </row>
    <row r="83" spans="2:3">
      <c r="B83" s="317" t="s">
        <v>1510</v>
      </c>
      <c r="C83" s="318">
        <f ca="1">ROUND(C13/C40,3)</f>
        <v>1.2010000000000001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F3" sqref="F3"/>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20"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580" t="s">
        <v>2630</v>
      </c>
      <c r="C1" s="1633" t="s">
        <v>2518</v>
      </c>
      <c r="D1" s="1620"/>
      <c r="E1" s="2653"/>
      <c r="F1" s="2582"/>
      <c r="G1" s="1630" t="s">
        <v>2631</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2318</v>
      </c>
      <c r="B2" s="1418" t="e">
        <f ca="1">IF(C2="——",ROUND(C49*D3/10000,0),ROUND(C49*D3/10000,0)-D2)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2320</v>
      </c>
      <c r="B3" s="609" t="e">
        <f ca="1">IF(C2="——",C49,ROUND(B2*10000/D3,0))</f>
        <v>#DIV/0!</v>
      </c>
      <c r="C3" s="400" t="s">
        <v>2632</v>
      </c>
      <c r="D3" s="399">
        <f>IF(D1="",'数据-汇总表'!E3,SUMIF('数据-汇总表'!$C19:$C33,D1,'数据-汇总表'!$E19:$E33))</f>
        <v>405562.81999999995</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2633</v>
      </c>
      <c r="B4" s="402"/>
      <c r="C4" s="3235" t="s">
        <v>2634</v>
      </c>
      <c r="D4" s="3248"/>
      <c r="E4" s="3249" t="s">
        <v>2635</v>
      </c>
      <c r="F4" s="3250"/>
      <c r="G4" s="3235" t="s">
        <v>2636</v>
      </c>
      <c r="H4" s="3248"/>
      <c r="I4" s="3235" t="s">
        <v>2637</v>
      </c>
      <c r="J4" s="3248"/>
      <c r="K4" s="610" t="s">
        <v>2638</v>
      </c>
      <c r="L4" s="1130"/>
      <c r="M4" s="1131"/>
      <c r="N4" s="1131"/>
      <c r="O4" s="1131"/>
      <c r="P4" s="3251" t="s">
        <v>2639</v>
      </c>
      <c r="Q4" s="3252"/>
      <c r="R4" s="3257" t="s">
        <v>2635</v>
      </c>
      <c r="S4" s="3258"/>
      <c r="T4" s="3257" t="s">
        <v>2636</v>
      </c>
      <c r="U4" s="3258"/>
      <c r="V4" s="3244" t="s">
        <v>2637</v>
      </c>
      <c r="W4" s="3244"/>
      <c r="X4" s="1812"/>
      <c r="Y4" s="3257" t="s">
        <v>2639</v>
      </c>
      <c r="Z4" s="3258"/>
      <c r="AA4" s="3245" t="s">
        <v>2635</v>
      </c>
      <c r="AB4" s="3244" t="s">
        <v>2636</v>
      </c>
      <c r="AC4" s="3245" t="s">
        <v>2637</v>
      </c>
    </row>
    <row r="5" spans="1:29" ht="15">
      <c r="A5" s="404"/>
      <c r="B5" s="405"/>
      <c r="C5" s="3265" t="s">
        <v>2530</v>
      </c>
      <c r="D5" s="3266"/>
      <c r="E5" s="3272" t="s">
        <v>2531</v>
      </c>
      <c r="F5" s="3273"/>
      <c r="G5" s="3265" t="s">
        <v>2532</v>
      </c>
      <c r="H5" s="3266"/>
      <c r="I5" s="3265" t="s">
        <v>2533</v>
      </c>
      <c r="J5" s="3266"/>
      <c r="K5" s="610"/>
      <c r="L5" s="1130"/>
      <c r="M5" s="1131"/>
      <c r="N5" s="1131"/>
      <c r="O5" s="1131"/>
      <c r="P5" s="3253"/>
      <c r="Q5" s="3254"/>
      <c r="R5" s="3259"/>
      <c r="S5" s="3260"/>
      <c r="T5" s="3259"/>
      <c r="U5" s="3260"/>
      <c r="V5" s="3244"/>
      <c r="W5" s="3244"/>
      <c r="X5" s="1812"/>
      <c r="Y5" s="3259"/>
      <c r="Z5" s="3260"/>
      <c r="AA5" s="3246"/>
      <c r="AB5" s="3244"/>
      <c r="AC5" s="3246"/>
    </row>
    <row r="6" spans="1:29" ht="15.75" thickBot="1">
      <c r="A6" s="406"/>
      <c r="B6" s="407"/>
      <c r="C6" s="3263" t="s">
        <v>2534</v>
      </c>
      <c r="D6" s="3264"/>
      <c r="E6" s="3270" t="s">
        <v>2534</v>
      </c>
      <c r="F6" s="3271"/>
      <c r="G6" s="3263" t="s">
        <v>2534</v>
      </c>
      <c r="H6" s="3264"/>
      <c r="I6" s="3263" t="s">
        <v>2534</v>
      </c>
      <c r="J6" s="3264"/>
      <c r="K6" s="610" t="s">
        <v>2535</v>
      </c>
      <c r="L6" s="1130"/>
      <c r="M6" s="1131"/>
      <c r="N6" s="1131"/>
      <c r="O6" s="1131"/>
      <c r="P6" s="3255"/>
      <c r="Q6" s="3256"/>
      <c r="R6" s="3259"/>
      <c r="S6" s="3260"/>
      <c r="T6" s="3261"/>
      <c r="U6" s="3262"/>
      <c r="V6" s="3244"/>
      <c r="W6" s="3244"/>
      <c r="X6" s="1812"/>
      <c r="Y6" s="3261"/>
      <c r="Z6" s="3262"/>
      <c r="AA6" s="3247"/>
      <c r="AB6" s="3244"/>
      <c r="AC6" s="3247"/>
    </row>
    <row r="7" spans="1:29" s="117" customFormat="1" ht="15.75" thickBot="1">
      <c r="A7" s="408" t="s">
        <v>2536</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7" t="s">
        <v>2537</v>
      </c>
      <c r="Q7" s="3269"/>
      <c r="R7" s="770" t="s">
        <v>17</v>
      </c>
      <c r="S7" s="771">
        <f t="shared" ref="S7:S15" si="0">F7</f>
        <v>0</v>
      </c>
      <c r="T7" s="770" t="s">
        <v>17</v>
      </c>
      <c r="U7" s="771">
        <f t="shared" ref="U7:U15" si="1">H7</f>
        <v>0</v>
      </c>
      <c r="V7" s="770" t="s">
        <v>17</v>
      </c>
      <c r="W7" s="771">
        <f t="shared" ref="W7:W15" si="2">J7</f>
        <v>0</v>
      </c>
      <c r="X7" s="772"/>
      <c r="Y7" s="3267" t="s">
        <v>2537</v>
      </c>
      <c r="Z7" s="3268"/>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7" t="s">
        <v>2540</v>
      </c>
      <c r="Q8" s="3268"/>
      <c r="R8" s="770" t="s">
        <v>17</v>
      </c>
      <c r="S8" s="771">
        <f t="shared" si="0"/>
        <v>0</v>
      </c>
      <c r="T8" s="770" t="s">
        <v>17</v>
      </c>
      <c r="U8" s="771">
        <f t="shared" si="1"/>
        <v>0</v>
      </c>
      <c r="V8" s="770" t="s">
        <v>17</v>
      </c>
      <c r="W8" s="771">
        <f t="shared" si="2"/>
        <v>0</v>
      </c>
      <c r="X8" s="772"/>
      <c r="Y8" s="3267" t="s">
        <v>2540</v>
      </c>
      <c r="Z8" s="3268"/>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7" t="s">
        <v>2543</v>
      </c>
      <c r="Q9" s="1794" t="str">
        <f t="shared" ref="Q9:Q15" si="6">B9</f>
        <v>用途</v>
      </c>
      <c r="R9" s="770" t="s">
        <v>17</v>
      </c>
      <c r="S9" s="771">
        <f t="shared" si="0"/>
        <v>100</v>
      </c>
      <c r="T9" s="770" t="s">
        <v>17</v>
      </c>
      <c r="U9" s="771">
        <f t="shared" si="1"/>
        <v>100</v>
      </c>
      <c r="V9" s="770" t="s">
        <v>17</v>
      </c>
      <c r="W9" s="771">
        <f t="shared" si="2"/>
        <v>100</v>
      </c>
      <c r="X9" s="772"/>
      <c r="Y9" s="3075"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7"/>
      <c r="Q10" s="1794"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7"/>
      <c r="Q11" s="1794"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7"/>
      <c r="Q12" s="1794">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7"/>
      <c r="Q13" s="1794">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7"/>
      <c r="Q14" s="1794">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71.25">
      <c r="A15" s="440" t="s">
        <v>2547</v>
      </c>
      <c r="B15" s="69" t="s">
        <v>2641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86" t="s">
        <v>2548</v>
      </c>
      <c r="Q15" s="1809" t="str">
        <f t="shared" si="6"/>
        <v>商业繁华度</v>
      </c>
      <c r="R15" s="774" t="s">
        <v>17</v>
      </c>
      <c r="S15" s="775">
        <f t="shared" si="0"/>
        <v>100</v>
      </c>
      <c r="T15" s="774" t="s">
        <v>17</v>
      </c>
      <c r="U15" s="775">
        <f t="shared" si="1"/>
        <v>100</v>
      </c>
      <c r="V15" s="774" t="s">
        <v>17</v>
      </c>
      <c r="W15" s="775">
        <f t="shared" si="2"/>
        <v>100</v>
      </c>
      <c r="X15" s="1812"/>
      <c r="Y15" s="3240" t="s">
        <v>2548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87"/>
      <c r="Q16" s="1809"/>
      <c r="R16" s="774"/>
      <c r="S16" s="775"/>
      <c r="T16" s="774"/>
      <c r="U16" s="775"/>
      <c r="V16" s="774"/>
      <c r="W16" s="775"/>
      <c r="X16" s="1812"/>
      <c r="Y16" s="3241"/>
      <c r="Z16" s="1813"/>
      <c r="AA16" s="1810">
        <v>1</v>
      </c>
      <c r="AB16" s="1810">
        <v>1</v>
      </c>
      <c r="AC16" s="1810">
        <v>1</v>
      </c>
    </row>
    <row r="17" spans="1:29" ht="85.5">
      <c r="A17" s="428"/>
      <c r="B17" s="451" t="s">
        <v>2088</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87"/>
      <c r="Q17" s="1809" t="str">
        <f>B17</f>
        <v>交通便捷度</v>
      </c>
      <c r="R17" s="774" t="s">
        <v>17</v>
      </c>
      <c r="S17" s="775">
        <f>F17</f>
        <v>100</v>
      </c>
      <c r="T17" s="774" t="s">
        <v>17</v>
      </c>
      <c r="U17" s="775">
        <f>H17</f>
        <v>100</v>
      </c>
      <c r="V17" s="774" t="s">
        <v>17</v>
      </c>
      <c r="W17" s="775">
        <f>J17</f>
        <v>100</v>
      </c>
      <c r="X17" s="1812"/>
      <c r="Y17" s="3241"/>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87"/>
      <c r="Q18" s="1809"/>
      <c r="R18" s="774"/>
      <c r="S18" s="775"/>
      <c r="T18" s="774"/>
      <c r="U18" s="775"/>
      <c r="V18" s="774"/>
      <c r="W18" s="775"/>
      <c r="X18" s="1812"/>
      <c r="Y18" s="3241"/>
      <c r="Z18" s="1813"/>
      <c r="AA18" s="1810">
        <v>1</v>
      </c>
      <c r="AB18" s="1810">
        <v>1</v>
      </c>
      <c r="AC18" s="1810">
        <v>1</v>
      </c>
    </row>
    <row r="19" spans="1:29" ht="42.75">
      <c r="A19" s="428"/>
      <c r="B19" s="451" t="s">
        <v>2642</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87"/>
      <c r="Q19" s="1809" t="str">
        <f>B19</f>
        <v>公共配套设施</v>
      </c>
      <c r="R19" s="774" t="s">
        <v>17</v>
      </c>
      <c r="S19" s="775">
        <f>F19</f>
        <v>100</v>
      </c>
      <c r="T19" s="774" t="s">
        <v>17</v>
      </c>
      <c r="U19" s="775">
        <f>H19</f>
        <v>100</v>
      </c>
      <c r="V19" s="774" t="s">
        <v>17</v>
      </c>
      <c r="W19" s="775">
        <f>J19</f>
        <v>100</v>
      </c>
      <c r="X19" s="1812"/>
      <c r="Y19" s="3241"/>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87"/>
      <c r="Q20" s="1809"/>
      <c r="R20" s="774"/>
      <c r="S20" s="775"/>
      <c r="T20" s="774"/>
      <c r="U20" s="775"/>
      <c r="V20" s="774"/>
      <c r="W20" s="775"/>
      <c r="X20" s="1812"/>
      <c r="Y20" s="3241"/>
      <c r="Z20" s="1813"/>
      <c r="AA20" s="1810">
        <v>1</v>
      </c>
      <c r="AB20" s="1810">
        <v>1</v>
      </c>
      <c r="AC20" s="1810">
        <v>1</v>
      </c>
    </row>
    <row r="21" spans="1:29" ht="28.5">
      <c r="A21" s="428"/>
      <c r="B21" s="1384" t="s">
        <v>2643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87"/>
      <c r="Q21" s="1809" t="str">
        <f>B21</f>
        <v>基础设施水平</v>
      </c>
      <c r="R21" s="774" t="s">
        <v>17</v>
      </c>
      <c r="S21" s="775">
        <f>F21</f>
        <v>100</v>
      </c>
      <c r="T21" s="774" t="s">
        <v>17</v>
      </c>
      <c r="U21" s="775">
        <f>H21</f>
        <v>100</v>
      </c>
      <c r="V21" s="774" t="s">
        <v>17</v>
      </c>
      <c r="W21" s="775">
        <f>J21</f>
        <v>100</v>
      </c>
      <c r="X21" s="1812"/>
      <c r="Y21" s="3241"/>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87"/>
      <c r="Q22" s="1809"/>
      <c r="R22" s="774"/>
      <c r="S22" s="775"/>
      <c r="T22" s="774"/>
      <c r="U22" s="775"/>
      <c r="V22" s="774"/>
      <c r="W22" s="775"/>
      <c r="X22" s="1812"/>
      <c r="Y22" s="3241"/>
      <c r="Z22" s="1813"/>
      <c r="AA22" s="1810">
        <v>1</v>
      </c>
      <c r="AB22" s="1810">
        <v>1</v>
      </c>
      <c r="AC22" s="1810">
        <v>1</v>
      </c>
    </row>
    <row r="23" spans="1:29" ht="57">
      <c r="A23" s="428"/>
      <c r="B23" s="451" t="s">
        <v>2093</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87"/>
      <c r="Q23" s="1809" t="str">
        <f>B23</f>
        <v>自然及人文环境</v>
      </c>
      <c r="R23" s="774" t="s">
        <v>17</v>
      </c>
      <c r="S23" s="775">
        <f>F23</f>
        <v>100</v>
      </c>
      <c r="T23" s="774" t="s">
        <v>17</v>
      </c>
      <c r="U23" s="775">
        <f>H23</f>
        <v>100</v>
      </c>
      <c r="V23" s="774" t="s">
        <v>17</v>
      </c>
      <c r="W23" s="775">
        <f>J23</f>
        <v>100</v>
      </c>
      <c r="X23" s="1812"/>
      <c r="Y23" s="3241"/>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87"/>
      <c r="Q24" s="1809"/>
      <c r="R24" s="774"/>
      <c r="S24" s="775"/>
      <c r="T24" s="774"/>
      <c r="U24" s="775"/>
      <c r="V24" s="774"/>
      <c r="W24" s="775"/>
      <c r="X24" s="1812"/>
      <c r="Y24" s="3241"/>
      <c r="Z24" s="1813"/>
      <c r="AA24" s="1810">
        <v>1</v>
      </c>
      <c r="AB24" s="1810">
        <v>1</v>
      </c>
      <c r="AC24" s="1810">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87"/>
      <c r="Q25" s="1809" t="str">
        <f t="shared" ref="Q25:Q46" si="11">B25</f>
        <v>临街状况</v>
      </c>
      <c r="R25" s="774" t="s">
        <v>17</v>
      </c>
      <c r="S25" s="775">
        <f>F25</f>
        <v>100</v>
      </c>
      <c r="T25" s="774" t="s">
        <v>17</v>
      </c>
      <c r="U25" s="775">
        <f>H25</f>
        <v>100</v>
      </c>
      <c r="V25" s="774" t="s">
        <v>17</v>
      </c>
      <c r="W25" s="775">
        <f>J25</f>
        <v>100</v>
      </c>
      <c r="X25" s="1812"/>
      <c r="Y25" s="3241"/>
      <c r="Z25" s="1813" t="str">
        <f>Q25</f>
        <v>临街状况</v>
      </c>
      <c r="AA25" s="1810">
        <f t="shared" si="3"/>
        <v>1</v>
      </c>
      <c r="AB25" s="1810">
        <f t="shared" si="4"/>
        <v>1</v>
      </c>
      <c r="AC25" s="1810">
        <f t="shared" si="5"/>
        <v>1</v>
      </c>
    </row>
    <row r="26" spans="1:29" ht="15">
      <c r="A26" s="428"/>
      <c r="B26" s="1386" t="s">
        <v>2645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87"/>
      <c r="Q26" s="1809" t="str">
        <f t="shared" si="11"/>
        <v>平面位置/可视性</v>
      </c>
      <c r="R26" s="774" t="s">
        <v>17</v>
      </c>
      <c r="S26" s="775">
        <f>F26</f>
        <v>100</v>
      </c>
      <c r="T26" s="774" t="s">
        <v>17</v>
      </c>
      <c r="U26" s="775">
        <f>H26</f>
        <v>100</v>
      </c>
      <c r="V26" s="774" t="s">
        <v>17</v>
      </c>
      <c r="W26" s="775">
        <f>J26</f>
        <v>100</v>
      </c>
      <c r="X26" s="1812"/>
      <c r="Y26" s="3241"/>
      <c r="Z26" s="1813" t="str">
        <f>Q26</f>
        <v>平面位置/可视性</v>
      </c>
      <c r="AA26" s="1810">
        <f t="shared" si="3"/>
        <v>1</v>
      </c>
      <c r="AB26" s="1810">
        <f t="shared" si="4"/>
        <v>1</v>
      </c>
      <c r="AC26" s="1810">
        <f t="shared" si="5"/>
        <v>1</v>
      </c>
    </row>
    <row r="27" spans="1:29" s="117" customFormat="1" ht="15">
      <c r="A27" s="431"/>
      <c r="B27" s="451" t="s">
        <v>2646</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87"/>
      <c r="Q27" s="1794" t="str">
        <f t="shared" si="11"/>
        <v>人流量</v>
      </c>
      <c r="R27" s="770" t="s">
        <v>17</v>
      </c>
      <c r="S27" s="771">
        <f>F27</f>
        <v>100</v>
      </c>
      <c r="T27" s="770" t="s">
        <v>17</v>
      </c>
      <c r="U27" s="771">
        <f>H27</f>
        <v>100</v>
      </c>
      <c r="V27" s="770" t="s">
        <v>17</v>
      </c>
      <c r="W27" s="771">
        <f>J27</f>
        <v>100</v>
      </c>
      <c r="X27" s="772"/>
      <c r="Y27" s="3241"/>
      <c r="Z27" s="55" t="str">
        <f>Q27</f>
        <v>人流量</v>
      </c>
      <c r="AA27" s="1810">
        <f>D27/F27</f>
        <v>1</v>
      </c>
      <c r="AB27" s="1810">
        <f>D27/H27</f>
        <v>1</v>
      </c>
      <c r="AC27" s="1810">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8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4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87"/>
      <c r="Q29" s="1809">
        <f t="shared" si="11"/>
        <v>111</v>
      </c>
      <c r="R29" s="774" t="s">
        <v>17</v>
      </c>
      <c r="S29" s="775">
        <f t="shared" si="12"/>
        <v>100</v>
      </c>
      <c r="T29" s="774" t="s">
        <v>17</v>
      </c>
      <c r="U29" s="775">
        <f t="shared" si="13"/>
        <v>100</v>
      </c>
      <c r="V29" s="774" t="s">
        <v>17</v>
      </c>
      <c r="W29" s="775">
        <f t="shared" si="14"/>
        <v>100</v>
      </c>
      <c r="X29" s="1812"/>
      <c r="Y29" s="324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87"/>
      <c r="Q30" s="1809">
        <f t="shared" si="11"/>
        <v>111</v>
      </c>
      <c r="R30" s="774" t="s">
        <v>17</v>
      </c>
      <c r="S30" s="775">
        <f t="shared" si="12"/>
        <v>100</v>
      </c>
      <c r="T30" s="774" t="s">
        <v>17</v>
      </c>
      <c r="U30" s="775">
        <f t="shared" si="13"/>
        <v>100</v>
      </c>
      <c r="V30" s="774" t="s">
        <v>17</v>
      </c>
      <c r="W30" s="775">
        <f t="shared" si="14"/>
        <v>100</v>
      </c>
      <c r="X30" s="1812"/>
      <c r="Y30" s="324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87"/>
      <c r="Q31" s="1809">
        <f t="shared" si="11"/>
        <v>111</v>
      </c>
      <c r="R31" s="774" t="s">
        <v>17</v>
      </c>
      <c r="S31" s="775">
        <f t="shared" si="12"/>
        <v>100</v>
      </c>
      <c r="T31" s="774" t="s">
        <v>17</v>
      </c>
      <c r="U31" s="775">
        <f t="shared" si="13"/>
        <v>100</v>
      </c>
      <c r="V31" s="774" t="s">
        <v>17</v>
      </c>
      <c r="W31" s="775">
        <f t="shared" si="14"/>
        <v>100</v>
      </c>
      <c r="X31" s="1812"/>
      <c r="Y31" s="3241"/>
      <c r="Z31" s="1813">
        <f t="shared" si="15"/>
        <v>111</v>
      </c>
      <c r="AA31" s="1810">
        <f t="shared" si="3"/>
        <v>1</v>
      </c>
      <c r="AB31" s="1810">
        <f t="shared" si="4"/>
        <v>1</v>
      </c>
      <c r="AC31" s="1810">
        <f t="shared" si="5"/>
        <v>1</v>
      </c>
    </row>
    <row r="32" spans="1:29" ht="15">
      <c r="A32" s="440" t="s">
        <v>2551</v>
      </c>
      <c r="B32" s="71" t="s">
        <v>2648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82" t="s">
        <v>2553</v>
      </c>
      <c r="Q32" s="1809" t="str">
        <f t="shared" si="11"/>
        <v>商业类型</v>
      </c>
      <c r="R32" s="774" t="s">
        <v>17</v>
      </c>
      <c r="S32" s="775">
        <f t="shared" si="12"/>
        <v>100</v>
      </c>
      <c r="T32" s="774" t="s">
        <v>17</v>
      </c>
      <c r="U32" s="775">
        <f t="shared" si="13"/>
        <v>100</v>
      </c>
      <c r="V32" s="774" t="s">
        <v>17</v>
      </c>
      <c r="W32" s="775">
        <f t="shared" si="14"/>
        <v>100</v>
      </c>
      <c r="X32" s="1812"/>
      <c r="Y32" s="3243" t="s">
        <v>2553</v>
      </c>
      <c r="Z32" s="1813" t="str">
        <f t="shared" si="15"/>
        <v>商业类型</v>
      </c>
      <c r="AA32" s="1810">
        <f t="shared" si="3"/>
        <v>1</v>
      </c>
      <c r="AB32" s="1810">
        <f t="shared" si="4"/>
        <v>1</v>
      </c>
      <c r="AC32" s="1810">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3"/>
      <c r="Q33" s="776" t="str">
        <f t="shared" si="11"/>
        <v>项目建筑规模</v>
      </c>
      <c r="R33" s="777" t="s">
        <v>17</v>
      </c>
      <c r="S33" s="778" t="e">
        <f t="shared" si="12"/>
        <v>#N/A</v>
      </c>
      <c r="T33" s="777" t="s">
        <v>17</v>
      </c>
      <c r="U33" s="778" t="e">
        <f t="shared" si="13"/>
        <v>#N/A</v>
      </c>
      <c r="V33" s="777" t="s">
        <v>17</v>
      </c>
      <c r="W33" s="778" t="e">
        <f t="shared" si="14"/>
        <v>#N/A</v>
      </c>
      <c r="X33" s="779"/>
      <c r="Y33" s="3243"/>
      <c r="Z33" s="780" t="str">
        <f t="shared" si="15"/>
        <v>项目建筑规模</v>
      </c>
      <c r="AA33" s="1810" t="e">
        <f t="shared" si="3"/>
        <v>#N/A</v>
      </c>
      <c r="AB33" s="1810" t="e">
        <f t="shared" si="4"/>
        <v>#N/A</v>
      </c>
      <c r="AC33" s="1810" t="e">
        <f t="shared" si="5"/>
        <v>#N/A</v>
      </c>
    </row>
    <row r="34" spans="1:29" ht="15">
      <c r="A34" s="472"/>
      <c r="B34" s="422" t="s">
        <v>2555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83"/>
      <c r="Q34" s="1809" t="str">
        <f t="shared" si="11"/>
        <v>建筑结构</v>
      </c>
      <c r="R34" s="774" t="s">
        <v>17</v>
      </c>
      <c r="S34" s="775">
        <f t="shared" si="12"/>
        <v>100</v>
      </c>
      <c r="T34" s="774" t="s">
        <v>17</v>
      </c>
      <c r="U34" s="775">
        <f t="shared" si="13"/>
        <v>100</v>
      </c>
      <c r="V34" s="774" t="s">
        <v>17</v>
      </c>
      <c r="W34" s="775">
        <f t="shared" si="14"/>
        <v>100</v>
      </c>
      <c r="X34" s="1812"/>
      <c r="Y34" s="3243"/>
      <c r="Z34" s="1813" t="str">
        <f t="shared" si="15"/>
        <v>建筑结构</v>
      </c>
      <c r="AA34" s="1810">
        <f t="shared" si="3"/>
        <v>1</v>
      </c>
      <c r="AB34" s="1810">
        <f t="shared" si="4"/>
        <v>1</v>
      </c>
      <c r="AC34" s="1810">
        <f t="shared" si="5"/>
        <v>1</v>
      </c>
    </row>
    <row r="35" spans="1:29" ht="15">
      <c r="A35" s="472"/>
      <c r="B35" s="422" t="s">
        <v>2649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83"/>
      <c r="Q35" s="1809" t="str">
        <f t="shared" si="11"/>
        <v>公共部分装修</v>
      </c>
      <c r="R35" s="774" t="s">
        <v>17</v>
      </c>
      <c r="S35" s="775">
        <f t="shared" si="12"/>
        <v>100</v>
      </c>
      <c r="T35" s="774" t="s">
        <v>17</v>
      </c>
      <c r="U35" s="775">
        <f t="shared" si="13"/>
        <v>100</v>
      </c>
      <c r="V35" s="774" t="s">
        <v>17</v>
      </c>
      <c r="W35" s="775">
        <f t="shared" si="14"/>
        <v>100</v>
      </c>
      <c r="X35" s="1812"/>
      <c r="Y35" s="3243"/>
      <c r="Z35" s="1813" t="str">
        <f t="shared" si="15"/>
        <v>公共部分装修</v>
      </c>
      <c r="AA35" s="1810">
        <f t="shared" si="3"/>
        <v>1</v>
      </c>
      <c r="AB35" s="1810">
        <f t="shared" si="4"/>
        <v>1</v>
      </c>
      <c r="AC35" s="1810">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3"/>
      <c r="Q36" s="1809" t="str">
        <f t="shared" si="11"/>
        <v>成新度</v>
      </c>
      <c r="R36" s="774" t="s">
        <v>17</v>
      </c>
      <c r="S36" s="775" t="e">
        <f t="shared" si="12"/>
        <v>#N/A</v>
      </c>
      <c r="T36" s="774" t="s">
        <v>17</v>
      </c>
      <c r="U36" s="775" t="e">
        <f t="shared" si="13"/>
        <v>#N/A</v>
      </c>
      <c r="V36" s="774" t="s">
        <v>17</v>
      </c>
      <c r="W36" s="775" t="e">
        <f t="shared" si="14"/>
        <v>#N/A</v>
      </c>
      <c r="X36" s="1812"/>
      <c r="Y36" s="3243"/>
      <c r="Z36" s="1813" t="str">
        <f t="shared" si="15"/>
        <v>成新度</v>
      </c>
      <c r="AA36" s="1810" t="e">
        <f t="shared" si="3"/>
        <v>#N/A</v>
      </c>
      <c r="AB36" s="1810" t="e">
        <f t="shared" si="4"/>
        <v>#N/A</v>
      </c>
      <c r="AC36" s="1810" t="e">
        <f t="shared" si="5"/>
        <v>#N/A</v>
      </c>
    </row>
    <row r="37" spans="1:29" s="117" customFormat="1" ht="15">
      <c r="A37" s="473"/>
      <c r="B37" s="422" t="s">
        <v>2651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83"/>
      <c r="Q37" s="1794" t="str">
        <f t="shared" si="11"/>
        <v>市政基础设施</v>
      </c>
      <c r="R37" s="770" t="s">
        <v>17</v>
      </c>
      <c r="S37" s="771">
        <f t="shared" si="12"/>
        <v>100</v>
      </c>
      <c r="T37" s="770" t="s">
        <v>17</v>
      </c>
      <c r="U37" s="771">
        <f t="shared" si="13"/>
        <v>100</v>
      </c>
      <c r="V37" s="770" t="s">
        <v>17</v>
      </c>
      <c r="W37" s="771">
        <f t="shared" si="14"/>
        <v>100</v>
      </c>
      <c r="X37" s="772"/>
      <c r="Y37" s="3243"/>
      <c r="Z37" s="55" t="str">
        <f t="shared" si="15"/>
        <v>市政基础设施</v>
      </c>
      <c r="AA37" s="773">
        <f t="shared" si="3"/>
        <v>1</v>
      </c>
      <c r="AB37" s="773">
        <f t="shared" si="4"/>
        <v>1</v>
      </c>
      <c r="AC37" s="773">
        <f t="shared" si="5"/>
        <v>1</v>
      </c>
    </row>
    <row r="38" spans="1:29" ht="15">
      <c r="A38" s="472"/>
      <c r="B38" s="422" t="s">
        <v>2652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83" t="s">
        <v>2553</v>
      </c>
      <c r="Q38" s="1809" t="str">
        <f t="shared" si="11"/>
        <v>业态</v>
      </c>
      <c r="R38" s="774" t="s">
        <v>17</v>
      </c>
      <c r="S38" s="775">
        <f t="shared" si="12"/>
        <v>100</v>
      </c>
      <c r="T38" s="774" t="s">
        <v>17</v>
      </c>
      <c r="U38" s="775">
        <f t="shared" si="13"/>
        <v>100</v>
      </c>
      <c r="V38" s="774" t="s">
        <v>17</v>
      </c>
      <c r="W38" s="775">
        <f t="shared" si="14"/>
        <v>100</v>
      </c>
      <c r="X38" s="1812"/>
      <c r="Y38" s="3243" t="s">
        <v>2553</v>
      </c>
      <c r="Z38" s="1813" t="str">
        <f t="shared" si="15"/>
        <v>业态</v>
      </c>
      <c r="AA38" s="1810">
        <f t="shared" si="3"/>
        <v>1</v>
      </c>
      <c r="AB38" s="1810">
        <f t="shared" si="4"/>
        <v>1</v>
      </c>
      <c r="AC38" s="1810">
        <f t="shared" si="5"/>
        <v>1</v>
      </c>
    </row>
    <row r="39" spans="1:29" ht="15">
      <c r="A39" s="472"/>
      <c r="B39" s="422" t="s">
        <v>2653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83"/>
      <c r="Q39" s="1809" t="str">
        <f t="shared" si="11"/>
        <v>层高</v>
      </c>
      <c r="R39" s="774" t="s">
        <v>17</v>
      </c>
      <c r="S39" s="775">
        <f t="shared" si="12"/>
        <v>100</v>
      </c>
      <c r="T39" s="774" t="s">
        <v>17</v>
      </c>
      <c r="U39" s="775">
        <f t="shared" si="13"/>
        <v>100</v>
      </c>
      <c r="V39" s="774" t="s">
        <v>17</v>
      </c>
      <c r="W39" s="775">
        <f t="shared" si="14"/>
        <v>100</v>
      </c>
      <c r="X39" s="1812"/>
      <c r="Y39" s="3243"/>
      <c r="Z39" s="1813" t="str">
        <f t="shared" si="15"/>
        <v>层高</v>
      </c>
      <c r="AA39" s="1810">
        <f t="shared" si="3"/>
        <v>1</v>
      </c>
      <c r="AB39" s="1810">
        <f t="shared" si="4"/>
        <v>1</v>
      </c>
      <c r="AC39" s="1810">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3"/>
      <c r="Q40" s="1809" t="str">
        <f t="shared" si="11"/>
        <v>单套建筑面积</v>
      </c>
      <c r="R40" s="774" t="s">
        <v>17</v>
      </c>
      <c r="S40" s="775">
        <f t="shared" si="12"/>
        <v>100</v>
      </c>
      <c r="T40" s="774" t="s">
        <v>17</v>
      </c>
      <c r="U40" s="775">
        <f t="shared" si="13"/>
        <v>100</v>
      </c>
      <c r="V40" s="774" t="s">
        <v>17</v>
      </c>
      <c r="W40" s="775">
        <f t="shared" si="14"/>
        <v>100</v>
      </c>
      <c r="X40" s="1812"/>
      <c r="Y40" s="3243"/>
      <c r="Z40" s="1813" t="str">
        <f t="shared" si="15"/>
        <v>单套建筑面积</v>
      </c>
      <c r="AA40" s="1810">
        <f t="shared" si="3"/>
        <v>1</v>
      </c>
      <c r="AB40" s="1810">
        <f t="shared" si="4"/>
        <v>1</v>
      </c>
      <c r="AC40" s="1810">
        <f t="shared" si="5"/>
        <v>1</v>
      </c>
    </row>
    <row r="41" spans="1:29" s="471" customFormat="1" ht="15">
      <c r="A41" s="468"/>
      <c r="B41" s="1811"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3"/>
      <c r="Q41" s="776" t="str">
        <f t="shared" si="11"/>
        <v>进深比</v>
      </c>
      <c r="R41" s="777" t="s">
        <v>17</v>
      </c>
      <c r="S41" s="778">
        <f t="shared" si="12"/>
        <v>100</v>
      </c>
      <c r="T41" s="777" t="s">
        <v>17</v>
      </c>
      <c r="U41" s="778">
        <f t="shared" si="13"/>
        <v>100</v>
      </c>
      <c r="V41" s="777" t="s">
        <v>17</v>
      </c>
      <c r="W41" s="778">
        <f t="shared" si="14"/>
        <v>100</v>
      </c>
      <c r="X41" s="779"/>
      <c r="Y41" s="3243"/>
      <c r="Z41" s="780" t="str">
        <f t="shared" si="15"/>
        <v>进深比</v>
      </c>
      <c r="AA41" s="1810">
        <f t="shared" si="3"/>
        <v>1</v>
      </c>
      <c r="AB41" s="1810">
        <f t="shared" si="4"/>
        <v>1</v>
      </c>
      <c r="AC41" s="1810">
        <f t="shared" si="5"/>
        <v>1</v>
      </c>
    </row>
    <row r="42" spans="1:29" ht="15">
      <c r="A42" s="472"/>
      <c r="B42" s="422" t="s">
        <v>2656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83"/>
      <c r="Q42" s="1809" t="str">
        <f t="shared" si="11"/>
        <v>内部装修</v>
      </c>
      <c r="R42" s="774" t="s">
        <v>17</v>
      </c>
      <c r="S42" s="775">
        <f t="shared" si="12"/>
        <v>100</v>
      </c>
      <c r="T42" s="774" t="s">
        <v>17</v>
      </c>
      <c r="U42" s="775">
        <f t="shared" si="13"/>
        <v>100</v>
      </c>
      <c r="V42" s="774" t="s">
        <v>17</v>
      </c>
      <c r="W42" s="775">
        <f t="shared" si="14"/>
        <v>100</v>
      </c>
      <c r="X42" s="1812"/>
      <c r="Y42" s="3243"/>
      <c r="Z42" s="1813" t="str">
        <f t="shared" si="15"/>
        <v>内部装修</v>
      </c>
      <c r="AA42" s="1810">
        <f t="shared" si="3"/>
        <v>1</v>
      </c>
      <c r="AB42" s="1810">
        <f t="shared" si="4"/>
        <v>1</v>
      </c>
      <c r="AC42" s="1810">
        <f t="shared" si="5"/>
        <v>1</v>
      </c>
    </row>
    <row r="43" spans="1:29" ht="15">
      <c r="A43" s="472"/>
      <c r="B43" s="422" t="s">
        <v>2564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83"/>
      <c r="Q43" s="1809" t="str">
        <f t="shared" si="11"/>
        <v>内部装修维护情况</v>
      </c>
      <c r="R43" s="774" t="s">
        <v>17</v>
      </c>
      <c r="S43" s="775">
        <f t="shared" si="12"/>
        <v>100</v>
      </c>
      <c r="T43" s="774" t="s">
        <v>17</v>
      </c>
      <c r="U43" s="775">
        <f t="shared" si="13"/>
        <v>100</v>
      </c>
      <c r="V43" s="774" t="s">
        <v>17</v>
      </c>
      <c r="W43" s="775">
        <f t="shared" si="14"/>
        <v>100</v>
      </c>
      <c r="X43" s="1812"/>
      <c r="Y43" s="3243"/>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3"/>
      <c r="Q44" s="1794">
        <f t="shared" si="11"/>
        <v>111</v>
      </c>
      <c r="R44" s="770" t="s">
        <v>17</v>
      </c>
      <c r="S44" s="771">
        <f t="shared" si="12"/>
        <v>100</v>
      </c>
      <c r="T44" s="770" t="s">
        <v>17</v>
      </c>
      <c r="U44" s="771">
        <f t="shared" si="13"/>
        <v>100</v>
      </c>
      <c r="V44" s="770" t="s">
        <v>17</v>
      </c>
      <c r="W44" s="771">
        <f t="shared" si="14"/>
        <v>100</v>
      </c>
      <c r="X44" s="772"/>
      <c r="Y44" s="324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3"/>
      <c r="Q45" s="1809">
        <f t="shared" si="11"/>
        <v>111</v>
      </c>
      <c r="R45" s="774" t="s">
        <v>17</v>
      </c>
      <c r="S45" s="775">
        <f t="shared" si="12"/>
        <v>100</v>
      </c>
      <c r="T45" s="774" t="s">
        <v>17</v>
      </c>
      <c r="U45" s="775">
        <f t="shared" si="13"/>
        <v>100</v>
      </c>
      <c r="V45" s="774" t="s">
        <v>17</v>
      </c>
      <c r="W45" s="775">
        <f t="shared" si="14"/>
        <v>100</v>
      </c>
      <c r="X45" s="1812"/>
      <c r="Y45" s="3243"/>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4"/>
      <c r="Q46" s="1809">
        <f t="shared" si="11"/>
        <v>111</v>
      </c>
      <c r="R46" s="774" t="s">
        <v>17</v>
      </c>
      <c r="S46" s="775">
        <f t="shared" si="12"/>
        <v>100</v>
      </c>
      <c r="T46" s="774" t="s">
        <v>17</v>
      </c>
      <c r="U46" s="775">
        <f t="shared" si="13"/>
        <v>100</v>
      </c>
      <c r="V46" s="774" t="s">
        <v>17</v>
      </c>
      <c r="W46" s="775">
        <f t="shared" si="14"/>
        <v>100</v>
      </c>
      <c r="X46" s="1812"/>
      <c r="Y46" s="3285"/>
      <c r="Z46" s="1813">
        <f t="shared" si="15"/>
        <v>111</v>
      </c>
      <c r="AA46" s="1810">
        <f t="shared" si="3"/>
        <v>1</v>
      </c>
      <c r="AB46" s="1810">
        <f t="shared" si="4"/>
        <v>1</v>
      </c>
      <c r="AC46" s="1810">
        <f t="shared" si="5"/>
        <v>1</v>
      </c>
    </row>
    <row r="47" spans="1:29" ht="15">
      <c r="A47" s="479" t="s">
        <v>2565</v>
      </c>
      <c r="B47" s="480"/>
      <c r="C47" s="1407" t="s">
        <v>1</v>
      </c>
      <c r="D47" s="1408"/>
      <c r="E47" s="1409"/>
      <c r="F47" s="1410"/>
      <c r="G47" s="1411"/>
      <c r="H47" s="1412"/>
      <c r="I47" s="1409"/>
      <c r="J47" s="1412"/>
      <c r="K47" s="783"/>
      <c r="L47" s="1143"/>
      <c r="M47" s="1144"/>
      <c r="N47" s="1131"/>
      <c r="O47" s="1144"/>
      <c r="P47" s="3238" t="str">
        <f>A47</f>
        <v>成交单价（元/平方米）</v>
      </c>
      <c r="Q47" s="3238"/>
      <c r="R47" s="3244">
        <f>E47</f>
        <v>0</v>
      </c>
      <c r="S47" s="3244"/>
      <c r="T47" s="3244">
        <f>G47</f>
        <v>0</v>
      </c>
      <c r="U47" s="3244"/>
      <c r="V47" s="3244">
        <f>I47</f>
        <v>0</v>
      </c>
      <c r="W47" s="3244"/>
      <c r="X47" s="759"/>
      <c r="Y47" s="781"/>
      <c r="Z47" s="759"/>
      <c r="AA47" s="759"/>
      <c r="AB47" s="759"/>
      <c r="AC47" s="759"/>
    </row>
    <row r="48" spans="1:29" ht="15.75" thickBot="1">
      <c r="A48" s="486" t="s">
        <v>2657</v>
      </c>
      <c r="B48" s="487"/>
      <c r="C48" s="1413" t="e">
        <f>R49</f>
        <v>#DIV/0!</v>
      </c>
      <c r="D48" s="1414"/>
      <c r="E48" s="1415" t="e">
        <f>R48</f>
        <v>#DIV/0!</v>
      </c>
      <c r="F48" s="1415"/>
      <c r="G48" s="1413" t="e">
        <f>T48</f>
        <v>#DIV/0!</v>
      </c>
      <c r="H48" s="1414"/>
      <c r="I48" s="1415" t="e">
        <f>V48</f>
        <v>#DIV/0!</v>
      </c>
      <c r="J48" s="1414"/>
      <c r="K48" s="784"/>
      <c r="L48" s="1143"/>
      <c r="M48" s="1144"/>
      <c r="N48" s="1131"/>
      <c r="O48" s="1144"/>
      <c r="P48" s="3238" t="str">
        <f>A48</f>
        <v>比较价值（元/平方米）</v>
      </c>
      <c r="Q48" s="3238"/>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9"/>
      <c r="Y48" s="759"/>
      <c r="Z48" s="759"/>
      <c r="AA48" s="759"/>
      <c r="AB48" s="759"/>
      <c r="AC48" s="759"/>
    </row>
    <row r="49" spans="1:29" ht="15.75" thickBot="1">
      <c r="A49" s="492" t="s">
        <v>2658</v>
      </c>
      <c r="B49" s="493"/>
      <c r="C49" s="1417" t="e">
        <f>R49</f>
        <v>#DIV/0!</v>
      </c>
      <c r="D49" s="1417"/>
      <c r="E49" s="1417"/>
      <c r="F49" s="1417"/>
      <c r="G49" s="1417"/>
      <c r="H49" s="1417"/>
      <c r="I49" s="1417"/>
      <c r="J49" s="1417"/>
      <c r="K49" s="785"/>
      <c r="L49" s="1143"/>
      <c r="M49" s="1144"/>
      <c r="N49" s="1131"/>
      <c r="O49" s="1144"/>
      <c r="P49" s="3232" t="str">
        <f>A49</f>
        <v>估价对象XX用房的比较价值（楼面单价，元/平方米）</v>
      </c>
      <c r="Q49" s="3233"/>
      <c r="R49" s="3280" t="e">
        <f>IF(F1="售价",ROUND(AVERAGE(R48:V48),0),ROUND(AVERAGE(R48:V48),1))</f>
        <v>#DIV/0!</v>
      </c>
      <c r="S49" s="3280"/>
      <c r="T49" s="3280"/>
      <c r="U49" s="3280"/>
      <c r="V49" s="3280"/>
      <c r="W49" s="328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2536</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2538</v>
      </c>
      <c r="B61" s="510"/>
      <c r="C61" s="522" t="s">
        <v>2640</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2576</v>
      </c>
      <c r="B63" s="528" t="s">
        <v>2542</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2643</v>
      </c>
      <c r="C82" s="660" t="s">
        <v>2663</v>
      </c>
      <c r="D82" s="660" t="s">
        <v>2664</v>
      </c>
      <c r="E82" s="660" t="s">
        <v>2665</v>
      </c>
      <c r="F82" s="660" t="s">
        <v>2666</v>
      </c>
      <c r="G82" s="660" t="s">
        <v>2667</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2668</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2551</v>
      </c>
      <c r="B100" s="528" t="s">
        <v>2669</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2602</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2604</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2606</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2670</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2671</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2672</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2673</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2608</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F3" sqref="F3"/>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665" t="s">
        <v>2674</v>
      </c>
      <c r="C1" s="1619" t="s">
        <v>2518</v>
      </c>
      <c r="D1" s="1620"/>
      <c r="E1" s="1629"/>
      <c r="F1" s="2582"/>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2632</v>
      </c>
      <c r="D3" s="399">
        <f>IF(D1="",'数据-汇总表'!E3,SUMIF('数据-汇总表'!$C19:$C33,D1,'数据-汇总表'!$E19:$E33))</f>
        <v>405562.81999999995</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2633</v>
      </c>
      <c r="B4" s="402"/>
      <c r="C4" s="3235" t="s">
        <v>2634</v>
      </c>
      <c r="D4" s="3248"/>
      <c r="E4" s="3249" t="s">
        <v>2635</v>
      </c>
      <c r="F4" s="3250"/>
      <c r="G4" s="3235" t="s">
        <v>2636</v>
      </c>
      <c r="H4" s="3248"/>
      <c r="I4" s="3235" t="s">
        <v>2637</v>
      </c>
      <c r="J4" s="3248"/>
      <c r="K4" s="610" t="s">
        <v>2638</v>
      </c>
      <c r="L4" s="1130"/>
      <c r="M4" s="1131"/>
      <c r="N4" s="1131"/>
      <c r="O4" s="1131"/>
      <c r="P4" s="3325" t="s">
        <v>2639</v>
      </c>
      <c r="Q4" s="3326"/>
      <c r="R4" s="3329" t="s">
        <v>2635</v>
      </c>
      <c r="S4" s="3330"/>
      <c r="T4" s="3329" t="s">
        <v>2636</v>
      </c>
      <c r="U4" s="3330"/>
      <c r="V4" s="3331" t="s">
        <v>2637</v>
      </c>
      <c r="W4" s="3331"/>
      <c r="X4" s="2666"/>
      <c r="Y4" s="3329" t="s">
        <v>2639</v>
      </c>
      <c r="Z4" s="3330"/>
      <c r="AA4" s="3333" t="s">
        <v>2635</v>
      </c>
      <c r="AB4" s="3333" t="s">
        <v>2636</v>
      </c>
      <c r="AC4" s="3322" t="s">
        <v>2637</v>
      </c>
    </row>
    <row r="5" spans="1:29" ht="15">
      <c r="A5" s="404"/>
      <c r="B5" s="405"/>
      <c r="C5" s="3265" t="s">
        <v>2530</v>
      </c>
      <c r="D5" s="3266"/>
      <c r="E5" s="3272" t="s">
        <v>2531</v>
      </c>
      <c r="F5" s="3273"/>
      <c r="G5" s="3265" t="s">
        <v>2532</v>
      </c>
      <c r="H5" s="3266"/>
      <c r="I5" s="3265" t="s">
        <v>2533</v>
      </c>
      <c r="J5" s="3266"/>
      <c r="K5" s="610"/>
      <c r="L5" s="1130"/>
      <c r="M5" s="1131"/>
      <c r="N5" s="1131"/>
      <c r="O5" s="1131"/>
      <c r="P5" s="3327"/>
      <c r="Q5" s="3254"/>
      <c r="R5" s="3259"/>
      <c r="S5" s="3260"/>
      <c r="T5" s="3259"/>
      <c r="U5" s="3260"/>
      <c r="V5" s="3244"/>
      <c r="W5" s="3244"/>
      <c r="X5" s="1812"/>
      <c r="Y5" s="3259"/>
      <c r="Z5" s="3260"/>
      <c r="AA5" s="3246"/>
      <c r="AB5" s="3246"/>
      <c r="AC5" s="3323"/>
    </row>
    <row r="6" spans="1:29" ht="15.75" thickBot="1">
      <c r="A6" s="406"/>
      <c r="B6" s="407"/>
      <c r="C6" s="3263" t="s">
        <v>2534</v>
      </c>
      <c r="D6" s="3264"/>
      <c r="E6" s="3270" t="s">
        <v>2534</v>
      </c>
      <c r="F6" s="3271"/>
      <c r="G6" s="3263" t="s">
        <v>2534</v>
      </c>
      <c r="H6" s="3264"/>
      <c r="I6" s="3263" t="s">
        <v>2534</v>
      </c>
      <c r="J6" s="3264"/>
      <c r="K6" s="610" t="s">
        <v>2535</v>
      </c>
      <c r="L6" s="1130"/>
      <c r="M6" s="1131"/>
      <c r="N6" s="1131"/>
      <c r="O6" s="1131"/>
      <c r="P6" s="3328"/>
      <c r="Q6" s="3256"/>
      <c r="R6" s="3259"/>
      <c r="S6" s="3260"/>
      <c r="T6" s="3261"/>
      <c r="U6" s="3262"/>
      <c r="V6" s="3244"/>
      <c r="W6" s="3244"/>
      <c r="X6" s="1812"/>
      <c r="Y6" s="3261"/>
      <c r="Z6" s="3262"/>
      <c r="AA6" s="3247"/>
      <c r="AB6" s="3247"/>
      <c r="AC6" s="3324"/>
    </row>
    <row r="7" spans="1:29" s="117" customFormat="1" ht="15.75" thickBot="1">
      <c r="A7" s="408" t="s">
        <v>2536</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32" t="s">
        <v>2537</v>
      </c>
      <c r="Q7" s="3269"/>
      <c r="R7" s="770" t="s">
        <v>17</v>
      </c>
      <c r="S7" s="771">
        <f t="shared" ref="S7:S15" si="0">F7</f>
        <v>0</v>
      </c>
      <c r="T7" s="770" t="s">
        <v>17</v>
      </c>
      <c r="U7" s="771">
        <f t="shared" ref="U7:U15" si="1">H7</f>
        <v>0</v>
      </c>
      <c r="V7" s="770" t="s">
        <v>17</v>
      </c>
      <c r="W7" s="771">
        <f t="shared" ref="W7:W15" si="2">J7</f>
        <v>0</v>
      </c>
      <c r="X7" s="772"/>
      <c r="Y7" s="3267" t="s">
        <v>2537</v>
      </c>
      <c r="Z7" s="3268"/>
      <c r="AA7" s="773" t="e">
        <f>D7/F7</f>
        <v>#DIV/0!</v>
      </c>
      <c r="AB7" s="773" t="e">
        <f>D7/H7</f>
        <v>#DIV/0!</v>
      </c>
      <c r="AC7" s="2667"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32" t="s">
        <v>2540</v>
      </c>
      <c r="Q8" s="3268"/>
      <c r="R8" s="770" t="s">
        <v>17</v>
      </c>
      <c r="S8" s="771">
        <f t="shared" si="0"/>
        <v>0</v>
      </c>
      <c r="T8" s="770" t="s">
        <v>17</v>
      </c>
      <c r="U8" s="771">
        <f t="shared" si="1"/>
        <v>0</v>
      </c>
      <c r="V8" s="770" t="s">
        <v>17</v>
      </c>
      <c r="W8" s="771">
        <f t="shared" si="2"/>
        <v>0</v>
      </c>
      <c r="X8" s="772"/>
      <c r="Y8" s="3267" t="s">
        <v>2540</v>
      </c>
      <c r="Z8" s="3268"/>
      <c r="AA8" s="773" t="e">
        <f t="shared" ref="AA8:AA47" si="3">D8/F8</f>
        <v>#DIV/0!</v>
      </c>
      <c r="AB8" s="773" t="e">
        <f t="shared" ref="AB8:AB47" si="4">D8/H8</f>
        <v>#DIV/0!</v>
      </c>
      <c r="AC8" s="2667"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7" t="s">
        <v>2543</v>
      </c>
      <c r="Q9" s="1794" t="str">
        <f t="shared" ref="Q9:Q15" si="6">B9</f>
        <v>用途</v>
      </c>
      <c r="R9" s="770" t="s">
        <v>17</v>
      </c>
      <c r="S9" s="771">
        <f t="shared" si="0"/>
        <v>100</v>
      </c>
      <c r="T9" s="770" t="s">
        <v>17</v>
      </c>
      <c r="U9" s="771">
        <f t="shared" si="1"/>
        <v>100</v>
      </c>
      <c r="V9" s="770" t="s">
        <v>17</v>
      </c>
      <c r="W9" s="771">
        <f t="shared" si="2"/>
        <v>100</v>
      </c>
      <c r="X9" s="772"/>
      <c r="Y9" s="3075" t="s">
        <v>2544</v>
      </c>
      <c r="Z9" s="55" t="str">
        <f t="shared" ref="Z9:Z15" si="7">Q9</f>
        <v>用途</v>
      </c>
      <c r="AA9" s="773">
        <f t="shared" si="3"/>
        <v>1</v>
      </c>
      <c r="AB9" s="773">
        <f t="shared" si="4"/>
        <v>1</v>
      </c>
      <c r="AC9" s="2667">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7"/>
      <c r="Q10" s="1794"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2667">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7"/>
      <c r="Q11" s="1794"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2667" t="e">
        <f t="shared" si="5"/>
        <v>#N/A</v>
      </c>
    </row>
    <row r="12" spans="1:29" s="117" customFormat="1" ht="15">
      <c r="A12" s="431"/>
      <c r="B12" s="2598">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37"/>
      <c r="Q12" s="1794">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2667">
        <f>D12/J12</f>
        <v>1</v>
      </c>
    </row>
    <row r="13" spans="1:29" ht="15">
      <c r="A13" s="428"/>
      <c r="B13" s="2598">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37"/>
      <c r="Q13" s="1794">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2667">
        <f t="shared" si="5"/>
        <v>1</v>
      </c>
    </row>
    <row r="14" spans="1:29" ht="15.75" thickBot="1">
      <c r="A14" s="436"/>
      <c r="B14" s="2600">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37"/>
      <c r="Q14" s="1794">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2667">
        <f t="shared" si="5"/>
        <v>1</v>
      </c>
    </row>
    <row r="15" spans="1:29" ht="71.25">
      <c r="A15" s="440" t="s">
        <v>2547</v>
      </c>
      <c r="B15" s="629" t="s">
        <v>2675</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86" t="s">
        <v>2548</v>
      </c>
      <c r="Q15" s="1809" t="str">
        <f t="shared" si="6"/>
        <v>办公集聚程度</v>
      </c>
      <c r="R15" s="774" t="s">
        <v>17</v>
      </c>
      <c r="S15" s="775">
        <f t="shared" si="0"/>
        <v>100</v>
      </c>
      <c r="T15" s="774" t="s">
        <v>17</v>
      </c>
      <c r="U15" s="775">
        <f t="shared" si="1"/>
        <v>100</v>
      </c>
      <c r="V15" s="774" t="s">
        <v>17</v>
      </c>
      <c r="W15" s="775">
        <f t="shared" si="2"/>
        <v>100</v>
      </c>
      <c r="X15" s="1812"/>
      <c r="Y15" s="3240" t="s">
        <v>2548</v>
      </c>
      <c r="Z15" s="1813" t="str">
        <f t="shared" si="7"/>
        <v>办公集聚程度</v>
      </c>
      <c r="AA15" s="1810">
        <f t="shared" si="3"/>
        <v>1</v>
      </c>
      <c r="AB15" s="1810">
        <f t="shared" si="4"/>
        <v>1</v>
      </c>
      <c r="AC15" s="2670">
        <f t="shared" si="5"/>
        <v>1</v>
      </c>
    </row>
    <row r="16" spans="1:29" ht="15">
      <c r="A16" s="428"/>
      <c r="B16" s="630"/>
      <c r="C16" s="2609"/>
      <c r="D16" s="448"/>
      <c r="E16" s="447"/>
      <c r="F16" s="448"/>
      <c r="G16" s="2609"/>
      <c r="H16" s="450"/>
      <c r="I16" s="447"/>
      <c r="J16" s="448"/>
      <c r="K16" s="615"/>
      <c r="L16" s="1140"/>
      <c r="M16" s="1131"/>
      <c r="N16" s="1131"/>
      <c r="O16" s="1131"/>
      <c r="P16" s="3287"/>
      <c r="Q16" s="1809"/>
      <c r="R16" s="774"/>
      <c r="S16" s="775"/>
      <c r="T16" s="774"/>
      <c r="U16" s="775"/>
      <c r="V16" s="774"/>
      <c r="W16" s="775"/>
      <c r="X16" s="1812"/>
      <c r="Y16" s="3241"/>
      <c r="Z16" s="1813"/>
      <c r="AA16" s="1810">
        <v>1</v>
      </c>
      <c r="AB16" s="1810">
        <v>1</v>
      </c>
      <c r="AC16" s="2670">
        <v>1</v>
      </c>
    </row>
    <row r="17" spans="1:29" ht="71.25">
      <c r="A17" s="428"/>
      <c r="B17" s="631" t="s">
        <v>2088</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87"/>
      <c r="Q17" s="1809" t="str">
        <f>B17</f>
        <v>交通便捷度</v>
      </c>
      <c r="R17" s="774" t="s">
        <v>17</v>
      </c>
      <c r="S17" s="775">
        <f>F17</f>
        <v>100</v>
      </c>
      <c r="T17" s="774" t="s">
        <v>17</v>
      </c>
      <c r="U17" s="775">
        <f>H17</f>
        <v>100</v>
      </c>
      <c r="V17" s="774" t="s">
        <v>17</v>
      </c>
      <c r="W17" s="775">
        <f>J17</f>
        <v>100</v>
      </c>
      <c r="X17" s="1812"/>
      <c r="Y17" s="3241"/>
      <c r="Z17" s="1813" t="str">
        <f>Q17</f>
        <v>交通便捷度</v>
      </c>
      <c r="AA17" s="1810">
        <f t="shared" si="3"/>
        <v>1</v>
      </c>
      <c r="AB17" s="1810">
        <f t="shared" si="4"/>
        <v>1</v>
      </c>
      <c r="AC17" s="2670">
        <f t="shared" si="5"/>
        <v>1</v>
      </c>
    </row>
    <row r="18" spans="1:29" ht="15">
      <c r="A18" s="428"/>
      <c r="B18" s="632"/>
      <c r="C18" s="2672"/>
      <c r="D18" s="450"/>
      <c r="E18" s="2607"/>
      <c r="F18" s="450"/>
      <c r="G18" s="2608"/>
      <c r="H18" s="448"/>
      <c r="I18" s="2608"/>
      <c r="J18" s="448"/>
      <c r="K18" s="615"/>
      <c r="L18" s="1140"/>
      <c r="M18" s="1131"/>
      <c r="N18" s="1131"/>
      <c r="O18" s="1131"/>
      <c r="P18" s="3287"/>
      <c r="Q18" s="1809"/>
      <c r="R18" s="774"/>
      <c r="S18" s="775"/>
      <c r="T18" s="774"/>
      <c r="U18" s="775"/>
      <c r="V18" s="774"/>
      <c r="W18" s="775"/>
      <c r="X18" s="1812"/>
      <c r="Y18" s="3241"/>
      <c r="Z18" s="1813"/>
      <c r="AA18" s="1810">
        <v>1</v>
      </c>
      <c r="AB18" s="1810">
        <v>1</v>
      </c>
      <c r="AC18" s="2670">
        <v>1</v>
      </c>
    </row>
    <row r="19" spans="1:29" ht="42.75">
      <c r="A19" s="428"/>
      <c r="B19" s="631" t="s">
        <v>2676</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87"/>
      <c r="Q19" s="1809" t="str">
        <f>B19</f>
        <v>公共配套设施</v>
      </c>
      <c r="R19" s="774" t="s">
        <v>17</v>
      </c>
      <c r="S19" s="775">
        <f>F19</f>
        <v>100</v>
      </c>
      <c r="T19" s="774" t="s">
        <v>17</v>
      </c>
      <c r="U19" s="775">
        <f>H19</f>
        <v>100</v>
      </c>
      <c r="V19" s="774" t="s">
        <v>17</v>
      </c>
      <c r="W19" s="775">
        <f>J19</f>
        <v>100</v>
      </c>
      <c r="X19" s="1812"/>
      <c r="Y19" s="3241"/>
      <c r="Z19" s="1813" t="str">
        <f>Q19</f>
        <v>公共配套设施</v>
      </c>
      <c r="AA19" s="1810">
        <f t="shared" si="3"/>
        <v>1</v>
      </c>
      <c r="AB19" s="1810">
        <f t="shared" si="4"/>
        <v>1</v>
      </c>
      <c r="AC19" s="2670">
        <f t="shared" si="5"/>
        <v>1</v>
      </c>
    </row>
    <row r="20" spans="1:29" ht="15">
      <c r="A20" s="428"/>
      <c r="B20" s="632"/>
      <c r="C20" s="2609"/>
      <c r="D20" s="448"/>
      <c r="E20" s="2602"/>
      <c r="F20" s="448"/>
      <c r="G20" s="2603"/>
      <c r="H20" s="448"/>
      <c r="I20" s="2603"/>
      <c r="J20" s="448"/>
      <c r="K20" s="615"/>
      <c r="L20" s="1140"/>
      <c r="M20" s="1131"/>
      <c r="N20" s="1131"/>
      <c r="O20" s="1131"/>
      <c r="P20" s="3287"/>
      <c r="Q20" s="1809"/>
      <c r="R20" s="774"/>
      <c r="S20" s="775"/>
      <c r="T20" s="774"/>
      <c r="U20" s="775"/>
      <c r="V20" s="774"/>
      <c r="W20" s="775"/>
      <c r="X20" s="1812"/>
      <c r="Y20" s="3241"/>
      <c r="Z20" s="1813"/>
      <c r="AA20" s="1810">
        <v>1</v>
      </c>
      <c r="AB20" s="1810">
        <v>1</v>
      </c>
      <c r="AC20" s="2670">
        <v>1</v>
      </c>
    </row>
    <row r="21" spans="1:29" ht="28.5">
      <c r="A21" s="428"/>
      <c r="B21" s="633" t="s">
        <v>2677</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87"/>
      <c r="Q21" s="1809" t="str">
        <f>B21</f>
        <v>基础设施水平</v>
      </c>
      <c r="R21" s="774" t="s">
        <v>17</v>
      </c>
      <c r="S21" s="775">
        <f>F21</f>
        <v>100</v>
      </c>
      <c r="T21" s="774" t="s">
        <v>17</v>
      </c>
      <c r="U21" s="775">
        <f>H21</f>
        <v>100</v>
      </c>
      <c r="V21" s="774" t="s">
        <v>17</v>
      </c>
      <c r="W21" s="775">
        <f>J21</f>
        <v>100</v>
      </c>
      <c r="X21" s="1812"/>
      <c r="Y21" s="3241"/>
      <c r="Z21" s="1813" t="str">
        <f>Q21</f>
        <v>基础设施水平</v>
      </c>
      <c r="AA21" s="1810">
        <f t="shared" ref="AA21" si="8">D21/F21</f>
        <v>1</v>
      </c>
      <c r="AB21" s="1810">
        <f t="shared" ref="AB21" si="9">D21/H21</f>
        <v>1</v>
      </c>
      <c r="AC21" s="2670">
        <f t="shared" ref="AC21" si="10">D21/J21</f>
        <v>1</v>
      </c>
    </row>
    <row r="22" spans="1:29" ht="15">
      <c r="A22" s="428"/>
      <c r="B22" s="633"/>
      <c r="C22" s="2672"/>
      <c r="D22" s="448"/>
      <c r="E22" s="447"/>
      <c r="F22" s="448"/>
      <c r="G22" s="2609"/>
      <c r="H22" s="448"/>
      <c r="I22" s="2609"/>
      <c r="J22" s="448"/>
      <c r="K22" s="1383"/>
      <c r="L22" s="1140"/>
      <c r="M22" s="1131"/>
      <c r="N22" s="1131"/>
      <c r="O22" s="1131"/>
      <c r="P22" s="3287"/>
      <c r="Q22" s="1809"/>
      <c r="R22" s="774"/>
      <c r="S22" s="775"/>
      <c r="T22" s="774"/>
      <c r="U22" s="775"/>
      <c r="V22" s="774"/>
      <c r="W22" s="775"/>
      <c r="X22" s="1812"/>
      <c r="Y22" s="3241"/>
      <c r="Z22" s="1813"/>
      <c r="AA22" s="1810">
        <v>1</v>
      </c>
      <c r="AB22" s="1810">
        <v>1</v>
      </c>
      <c r="AC22" s="2670">
        <v>1</v>
      </c>
    </row>
    <row r="23" spans="1:29" ht="42.75">
      <c r="A23" s="428"/>
      <c r="B23" s="631" t="s">
        <v>2678</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87"/>
      <c r="Q23" s="1809" t="str">
        <f>B23</f>
        <v>环境质量</v>
      </c>
      <c r="R23" s="774" t="s">
        <v>17</v>
      </c>
      <c r="S23" s="775">
        <f>F23</f>
        <v>100</v>
      </c>
      <c r="T23" s="774" t="s">
        <v>17</v>
      </c>
      <c r="U23" s="775">
        <f>H23</f>
        <v>100</v>
      </c>
      <c r="V23" s="774" t="s">
        <v>17</v>
      </c>
      <c r="W23" s="775">
        <f>J23</f>
        <v>100</v>
      </c>
      <c r="X23" s="1812"/>
      <c r="Y23" s="3241"/>
      <c r="Z23" s="1813" t="str">
        <f>Q23</f>
        <v>环境质量</v>
      </c>
      <c r="AA23" s="1810">
        <f t="shared" si="3"/>
        <v>1</v>
      </c>
      <c r="AB23" s="1810">
        <f t="shared" si="4"/>
        <v>1</v>
      </c>
      <c r="AC23" s="2670">
        <f t="shared" si="5"/>
        <v>1</v>
      </c>
    </row>
    <row r="24" spans="1:29" ht="15">
      <c r="A24" s="428"/>
      <c r="B24" s="633"/>
      <c r="C24" s="2609"/>
      <c r="D24" s="448"/>
      <c r="E24" s="2602"/>
      <c r="F24" s="448"/>
      <c r="G24" s="2603"/>
      <c r="H24" s="448"/>
      <c r="I24" s="2603"/>
      <c r="J24" s="448"/>
      <c r="K24" s="615"/>
      <c r="L24" s="1140"/>
      <c r="M24" s="1131"/>
      <c r="N24" s="1131"/>
      <c r="O24" s="1131"/>
      <c r="P24" s="3287"/>
      <c r="Q24" s="1809"/>
      <c r="R24" s="774"/>
      <c r="S24" s="775"/>
      <c r="T24" s="774"/>
      <c r="U24" s="775"/>
      <c r="V24" s="774"/>
      <c r="W24" s="775"/>
      <c r="X24" s="1812"/>
      <c r="Y24" s="3241"/>
      <c r="Z24" s="1813"/>
      <c r="AA24" s="1810">
        <v>1</v>
      </c>
      <c r="AB24" s="1810">
        <v>1</v>
      </c>
      <c r="AC24" s="2670">
        <v>1</v>
      </c>
    </row>
    <row r="25" spans="1:29" ht="27">
      <c r="A25" s="404"/>
      <c r="B25" s="631" t="s">
        <v>2679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87"/>
      <c r="Q25" s="1809" t="str">
        <f>B25</f>
        <v>毗邻道路的类型与等级</v>
      </c>
      <c r="R25" s="774" t="s">
        <v>17</v>
      </c>
      <c r="S25" s="775">
        <f>F25</f>
        <v>100</v>
      </c>
      <c r="T25" s="774" t="s">
        <v>17</v>
      </c>
      <c r="U25" s="775">
        <f>H25</f>
        <v>100</v>
      </c>
      <c r="V25" s="774" t="s">
        <v>17</v>
      </c>
      <c r="W25" s="775">
        <f>J25</f>
        <v>100</v>
      </c>
      <c r="X25" s="1812"/>
      <c r="Y25" s="3241"/>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287"/>
      <c r="Q26" s="1809"/>
      <c r="R26" s="774"/>
      <c r="S26" s="775"/>
      <c r="T26" s="774"/>
      <c r="U26" s="775"/>
      <c r="V26" s="774"/>
      <c r="W26" s="775"/>
      <c r="X26" s="1812"/>
      <c r="Y26" s="3241"/>
      <c r="Z26" s="1813"/>
      <c r="AA26" s="1810">
        <v>1</v>
      </c>
      <c r="AB26" s="1810">
        <v>1</v>
      </c>
      <c r="AC26" s="2670">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87"/>
      <c r="Q27" s="1809" t="str">
        <f t="shared" ref="Q27:Q47" si="11">B27</f>
        <v>楼层</v>
      </c>
      <c r="R27" s="774" t="s">
        <v>17</v>
      </c>
      <c r="S27" s="775">
        <f>F27</f>
        <v>100</v>
      </c>
      <c r="T27" s="774" t="s">
        <v>17</v>
      </c>
      <c r="U27" s="775">
        <f>H27</f>
        <v>100</v>
      </c>
      <c r="V27" s="774" t="s">
        <v>17</v>
      </c>
      <c r="W27" s="775">
        <f>J27</f>
        <v>100</v>
      </c>
      <c r="X27" s="1812"/>
      <c r="Y27" s="3241"/>
      <c r="Z27" s="1813" t="str">
        <f>Q27</f>
        <v>楼层</v>
      </c>
      <c r="AA27" s="1810">
        <f t="shared" si="3"/>
        <v>1</v>
      </c>
      <c r="AB27" s="1810">
        <f t="shared" si="4"/>
        <v>1</v>
      </c>
      <c r="AC27" s="2670">
        <f t="shared" si="5"/>
        <v>1</v>
      </c>
    </row>
    <row r="28" spans="1:29" s="117" customFormat="1" ht="15">
      <c r="A28" s="431"/>
      <c r="B28" s="631" t="s">
        <v>2680</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87"/>
      <c r="Q28" s="1794" t="str">
        <f t="shared" si="11"/>
        <v>朝向</v>
      </c>
      <c r="R28" s="770" t="s">
        <v>17</v>
      </c>
      <c r="S28" s="771">
        <f>F28</f>
        <v>100</v>
      </c>
      <c r="T28" s="770" t="s">
        <v>17</v>
      </c>
      <c r="U28" s="771">
        <f>H28</f>
        <v>100</v>
      </c>
      <c r="V28" s="770" t="s">
        <v>17</v>
      </c>
      <c r="W28" s="771">
        <f>J28</f>
        <v>100</v>
      </c>
      <c r="X28" s="772"/>
      <c r="Y28" s="3241"/>
      <c r="Z28" s="55" t="str">
        <f>Q28</f>
        <v>朝向</v>
      </c>
      <c r="AA28" s="1810">
        <f>D28/F28</f>
        <v>1</v>
      </c>
      <c r="AB28" s="1810">
        <f>D28/H28</f>
        <v>1</v>
      </c>
      <c r="AC28" s="2670">
        <f>D28/J28</f>
        <v>1</v>
      </c>
    </row>
    <row r="29" spans="1:29" ht="15">
      <c r="A29" s="428"/>
      <c r="B29" s="2674">
        <v>111</v>
      </c>
      <c r="C29" s="2613"/>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87"/>
      <c r="Q29" s="1809">
        <f t="shared" si="11"/>
        <v>111</v>
      </c>
      <c r="R29" s="774" t="s">
        <v>17</v>
      </c>
      <c r="S29" s="775">
        <f t="shared" ref="S29:S47" si="12">F29</f>
        <v>100</v>
      </c>
      <c r="T29" s="774" t="s">
        <v>17</v>
      </c>
      <c r="U29" s="775">
        <f t="shared" ref="U29:U47" si="13">H29</f>
        <v>100</v>
      </c>
      <c r="V29" s="774" t="s">
        <v>17</v>
      </c>
      <c r="W29" s="775">
        <f t="shared" ref="W29:W47" si="14">J29</f>
        <v>100</v>
      </c>
      <c r="X29" s="1812"/>
      <c r="Y29" s="3241"/>
      <c r="Z29" s="1813">
        <f t="shared" ref="Z29:Z47" si="15">Q29</f>
        <v>111</v>
      </c>
      <c r="AA29" s="1810">
        <f t="shared" si="3"/>
        <v>1</v>
      </c>
      <c r="AB29" s="1810">
        <f t="shared" si="4"/>
        <v>1</v>
      </c>
      <c r="AC29" s="2670">
        <f t="shared" si="5"/>
        <v>1</v>
      </c>
    </row>
    <row r="30" spans="1:29" ht="15">
      <c r="A30" s="428"/>
      <c r="B30" s="2674">
        <v>111</v>
      </c>
      <c r="C30" s="2613"/>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87"/>
      <c r="Q30" s="1809">
        <f t="shared" si="11"/>
        <v>111</v>
      </c>
      <c r="R30" s="774" t="s">
        <v>17</v>
      </c>
      <c r="S30" s="775">
        <f t="shared" si="12"/>
        <v>100</v>
      </c>
      <c r="T30" s="774" t="s">
        <v>17</v>
      </c>
      <c r="U30" s="775">
        <f t="shared" si="13"/>
        <v>100</v>
      </c>
      <c r="V30" s="774" t="s">
        <v>17</v>
      </c>
      <c r="W30" s="775">
        <f t="shared" si="14"/>
        <v>100</v>
      </c>
      <c r="X30" s="1812"/>
      <c r="Y30" s="3241"/>
      <c r="Z30" s="1813">
        <f t="shared" si="15"/>
        <v>111</v>
      </c>
      <c r="AA30" s="1810">
        <f t="shared" si="3"/>
        <v>1</v>
      </c>
      <c r="AB30" s="1810">
        <f t="shared" si="4"/>
        <v>1</v>
      </c>
      <c r="AC30" s="2670">
        <f t="shared" si="5"/>
        <v>1</v>
      </c>
    </row>
    <row r="31" spans="1:29" ht="15">
      <c r="A31" s="428"/>
      <c r="B31" s="2674">
        <v>111</v>
      </c>
      <c r="C31" s="2613"/>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87"/>
      <c r="Q31" s="1809">
        <f t="shared" si="11"/>
        <v>111</v>
      </c>
      <c r="R31" s="774" t="s">
        <v>17</v>
      </c>
      <c r="S31" s="775">
        <f t="shared" si="12"/>
        <v>100</v>
      </c>
      <c r="T31" s="774" t="s">
        <v>17</v>
      </c>
      <c r="U31" s="775">
        <f t="shared" si="13"/>
        <v>100</v>
      </c>
      <c r="V31" s="774" t="s">
        <v>17</v>
      </c>
      <c r="W31" s="775">
        <f t="shared" si="14"/>
        <v>100</v>
      </c>
      <c r="X31" s="1812"/>
      <c r="Y31" s="3241"/>
      <c r="Z31" s="1813">
        <f t="shared" si="15"/>
        <v>111</v>
      </c>
      <c r="AA31" s="1810">
        <f t="shared" si="3"/>
        <v>1</v>
      </c>
      <c r="AB31" s="1810">
        <f t="shared" si="4"/>
        <v>1</v>
      </c>
      <c r="AC31" s="2670">
        <f t="shared" si="5"/>
        <v>1</v>
      </c>
    </row>
    <row r="32" spans="1:29" ht="15.75" thickBot="1">
      <c r="A32" s="436"/>
      <c r="B32" s="635">
        <v>111</v>
      </c>
      <c r="C32" s="2614"/>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87"/>
      <c r="Q32" s="1809">
        <f t="shared" si="11"/>
        <v>111</v>
      </c>
      <c r="R32" s="774" t="s">
        <v>17</v>
      </c>
      <c r="S32" s="775">
        <f t="shared" si="12"/>
        <v>100</v>
      </c>
      <c r="T32" s="774" t="s">
        <v>17</v>
      </c>
      <c r="U32" s="775">
        <f t="shared" si="13"/>
        <v>100</v>
      </c>
      <c r="V32" s="774" t="s">
        <v>17</v>
      </c>
      <c r="W32" s="775">
        <f t="shared" si="14"/>
        <v>100</v>
      </c>
      <c r="X32" s="1812"/>
      <c r="Y32" s="3241"/>
      <c r="Z32" s="1813">
        <f t="shared" si="15"/>
        <v>111</v>
      </c>
      <c r="AA32" s="1810">
        <f t="shared" si="3"/>
        <v>1</v>
      </c>
      <c r="AB32" s="1810">
        <f t="shared" si="4"/>
        <v>1</v>
      </c>
      <c r="AC32" s="2670">
        <f t="shared" si="5"/>
        <v>1</v>
      </c>
    </row>
    <row r="33" spans="1:29" ht="15">
      <c r="A33" s="440" t="s">
        <v>2551</v>
      </c>
      <c r="B33" s="71" t="s">
        <v>2681</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82" t="s">
        <v>2553</v>
      </c>
      <c r="Q33" s="1809" t="str">
        <f t="shared" si="11"/>
        <v>建筑类型</v>
      </c>
      <c r="R33" s="774" t="s">
        <v>17</v>
      </c>
      <c r="S33" s="775">
        <f t="shared" si="12"/>
        <v>100</v>
      </c>
      <c r="T33" s="774" t="s">
        <v>17</v>
      </c>
      <c r="U33" s="775">
        <f t="shared" si="13"/>
        <v>100</v>
      </c>
      <c r="V33" s="774" t="s">
        <v>17</v>
      </c>
      <c r="W33" s="775">
        <f t="shared" si="14"/>
        <v>100</v>
      </c>
      <c r="X33" s="1812"/>
      <c r="Y33" s="3243" t="s">
        <v>2553</v>
      </c>
      <c r="Z33" s="1813" t="str">
        <f t="shared" si="15"/>
        <v>建筑类型</v>
      </c>
      <c r="AA33" s="1810">
        <f t="shared" si="3"/>
        <v>1</v>
      </c>
      <c r="AB33" s="1810">
        <f t="shared" si="4"/>
        <v>1</v>
      </c>
      <c r="AC33" s="2670">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83"/>
      <c r="Q34" s="776" t="str">
        <f t="shared" si="11"/>
        <v>项目建筑规模</v>
      </c>
      <c r="R34" s="777" t="s">
        <v>17</v>
      </c>
      <c r="S34" s="778" t="e">
        <f t="shared" si="12"/>
        <v>#N/A</v>
      </c>
      <c r="T34" s="777" t="s">
        <v>17</v>
      </c>
      <c r="U34" s="778" t="e">
        <f t="shared" si="13"/>
        <v>#N/A</v>
      </c>
      <c r="V34" s="777" t="s">
        <v>17</v>
      </c>
      <c r="W34" s="778" t="e">
        <f t="shared" si="14"/>
        <v>#N/A</v>
      </c>
      <c r="X34" s="779"/>
      <c r="Y34" s="3243"/>
      <c r="Z34" s="780" t="str">
        <f t="shared" si="15"/>
        <v>项目建筑规模</v>
      </c>
      <c r="AA34" s="1810" t="e">
        <f t="shared" si="3"/>
        <v>#N/A</v>
      </c>
      <c r="AB34" s="1810" t="e">
        <f t="shared" si="4"/>
        <v>#N/A</v>
      </c>
      <c r="AC34" s="2670"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3"/>
      <c r="Q35" s="1809" t="str">
        <f t="shared" si="11"/>
        <v>建筑结构</v>
      </c>
      <c r="R35" s="774" t="s">
        <v>17</v>
      </c>
      <c r="S35" s="775">
        <f t="shared" si="12"/>
        <v>100</v>
      </c>
      <c r="T35" s="774" t="s">
        <v>17</v>
      </c>
      <c r="U35" s="775">
        <f t="shared" si="13"/>
        <v>100</v>
      </c>
      <c r="V35" s="774" t="s">
        <v>17</v>
      </c>
      <c r="W35" s="775">
        <f t="shared" si="14"/>
        <v>100</v>
      </c>
      <c r="X35" s="1812"/>
      <c r="Y35" s="3243"/>
      <c r="Z35" s="1813" t="str">
        <f t="shared" si="15"/>
        <v>建筑结构</v>
      </c>
      <c r="AA35" s="1810">
        <f t="shared" si="3"/>
        <v>1</v>
      </c>
      <c r="AB35" s="1810">
        <f t="shared" si="4"/>
        <v>1</v>
      </c>
      <c r="AC35" s="2670">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3"/>
      <c r="Q36" s="1809" t="str">
        <f t="shared" si="11"/>
        <v>公共部分装修</v>
      </c>
      <c r="R36" s="774" t="s">
        <v>17</v>
      </c>
      <c r="S36" s="775">
        <f t="shared" si="12"/>
        <v>100</v>
      </c>
      <c r="T36" s="774" t="s">
        <v>17</v>
      </c>
      <c r="U36" s="775">
        <f t="shared" si="13"/>
        <v>100</v>
      </c>
      <c r="V36" s="774" t="s">
        <v>17</v>
      </c>
      <c r="W36" s="775">
        <f t="shared" si="14"/>
        <v>100</v>
      </c>
      <c r="X36" s="1812"/>
      <c r="Y36" s="3243"/>
      <c r="Z36" s="1813" t="str">
        <f t="shared" si="15"/>
        <v>公共部分装修</v>
      </c>
      <c r="AA36" s="1810">
        <f t="shared" si="3"/>
        <v>1</v>
      </c>
      <c r="AB36" s="1810">
        <f t="shared" si="4"/>
        <v>1</v>
      </c>
      <c r="AC36" s="2670">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3"/>
      <c r="Q37" s="1809" t="str">
        <f t="shared" si="11"/>
        <v>成新度</v>
      </c>
      <c r="R37" s="774" t="s">
        <v>17</v>
      </c>
      <c r="S37" s="775" t="e">
        <f t="shared" si="12"/>
        <v>#N/A</v>
      </c>
      <c r="T37" s="774" t="s">
        <v>17</v>
      </c>
      <c r="U37" s="775" t="e">
        <f t="shared" si="13"/>
        <v>#N/A</v>
      </c>
      <c r="V37" s="774" t="s">
        <v>17</v>
      </c>
      <c r="W37" s="775" t="e">
        <f t="shared" si="14"/>
        <v>#N/A</v>
      </c>
      <c r="X37" s="1812"/>
      <c r="Y37" s="3243"/>
      <c r="Z37" s="1813" t="str">
        <f t="shared" si="15"/>
        <v>成新度</v>
      </c>
      <c r="AA37" s="1810" t="e">
        <f t="shared" si="3"/>
        <v>#N/A</v>
      </c>
      <c r="AB37" s="1810" t="e">
        <f t="shared" si="4"/>
        <v>#N/A</v>
      </c>
      <c r="AC37" s="2670"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3"/>
      <c r="Q38" s="1794" t="str">
        <f t="shared" si="11"/>
        <v>写字楼等级</v>
      </c>
      <c r="R38" s="770" t="s">
        <v>17</v>
      </c>
      <c r="S38" s="771">
        <f t="shared" si="12"/>
        <v>100</v>
      </c>
      <c r="T38" s="770" t="s">
        <v>17</v>
      </c>
      <c r="U38" s="771">
        <f t="shared" si="13"/>
        <v>100</v>
      </c>
      <c r="V38" s="770" t="s">
        <v>17</v>
      </c>
      <c r="W38" s="771">
        <f t="shared" si="14"/>
        <v>100</v>
      </c>
      <c r="X38" s="772"/>
      <c r="Y38" s="3243"/>
      <c r="Z38" s="55" t="str">
        <f t="shared" si="15"/>
        <v>写字楼等级</v>
      </c>
      <c r="AA38" s="773">
        <f t="shared" si="3"/>
        <v>1</v>
      </c>
      <c r="AB38" s="773">
        <f t="shared" si="4"/>
        <v>1</v>
      </c>
      <c r="AC38" s="2667">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3" t="s">
        <v>2553</v>
      </c>
      <c r="Q39" s="1809" t="str">
        <f t="shared" si="11"/>
        <v>物业管理</v>
      </c>
      <c r="R39" s="774" t="s">
        <v>17</v>
      </c>
      <c r="S39" s="775">
        <f t="shared" si="12"/>
        <v>100</v>
      </c>
      <c r="T39" s="774" t="s">
        <v>17</v>
      </c>
      <c r="U39" s="775">
        <f t="shared" si="13"/>
        <v>100</v>
      </c>
      <c r="V39" s="774" t="s">
        <v>17</v>
      </c>
      <c r="W39" s="775">
        <f t="shared" si="14"/>
        <v>100</v>
      </c>
      <c r="X39" s="1812"/>
      <c r="Y39" s="3243" t="s">
        <v>2553</v>
      </c>
      <c r="Z39" s="1813" t="str">
        <f t="shared" si="15"/>
        <v>物业管理</v>
      </c>
      <c r="AA39" s="1810">
        <f t="shared" si="3"/>
        <v>1</v>
      </c>
      <c r="AB39" s="1810">
        <f t="shared" si="4"/>
        <v>1</v>
      </c>
      <c r="AC39" s="2670">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3"/>
      <c r="Q40" s="1809" t="str">
        <f t="shared" si="11"/>
        <v>市政基础设施</v>
      </c>
      <c r="R40" s="774" t="s">
        <v>17</v>
      </c>
      <c r="S40" s="775">
        <f t="shared" si="12"/>
        <v>100</v>
      </c>
      <c r="T40" s="774" t="s">
        <v>17</v>
      </c>
      <c r="U40" s="775">
        <f t="shared" si="13"/>
        <v>100</v>
      </c>
      <c r="V40" s="774" t="s">
        <v>17</v>
      </c>
      <c r="W40" s="775">
        <f t="shared" si="14"/>
        <v>100</v>
      </c>
      <c r="X40" s="1812"/>
      <c r="Y40" s="3243"/>
      <c r="Z40" s="1813" t="str">
        <f t="shared" si="15"/>
        <v>市政基础设施</v>
      </c>
      <c r="AA40" s="1810">
        <f t="shared" si="3"/>
        <v>1</v>
      </c>
      <c r="AB40" s="1810">
        <f t="shared" si="4"/>
        <v>1</v>
      </c>
      <c r="AC40" s="2670">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3"/>
      <c r="Q41" s="1809" t="str">
        <f t="shared" si="11"/>
        <v>层高</v>
      </c>
      <c r="R41" s="774" t="s">
        <v>17</v>
      </c>
      <c r="S41" s="775">
        <f t="shared" si="12"/>
        <v>100</v>
      </c>
      <c r="T41" s="774" t="s">
        <v>17</v>
      </c>
      <c r="U41" s="775">
        <f t="shared" si="13"/>
        <v>100</v>
      </c>
      <c r="V41" s="774" t="s">
        <v>17</v>
      </c>
      <c r="W41" s="775">
        <f t="shared" si="14"/>
        <v>100</v>
      </c>
      <c r="X41" s="1812"/>
      <c r="Y41" s="3243"/>
      <c r="Z41" s="1813" t="str">
        <f t="shared" si="15"/>
        <v>层高</v>
      </c>
      <c r="AA41" s="1810">
        <f t="shared" si="3"/>
        <v>1</v>
      </c>
      <c r="AB41" s="1810">
        <f t="shared" si="4"/>
        <v>1</v>
      </c>
      <c r="AC41" s="2670">
        <f t="shared" si="5"/>
        <v>1</v>
      </c>
    </row>
    <row r="42" spans="1:29" s="471" customFormat="1" ht="15">
      <c r="A42" s="468"/>
      <c r="B42" s="1811"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3"/>
      <c r="Q42" s="776" t="str">
        <f t="shared" si="11"/>
        <v>单套建筑面积</v>
      </c>
      <c r="R42" s="777" t="s">
        <v>17</v>
      </c>
      <c r="S42" s="778">
        <f t="shared" si="12"/>
        <v>100</v>
      </c>
      <c r="T42" s="777" t="s">
        <v>17</v>
      </c>
      <c r="U42" s="778">
        <f t="shared" si="13"/>
        <v>100</v>
      </c>
      <c r="V42" s="777" t="s">
        <v>17</v>
      </c>
      <c r="W42" s="778">
        <f t="shared" si="14"/>
        <v>100</v>
      </c>
      <c r="X42" s="779"/>
      <c r="Y42" s="3243"/>
      <c r="Z42" s="780" t="str">
        <f t="shared" si="15"/>
        <v>单套建筑面积</v>
      </c>
      <c r="AA42" s="1810">
        <f t="shared" si="3"/>
        <v>1</v>
      </c>
      <c r="AB42" s="1810">
        <f t="shared" si="4"/>
        <v>1</v>
      </c>
      <c r="AC42" s="2670">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3"/>
      <c r="Q43" s="1809" t="str">
        <f t="shared" si="11"/>
        <v>内部装修</v>
      </c>
      <c r="R43" s="774" t="s">
        <v>17</v>
      </c>
      <c r="S43" s="775">
        <f t="shared" si="12"/>
        <v>100</v>
      </c>
      <c r="T43" s="774" t="s">
        <v>17</v>
      </c>
      <c r="U43" s="775">
        <f t="shared" si="13"/>
        <v>100</v>
      </c>
      <c r="V43" s="774" t="s">
        <v>17</v>
      </c>
      <c r="W43" s="775">
        <f t="shared" si="14"/>
        <v>100</v>
      </c>
      <c r="X43" s="1812"/>
      <c r="Y43" s="3243"/>
      <c r="Z43" s="1813" t="str">
        <f t="shared" si="15"/>
        <v>内部装修</v>
      </c>
      <c r="AA43" s="1810">
        <f t="shared" si="3"/>
        <v>1</v>
      </c>
      <c r="AB43" s="1810">
        <f t="shared" si="4"/>
        <v>1</v>
      </c>
      <c r="AC43" s="2670">
        <f t="shared" si="5"/>
        <v>1</v>
      </c>
    </row>
    <row r="44" spans="1:29" ht="15">
      <c r="A44" s="472"/>
      <c r="B44" s="422" t="s">
        <v>2564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83"/>
      <c r="Q44" s="1809" t="str">
        <f t="shared" si="11"/>
        <v>内部装修维护情况</v>
      </c>
      <c r="R44" s="774" t="s">
        <v>17</v>
      </c>
      <c r="S44" s="775">
        <f t="shared" si="12"/>
        <v>100</v>
      </c>
      <c r="T44" s="774" t="s">
        <v>17</v>
      </c>
      <c r="U44" s="775">
        <f t="shared" si="13"/>
        <v>100</v>
      </c>
      <c r="V44" s="774" t="s">
        <v>17</v>
      </c>
      <c r="W44" s="775">
        <f t="shared" si="14"/>
        <v>100</v>
      </c>
      <c r="X44" s="1812"/>
      <c r="Y44" s="3243"/>
      <c r="Z44" s="1813" t="str">
        <f t="shared" si="15"/>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3"/>
      <c r="Q45" s="1794">
        <f t="shared" si="11"/>
        <v>111</v>
      </c>
      <c r="R45" s="770" t="s">
        <v>17</v>
      </c>
      <c r="S45" s="771">
        <f t="shared" si="12"/>
        <v>100</v>
      </c>
      <c r="T45" s="770" t="s">
        <v>17</v>
      </c>
      <c r="U45" s="771">
        <f t="shared" si="13"/>
        <v>100</v>
      </c>
      <c r="V45" s="770" t="s">
        <v>17</v>
      </c>
      <c r="W45" s="771">
        <f t="shared" si="14"/>
        <v>100</v>
      </c>
      <c r="X45" s="772"/>
      <c r="Y45" s="3243"/>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3"/>
      <c r="Q46" s="1809">
        <f t="shared" si="11"/>
        <v>111</v>
      </c>
      <c r="R46" s="774" t="s">
        <v>17</v>
      </c>
      <c r="S46" s="775">
        <f t="shared" si="12"/>
        <v>100</v>
      </c>
      <c r="T46" s="774" t="s">
        <v>17</v>
      </c>
      <c r="U46" s="775">
        <f t="shared" si="13"/>
        <v>100</v>
      </c>
      <c r="V46" s="774" t="s">
        <v>17</v>
      </c>
      <c r="W46" s="775">
        <f t="shared" si="14"/>
        <v>100</v>
      </c>
      <c r="X46" s="1812"/>
      <c r="Y46" s="3243"/>
      <c r="Z46" s="1813">
        <f t="shared" si="15"/>
        <v>111</v>
      </c>
      <c r="AA46" s="1810">
        <f t="shared" si="3"/>
        <v>1</v>
      </c>
      <c r="AB46" s="1810">
        <f t="shared" si="4"/>
        <v>1</v>
      </c>
      <c r="AC46" s="2670">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4"/>
      <c r="Q47" s="1809">
        <f t="shared" si="11"/>
        <v>111</v>
      </c>
      <c r="R47" s="774" t="s">
        <v>17</v>
      </c>
      <c r="S47" s="775">
        <f t="shared" si="12"/>
        <v>100</v>
      </c>
      <c r="T47" s="774" t="s">
        <v>17</v>
      </c>
      <c r="U47" s="775">
        <f t="shared" si="13"/>
        <v>100</v>
      </c>
      <c r="V47" s="774" t="s">
        <v>17</v>
      </c>
      <c r="W47" s="775">
        <f t="shared" si="14"/>
        <v>100</v>
      </c>
      <c r="X47" s="1812"/>
      <c r="Y47" s="3285"/>
      <c r="Z47" s="1813">
        <f t="shared" si="15"/>
        <v>111</v>
      </c>
      <c r="AA47" s="1810">
        <f t="shared" si="3"/>
        <v>1</v>
      </c>
      <c r="AB47" s="1810">
        <f t="shared" si="4"/>
        <v>1</v>
      </c>
      <c r="AC47" s="2670">
        <f t="shared" si="5"/>
        <v>1</v>
      </c>
    </row>
    <row r="48" spans="1:29" ht="15">
      <c r="A48" s="479" t="s">
        <v>2565</v>
      </c>
      <c r="B48" s="480"/>
      <c r="C48" s="1407" t="s">
        <v>1</v>
      </c>
      <c r="D48" s="1408"/>
      <c r="E48" s="1409"/>
      <c r="F48" s="1410"/>
      <c r="G48" s="1411"/>
      <c r="H48" s="1412"/>
      <c r="I48" s="1409"/>
      <c r="J48" s="485"/>
      <c r="K48" s="783"/>
      <c r="L48" s="1143"/>
      <c r="M48" s="1131"/>
      <c r="N48" s="1131"/>
      <c r="O48" s="1131"/>
      <c r="P48" s="3237" t="str">
        <f>A48</f>
        <v>成交单价（元/平方米）</v>
      </c>
      <c r="Q48" s="3238"/>
      <c r="R48" s="3281">
        <f>E48</f>
        <v>0</v>
      </c>
      <c r="S48" s="3281"/>
      <c r="T48" s="3281">
        <f>G48</f>
        <v>0</v>
      </c>
      <c r="U48" s="3281"/>
      <c r="V48" s="3281">
        <f>I48</f>
        <v>0</v>
      </c>
      <c r="W48" s="3281"/>
      <c r="X48" s="446"/>
      <c r="Y48" s="781"/>
      <c r="Z48" s="446"/>
      <c r="AA48" s="446"/>
      <c r="AB48" s="446"/>
      <c r="AC48" s="630"/>
    </row>
    <row r="49" spans="1:29" ht="15.75" thickBot="1">
      <c r="A49" s="486" t="s">
        <v>2657</v>
      </c>
      <c r="B49" s="487"/>
      <c r="C49" s="1413" t="e">
        <f>R50</f>
        <v>#DIV/0!</v>
      </c>
      <c r="D49" s="1414"/>
      <c r="E49" s="1415" t="e">
        <f>R49</f>
        <v>#DIV/0!</v>
      </c>
      <c r="F49" s="1415"/>
      <c r="G49" s="1413" t="e">
        <f>T49</f>
        <v>#DIV/0!</v>
      </c>
      <c r="H49" s="1414"/>
      <c r="I49" s="1415" t="e">
        <f>V49</f>
        <v>#DIV/0!</v>
      </c>
      <c r="J49" s="489"/>
      <c r="K49" s="784"/>
      <c r="L49" s="1143"/>
      <c r="M49" s="1131"/>
      <c r="N49" s="1131"/>
      <c r="O49" s="1131"/>
      <c r="P49" s="3237" t="str">
        <f>A49</f>
        <v>比较价值（元/平方米）</v>
      </c>
      <c r="Q49" s="3238"/>
      <c r="R49" s="3281" t="e">
        <f>IF(F1="售价",ROUND(PRODUCT(R48,AA7:AA47),0),ROUND(PRODUCT(R48,AA7:AA47),1))</f>
        <v>#DIV/0!</v>
      </c>
      <c r="S49" s="3281"/>
      <c r="T49" s="3281" t="e">
        <f>IF(F1="售价",ROUND(PRODUCT(T48,AB7:AB47),0),ROUND(PRODUCT(T48,AB7:AB47),1))</f>
        <v>#DIV/0!</v>
      </c>
      <c r="U49" s="3281"/>
      <c r="V49" s="3281" t="e">
        <f>IF(F1="售价",ROUND(PRODUCT(V48,AC7:AC47),0),ROUND(PRODUCT(V48,AC7:AC47),1))</f>
        <v>#DIV/0!</v>
      </c>
      <c r="W49" s="3281"/>
      <c r="X49" s="446"/>
      <c r="Y49" s="446"/>
      <c r="Z49" s="446"/>
      <c r="AA49" s="446"/>
      <c r="AB49" s="446"/>
      <c r="AC49" s="630"/>
    </row>
    <row r="50" spans="1:29" ht="15.75" thickBot="1">
      <c r="A50" s="492" t="s">
        <v>2658</v>
      </c>
      <c r="B50" s="493"/>
      <c r="C50" s="1417" t="e">
        <f>R50</f>
        <v>#DIV/0!</v>
      </c>
      <c r="D50" s="1417"/>
      <c r="E50" s="1417"/>
      <c r="F50" s="1417"/>
      <c r="G50" s="1417"/>
      <c r="H50" s="1417"/>
      <c r="I50" s="1417"/>
      <c r="J50" s="494"/>
      <c r="K50" s="785"/>
      <c r="L50" s="1143"/>
      <c r="M50" s="1131"/>
      <c r="N50" s="1131"/>
      <c r="O50" s="1131"/>
      <c r="P50" s="3319" t="str">
        <f>A50</f>
        <v>估价对象XX用房的比较价值（楼面单价，元/平方米）</v>
      </c>
      <c r="Q50" s="3320"/>
      <c r="R50" s="3321" t="e">
        <f>IF(F1="售价",ROUND(AVERAGE(R49:V49),0),ROUND(AVERAGE(R49:V49),1))</f>
        <v>#DIV/0!</v>
      </c>
      <c r="S50" s="3321"/>
      <c r="T50" s="3321"/>
      <c r="U50" s="3321"/>
      <c r="V50" s="3321"/>
      <c r="W50" s="3321"/>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2662</v>
      </c>
      <c r="B58" s="759"/>
      <c r="C58" s="764"/>
      <c r="D58" s="764"/>
      <c r="E58" s="764"/>
      <c r="F58" s="765"/>
      <c r="G58" s="765"/>
      <c r="H58" s="764"/>
      <c r="I58" s="764"/>
      <c r="J58" s="764"/>
      <c r="K58" s="766"/>
      <c r="L58" s="1161"/>
      <c r="M58" s="1159"/>
      <c r="N58" s="1159"/>
      <c r="O58" s="1159"/>
      <c r="P58" s="2677"/>
      <c r="Q58" s="504"/>
    </row>
    <row r="59" spans="1:29" s="508" customFormat="1" ht="15">
      <c r="A59" s="505" t="s">
        <v>2536</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2573</v>
      </c>
      <c r="B61" s="516"/>
      <c r="C61" s="517"/>
      <c r="D61" s="518"/>
      <c r="E61" s="518"/>
      <c r="F61" s="518"/>
      <c r="G61" s="518"/>
      <c r="H61" s="518"/>
      <c r="I61" s="518"/>
      <c r="J61" s="518"/>
      <c r="K61" s="518"/>
      <c r="L61" s="518"/>
      <c r="M61" s="519"/>
      <c r="N61" s="518"/>
      <c r="O61" s="519"/>
      <c r="P61" s="2678"/>
      <c r="Q61" s="504"/>
    </row>
    <row r="62" spans="1:29" s="117" customFormat="1" ht="15">
      <c r="A62" s="521" t="s">
        <v>2538</v>
      </c>
      <c r="B62" s="510"/>
      <c r="C62" s="522" t="s">
        <v>2640</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2576</v>
      </c>
      <c r="B64" s="528" t="s">
        <v>2542</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2687</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2551</v>
      </c>
      <c r="B101" s="528" t="s">
        <v>2600</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2602</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2604</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2688</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2605</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2606</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2689</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2672</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2608</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F3" sqref="F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2516</v>
      </c>
      <c r="B1" s="2665" t="s">
        <v>2690</v>
      </c>
      <c r="C1" s="1619" t="s">
        <v>2518</v>
      </c>
      <c r="D1" s="1620"/>
      <c r="E1" s="1629"/>
      <c r="F1" s="2582"/>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4"/>
      <c r="D2" s="1124"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2632</v>
      </c>
      <c r="D3" s="399">
        <f>IF(D1="",'数据-汇总表'!E3,SUMIF('数据-汇总表'!$C19:$C33,D1,'数据-汇总表'!$E19:$E33))</f>
        <v>405562.81999999995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35" t="s">
        <v>2634</v>
      </c>
      <c r="D4" s="3248"/>
      <c r="E4" s="3249" t="s">
        <v>2635</v>
      </c>
      <c r="F4" s="3250"/>
      <c r="G4" s="3235" t="s">
        <v>2636</v>
      </c>
      <c r="H4" s="3248"/>
      <c r="I4" s="3235" t="s">
        <v>2637</v>
      </c>
      <c r="J4" s="3248"/>
      <c r="K4" s="610" t="s">
        <v>2638</v>
      </c>
      <c r="L4" s="1130"/>
      <c r="M4" s="1131"/>
      <c r="N4" s="1131"/>
      <c r="O4" s="1131"/>
      <c r="P4" s="3251" t="s">
        <v>2639</v>
      </c>
      <c r="Q4" s="3252"/>
      <c r="R4" s="3257" t="s">
        <v>2635</v>
      </c>
      <c r="S4" s="3258"/>
      <c r="T4" s="3257" t="s">
        <v>2636</v>
      </c>
      <c r="U4" s="3258"/>
      <c r="V4" s="3244" t="s">
        <v>2637</v>
      </c>
      <c r="W4" s="3244"/>
      <c r="X4" s="1812"/>
      <c r="Y4" s="3257" t="s">
        <v>2639</v>
      </c>
      <c r="Z4" s="3258"/>
      <c r="AA4" s="3245" t="s">
        <v>2635</v>
      </c>
      <c r="AB4" s="3246" t="s">
        <v>2636</v>
      </c>
      <c r="AC4" s="3245" t="s">
        <v>2637</v>
      </c>
    </row>
    <row r="5" spans="1:29" ht="15">
      <c r="A5" s="404"/>
      <c r="B5" s="405"/>
      <c r="C5" s="3265" t="s">
        <v>2530</v>
      </c>
      <c r="D5" s="3266"/>
      <c r="E5" s="3272" t="s">
        <v>2531</v>
      </c>
      <c r="F5" s="3273"/>
      <c r="G5" s="3265" t="s">
        <v>2532</v>
      </c>
      <c r="H5" s="3266"/>
      <c r="I5" s="3265" t="s">
        <v>2533</v>
      </c>
      <c r="J5" s="3266"/>
      <c r="K5" s="610"/>
      <c r="L5" s="1130"/>
      <c r="M5" s="1131"/>
      <c r="N5" s="1131"/>
      <c r="O5" s="1131"/>
      <c r="P5" s="3253"/>
      <c r="Q5" s="3254"/>
      <c r="R5" s="3259"/>
      <c r="S5" s="3260"/>
      <c r="T5" s="3259"/>
      <c r="U5" s="3260"/>
      <c r="V5" s="3244"/>
      <c r="W5" s="3244"/>
      <c r="X5" s="1812"/>
      <c r="Y5" s="3259"/>
      <c r="Z5" s="3260"/>
      <c r="AA5" s="3246"/>
      <c r="AB5" s="3246"/>
      <c r="AC5" s="3246"/>
    </row>
    <row r="6" spans="1:29" ht="15.75" thickBot="1">
      <c r="A6" s="406"/>
      <c r="B6" s="407"/>
      <c r="C6" s="3263" t="s">
        <v>2534</v>
      </c>
      <c r="D6" s="3264"/>
      <c r="E6" s="3270" t="s">
        <v>2534</v>
      </c>
      <c r="F6" s="3271"/>
      <c r="G6" s="3263" t="s">
        <v>2534</v>
      </c>
      <c r="H6" s="3264"/>
      <c r="I6" s="3263" t="s">
        <v>2534</v>
      </c>
      <c r="J6" s="3264"/>
      <c r="K6" s="610" t="s">
        <v>2535</v>
      </c>
      <c r="L6" s="1130"/>
      <c r="M6" s="1131"/>
      <c r="N6" s="1131"/>
      <c r="O6" s="1131"/>
      <c r="P6" s="3255"/>
      <c r="Q6" s="3256"/>
      <c r="R6" s="3259"/>
      <c r="S6" s="3260"/>
      <c r="T6" s="3261"/>
      <c r="U6" s="3262"/>
      <c r="V6" s="3244"/>
      <c r="W6" s="3244"/>
      <c r="X6" s="1812"/>
      <c r="Y6" s="3261"/>
      <c r="Z6" s="3262"/>
      <c r="AA6" s="3247"/>
      <c r="AB6" s="3247"/>
      <c r="AC6" s="3247"/>
    </row>
    <row r="7" spans="1:29" s="117" customFormat="1" ht="15.75" thickBot="1">
      <c r="A7" s="408" t="s">
        <v>2536</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7" t="s">
        <v>2537</v>
      </c>
      <c r="Q7" s="3269"/>
      <c r="R7" s="770" t="s">
        <v>17</v>
      </c>
      <c r="S7" s="771">
        <f t="shared" ref="S7:S15" si="0">F7</f>
        <v>0</v>
      </c>
      <c r="T7" s="770" t="s">
        <v>17</v>
      </c>
      <c r="U7" s="771">
        <f t="shared" ref="U7:U15" si="1">H7</f>
        <v>0</v>
      </c>
      <c r="V7" s="770" t="s">
        <v>17</v>
      </c>
      <c r="W7" s="771">
        <f t="shared" ref="W7:W15" si="2">J7</f>
        <v>0</v>
      </c>
      <c r="X7" s="772"/>
      <c r="Y7" s="3267" t="s">
        <v>2537</v>
      </c>
      <c r="Z7" s="3268"/>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7" t="s">
        <v>2540</v>
      </c>
      <c r="Q8" s="3268"/>
      <c r="R8" s="770" t="s">
        <v>17</v>
      </c>
      <c r="S8" s="771">
        <f t="shared" si="0"/>
        <v>0</v>
      </c>
      <c r="T8" s="770" t="s">
        <v>17</v>
      </c>
      <c r="U8" s="771">
        <f t="shared" si="1"/>
        <v>0</v>
      </c>
      <c r="V8" s="770" t="s">
        <v>17</v>
      </c>
      <c r="W8" s="771">
        <f t="shared" si="2"/>
        <v>0</v>
      </c>
      <c r="X8" s="772"/>
      <c r="Y8" s="3267" t="s">
        <v>2540</v>
      </c>
      <c r="Z8" s="3268"/>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8" t="s">
        <v>2543</v>
      </c>
      <c r="Q9" s="1794" t="str">
        <f t="shared" ref="Q9:Q15" si="6">B9</f>
        <v>用途</v>
      </c>
      <c r="R9" s="770" t="s">
        <v>17</v>
      </c>
      <c r="S9" s="771">
        <f t="shared" si="0"/>
        <v>100</v>
      </c>
      <c r="T9" s="770" t="s">
        <v>17</v>
      </c>
      <c r="U9" s="771">
        <f t="shared" si="1"/>
        <v>100</v>
      </c>
      <c r="V9" s="770" t="s">
        <v>17</v>
      </c>
      <c r="W9" s="771">
        <f t="shared" si="2"/>
        <v>100</v>
      </c>
      <c r="X9" s="772"/>
      <c r="Y9" s="3075"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8"/>
      <c r="Q10" s="1794"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8"/>
      <c r="Q11" s="1794"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38"/>
      <c r="Q12" s="1794">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38"/>
      <c r="Q13" s="1794">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38"/>
      <c r="Q14" s="1794">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57">
      <c r="A15" s="440" t="s">
        <v>2547</v>
      </c>
      <c r="B15" s="69" t="s">
        <v>2691</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0" t="s">
        <v>2548</v>
      </c>
      <c r="Q15" s="1809" t="str">
        <f t="shared" si="6"/>
        <v>产业集聚程度</v>
      </c>
      <c r="R15" s="774" t="s">
        <v>17</v>
      </c>
      <c r="S15" s="775">
        <f t="shared" si="0"/>
        <v>100</v>
      </c>
      <c r="T15" s="774" t="s">
        <v>17</v>
      </c>
      <c r="U15" s="775">
        <f t="shared" si="1"/>
        <v>100</v>
      </c>
      <c r="V15" s="774" t="s">
        <v>17</v>
      </c>
      <c r="W15" s="775">
        <f t="shared" si="2"/>
        <v>100</v>
      </c>
      <c r="X15" s="1812"/>
      <c r="Y15" s="3240" t="s">
        <v>2548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41"/>
      <c r="Q16" s="1809"/>
      <c r="R16" s="774"/>
      <c r="S16" s="775"/>
      <c r="T16" s="774"/>
      <c r="U16" s="775"/>
      <c r="V16" s="774"/>
      <c r="W16" s="775"/>
      <c r="X16" s="1812"/>
      <c r="Y16" s="3241"/>
      <c r="Z16" s="1813"/>
      <c r="AA16" s="1810">
        <v>1</v>
      </c>
      <c r="AB16" s="1810">
        <v>1</v>
      </c>
      <c r="AC16" s="1810">
        <v>1</v>
      </c>
    </row>
    <row r="17" spans="1:29" ht="85.5">
      <c r="A17" s="428"/>
      <c r="B17" s="451" t="s">
        <v>2088</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1"/>
      <c r="Q17" s="1809" t="str">
        <f>B17</f>
        <v>交通便捷度</v>
      </c>
      <c r="R17" s="774" t="s">
        <v>17</v>
      </c>
      <c r="S17" s="775">
        <f>F17</f>
        <v>100</v>
      </c>
      <c r="T17" s="774" t="s">
        <v>17</v>
      </c>
      <c r="U17" s="775">
        <f>H17</f>
        <v>100</v>
      </c>
      <c r="V17" s="774" t="s">
        <v>17</v>
      </c>
      <c r="W17" s="775">
        <f>J17</f>
        <v>100</v>
      </c>
      <c r="X17" s="1812"/>
      <c r="Y17" s="3241"/>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41"/>
      <c r="Q18" s="1809"/>
      <c r="R18" s="774"/>
      <c r="S18" s="775"/>
      <c r="T18" s="774"/>
      <c r="U18" s="775"/>
      <c r="V18" s="774"/>
      <c r="W18" s="775"/>
      <c r="X18" s="1812"/>
      <c r="Y18" s="3241"/>
      <c r="Z18" s="1813"/>
      <c r="AA18" s="1810">
        <v>1</v>
      </c>
      <c r="AB18" s="1810">
        <v>1</v>
      </c>
      <c r="AC18" s="1810">
        <v>1</v>
      </c>
    </row>
    <row r="19" spans="1:29" ht="42.75">
      <c r="A19" s="428"/>
      <c r="B19" s="451" t="s">
        <v>2676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1"/>
      <c r="Q19" s="1809" t="str">
        <f>B19</f>
        <v>公共配套设施</v>
      </c>
      <c r="R19" s="774" t="s">
        <v>17</v>
      </c>
      <c r="S19" s="775">
        <f>F19</f>
        <v>100</v>
      </c>
      <c r="T19" s="774" t="s">
        <v>17</v>
      </c>
      <c r="U19" s="775">
        <f>H19</f>
        <v>100</v>
      </c>
      <c r="V19" s="774" t="s">
        <v>17</v>
      </c>
      <c r="W19" s="775">
        <f>J19</f>
        <v>100</v>
      </c>
      <c r="X19" s="1812"/>
      <c r="Y19" s="3241"/>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41"/>
      <c r="Q20" s="1809"/>
      <c r="R20" s="774"/>
      <c r="S20" s="775"/>
      <c r="T20" s="774"/>
      <c r="U20" s="775"/>
      <c r="V20" s="774"/>
      <c r="W20" s="775"/>
      <c r="X20" s="1812"/>
      <c r="Y20" s="3241"/>
      <c r="Z20" s="1813"/>
      <c r="AA20" s="1810">
        <v>1</v>
      </c>
      <c r="AB20" s="1810">
        <v>1</v>
      </c>
      <c r="AC20" s="1810">
        <v>1</v>
      </c>
    </row>
    <row r="21" spans="1:29" ht="28.5">
      <c r="A21" s="428"/>
      <c r="B21" s="1384" t="s">
        <v>2677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1"/>
      <c r="Q21" s="1809" t="str">
        <f>B21</f>
        <v>基础设施水平</v>
      </c>
      <c r="R21" s="774" t="s">
        <v>17</v>
      </c>
      <c r="S21" s="775">
        <f>F21</f>
        <v>100</v>
      </c>
      <c r="T21" s="774" t="s">
        <v>17</v>
      </c>
      <c r="U21" s="775">
        <f>H21</f>
        <v>100</v>
      </c>
      <c r="V21" s="774" t="s">
        <v>17</v>
      </c>
      <c r="W21" s="775">
        <f>J21</f>
        <v>100</v>
      </c>
      <c r="X21" s="1812"/>
      <c r="Y21" s="3241"/>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241"/>
      <c r="Q22" s="1809"/>
      <c r="R22" s="774"/>
      <c r="S22" s="775"/>
      <c r="T22" s="774"/>
      <c r="U22" s="775"/>
      <c r="V22" s="774"/>
      <c r="W22" s="775"/>
      <c r="X22" s="1812"/>
      <c r="Y22" s="3241"/>
      <c r="Z22" s="1813"/>
      <c r="AA22" s="1810">
        <v>1</v>
      </c>
      <c r="AB22" s="1810">
        <v>1</v>
      </c>
      <c r="AC22" s="1810">
        <v>1</v>
      </c>
    </row>
    <row r="23" spans="1:29" ht="71.25">
      <c r="A23" s="428"/>
      <c r="B23" s="451" t="s">
        <v>2678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1"/>
      <c r="Q23" s="1809" t="str">
        <f>B23</f>
        <v>环境质量</v>
      </c>
      <c r="R23" s="774" t="s">
        <v>17</v>
      </c>
      <c r="S23" s="775">
        <f>F23</f>
        <v>100</v>
      </c>
      <c r="T23" s="774" t="s">
        <v>17</v>
      </c>
      <c r="U23" s="775">
        <f>H23</f>
        <v>100</v>
      </c>
      <c r="V23" s="774" t="s">
        <v>17</v>
      </c>
      <c r="W23" s="775">
        <f>J23</f>
        <v>100</v>
      </c>
      <c r="X23" s="1812"/>
      <c r="Y23" s="3241"/>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241"/>
      <c r="Q24" s="1809"/>
      <c r="R24" s="774"/>
      <c r="S24" s="775"/>
      <c r="T24" s="774"/>
      <c r="U24" s="775"/>
      <c r="V24" s="774"/>
      <c r="W24" s="775"/>
      <c r="X24" s="1812"/>
      <c r="Y24" s="324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1"/>
      <c r="Q25" s="1809">
        <f>B25</f>
        <v>111</v>
      </c>
      <c r="R25" s="774" t="s">
        <v>17</v>
      </c>
      <c r="S25" s="775">
        <f>F25</f>
        <v>100</v>
      </c>
      <c r="T25" s="774" t="s">
        <v>17</v>
      </c>
      <c r="U25" s="775">
        <f>H25</f>
        <v>100</v>
      </c>
      <c r="V25" s="774" t="s">
        <v>17</v>
      </c>
      <c r="W25" s="775">
        <f>J25</f>
        <v>100</v>
      </c>
      <c r="X25" s="1812"/>
      <c r="Y25" s="324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1"/>
      <c r="Q26" s="1809">
        <f t="shared" ref="Q26:Q40" si="11">B26</f>
        <v>111</v>
      </c>
      <c r="R26" s="774" t="s">
        <v>17</v>
      </c>
      <c r="S26" s="775">
        <f>F26</f>
        <v>100</v>
      </c>
      <c r="T26" s="774" t="s">
        <v>17</v>
      </c>
      <c r="U26" s="775">
        <f>H26</f>
        <v>100</v>
      </c>
      <c r="V26" s="774" t="s">
        <v>17</v>
      </c>
      <c r="W26" s="775">
        <f>J26</f>
        <v>100</v>
      </c>
      <c r="X26" s="1812"/>
      <c r="Y26" s="324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1"/>
      <c r="Q27" s="1794">
        <f t="shared" si="11"/>
        <v>111</v>
      </c>
      <c r="R27" s="770" t="s">
        <v>17</v>
      </c>
      <c r="S27" s="771">
        <f>F27</f>
        <v>100</v>
      </c>
      <c r="T27" s="770" t="s">
        <v>17</v>
      </c>
      <c r="U27" s="771">
        <f>H27</f>
        <v>100</v>
      </c>
      <c r="V27" s="770" t="s">
        <v>17</v>
      </c>
      <c r="W27" s="771">
        <f>J27</f>
        <v>100</v>
      </c>
      <c r="X27" s="772"/>
      <c r="Y27" s="324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1"/>
      <c r="Q28" s="1809">
        <f t="shared" si="11"/>
        <v>111</v>
      </c>
      <c r="R28" s="774" t="s">
        <v>17</v>
      </c>
      <c r="S28" s="775">
        <f t="shared" ref="S28:S40" si="12">F28</f>
        <v>100</v>
      </c>
      <c r="T28" s="774" t="s">
        <v>17</v>
      </c>
      <c r="U28" s="775">
        <f t="shared" ref="U28:U40" si="13">H28</f>
        <v>100</v>
      </c>
      <c r="V28" s="774" t="s">
        <v>17</v>
      </c>
      <c r="W28" s="775">
        <f t="shared" ref="W28:W40" si="14">J28</f>
        <v>100</v>
      </c>
      <c r="X28" s="1812"/>
      <c r="Y28" s="3241"/>
      <c r="Z28" s="1813">
        <f t="shared" ref="Z28:Z40" si="15">Q28</f>
        <v>111</v>
      </c>
      <c r="AA28" s="1810">
        <f t="shared" si="3"/>
        <v>1</v>
      </c>
      <c r="AB28" s="1810">
        <f t="shared" si="4"/>
        <v>1</v>
      </c>
      <c r="AC28" s="1810">
        <f t="shared" si="5"/>
        <v>1</v>
      </c>
    </row>
    <row r="29" spans="1:29" ht="28.5">
      <c r="A29" s="466" t="s">
        <v>2551</v>
      </c>
      <c r="B29" s="71" t="s">
        <v>2681</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42" t="s">
        <v>2553</v>
      </c>
      <c r="Q29" s="1809" t="str">
        <f t="shared" si="11"/>
        <v>建筑类型</v>
      </c>
      <c r="R29" s="774" t="s">
        <v>17</v>
      </c>
      <c r="S29" s="775">
        <f t="shared" si="12"/>
        <v>100</v>
      </c>
      <c r="T29" s="774" t="s">
        <v>17</v>
      </c>
      <c r="U29" s="775">
        <f t="shared" si="13"/>
        <v>100</v>
      </c>
      <c r="V29" s="774" t="s">
        <v>17</v>
      </c>
      <c r="W29" s="775">
        <f t="shared" si="14"/>
        <v>100</v>
      </c>
      <c r="X29" s="1812"/>
      <c r="Y29" s="3243" t="s">
        <v>2553</v>
      </c>
      <c r="Z29" s="1813" t="str">
        <f t="shared" si="15"/>
        <v>建筑类型</v>
      </c>
      <c r="AA29" s="1810">
        <f t="shared" si="3"/>
        <v>1</v>
      </c>
      <c r="AB29" s="1810">
        <f t="shared" si="4"/>
        <v>1</v>
      </c>
      <c r="AC29" s="1810">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3"/>
      <c r="Q30" s="776" t="str">
        <f t="shared" si="11"/>
        <v>项目建筑规模</v>
      </c>
      <c r="R30" s="777" t="s">
        <v>17</v>
      </c>
      <c r="S30" s="778" t="e">
        <f t="shared" si="12"/>
        <v>#N/A</v>
      </c>
      <c r="T30" s="777" t="s">
        <v>17</v>
      </c>
      <c r="U30" s="778" t="e">
        <f t="shared" si="13"/>
        <v>#N/A</v>
      </c>
      <c r="V30" s="777" t="s">
        <v>17</v>
      </c>
      <c r="W30" s="778" t="e">
        <f t="shared" si="14"/>
        <v>#N/A</v>
      </c>
      <c r="X30" s="779"/>
      <c r="Y30" s="3243"/>
      <c r="Z30" s="780" t="str">
        <f t="shared" si="15"/>
        <v>项目建筑规模</v>
      </c>
      <c r="AA30" s="1810" t="e">
        <f t="shared" si="3"/>
        <v>#N/A</v>
      </c>
      <c r="AB30" s="1810" t="e">
        <f t="shared" si="4"/>
        <v>#N/A</v>
      </c>
      <c r="AC30" s="1810"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3"/>
      <c r="Q31" s="1809" t="str">
        <f t="shared" si="11"/>
        <v>建筑结构</v>
      </c>
      <c r="R31" s="774" t="s">
        <v>17</v>
      </c>
      <c r="S31" s="775">
        <f t="shared" si="12"/>
        <v>100</v>
      </c>
      <c r="T31" s="774" t="s">
        <v>17</v>
      </c>
      <c r="U31" s="775">
        <f t="shared" si="13"/>
        <v>100</v>
      </c>
      <c r="V31" s="774" t="s">
        <v>17</v>
      </c>
      <c r="W31" s="775">
        <f t="shared" si="14"/>
        <v>100</v>
      </c>
      <c r="X31" s="1812"/>
      <c r="Y31" s="3243"/>
      <c r="Z31" s="1813" t="str">
        <f t="shared" si="15"/>
        <v>建筑结构</v>
      </c>
      <c r="AA31" s="1810">
        <f t="shared" si="3"/>
        <v>1</v>
      </c>
      <c r="AB31" s="1810">
        <f t="shared" si="4"/>
        <v>1</v>
      </c>
      <c r="AC31" s="1810">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3"/>
      <c r="Q32" s="1809" t="str">
        <f t="shared" si="11"/>
        <v>公共部分装修</v>
      </c>
      <c r="R32" s="774" t="s">
        <v>17</v>
      </c>
      <c r="S32" s="775">
        <f t="shared" si="12"/>
        <v>100</v>
      </c>
      <c r="T32" s="774" t="s">
        <v>17</v>
      </c>
      <c r="U32" s="775">
        <f t="shared" si="13"/>
        <v>100</v>
      </c>
      <c r="V32" s="774" t="s">
        <v>17</v>
      </c>
      <c r="W32" s="775">
        <f t="shared" si="14"/>
        <v>100</v>
      </c>
      <c r="X32" s="1812"/>
      <c r="Y32" s="3243"/>
      <c r="Z32" s="1813" t="str">
        <f t="shared" si="15"/>
        <v>公共部分装修</v>
      </c>
      <c r="AA32" s="1810">
        <f t="shared" si="3"/>
        <v>1</v>
      </c>
      <c r="AB32" s="1810">
        <f t="shared" si="4"/>
        <v>1</v>
      </c>
      <c r="AC32" s="1810">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3"/>
      <c r="Q33" s="1809" t="str">
        <f t="shared" si="11"/>
        <v>成新度</v>
      </c>
      <c r="R33" s="774" t="s">
        <v>17</v>
      </c>
      <c r="S33" s="775" t="e">
        <f t="shared" si="12"/>
        <v>#N/A</v>
      </c>
      <c r="T33" s="774" t="s">
        <v>17</v>
      </c>
      <c r="U33" s="775" t="e">
        <f t="shared" si="13"/>
        <v>#N/A</v>
      </c>
      <c r="V33" s="774" t="s">
        <v>17</v>
      </c>
      <c r="W33" s="775" t="e">
        <f t="shared" si="14"/>
        <v>#N/A</v>
      </c>
      <c r="X33" s="1812"/>
      <c r="Y33" s="3243"/>
      <c r="Z33" s="1813" t="str">
        <f t="shared" si="15"/>
        <v>成新度</v>
      </c>
      <c r="AA33" s="1810" t="e">
        <f t="shared" si="3"/>
        <v>#N/A</v>
      </c>
      <c r="AB33" s="1810" t="e">
        <f t="shared" si="4"/>
        <v>#N/A</v>
      </c>
      <c r="AC33" s="1810"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3"/>
      <c r="Q34" s="1794" t="str">
        <f t="shared" si="11"/>
        <v>物业管理</v>
      </c>
      <c r="R34" s="770" t="s">
        <v>17</v>
      </c>
      <c r="S34" s="771">
        <f t="shared" si="12"/>
        <v>100</v>
      </c>
      <c r="T34" s="770" t="s">
        <v>17</v>
      </c>
      <c r="U34" s="771">
        <f t="shared" si="13"/>
        <v>100</v>
      </c>
      <c r="V34" s="770" t="s">
        <v>17</v>
      </c>
      <c r="W34" s="771">
        <f t="shared" si="14"/>
        <v>100</v>
      </c>
      <c r="X34" s="772"/>
      <c r="Y34" s="3243"/>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3" t="s">
        <v>2553</v>
      </c>
      <c r="Q35" s="1809" t="str">
        <f t="shared" si="11"/>
        <v>市政基础设施</v>
      </c>
      <c r="R35" s="774" t="s">
        <v>17</v>
      </c>
      <c r="S35" s="775">
        <f t="shared" si="12"/>
        <v>100</v>
      </c>
      <c r="T35" s="774" t="s">
        <v>17</v>
      </c>
      <c r="U35" s="775">
        <f t="shared" si="13"/>
        <v>100</v>
      </c>
      <c r="V35" s="774" t="s">
        <v>17</v>
      </c>
      <c r="W35" s="775">
        <f t="shared" si="14"/>
        <v>100</v>
      </c>
      <c r="X35" s="1812"/>
      <c r="Y35" s="3243" t="s">
        <v>2553</v>
      </c>
      <c r="Z35" s="1813" t="str">
        <f t="shared" si="15"/>
        <v>市政基础设施</v>
      </c>
      <c r="AA35" s="1810">
        <f t="shared" si="3"/>
        <v>1</v>
      </c>
      <c r="AB35" s="1810">
        <f t="shared" si="4"/>
        <v>1</v>
      </c>
      <c r="AC35" s="1810">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3"/>
      <c r="Q36" s="1809" t="str">
        <f t="shared" si="11"/>
        <v>内部装修</v>
      </c>
      <c r="R36" s="774" t="s">
        <v>17</v>
      </c>
      <c r="S36" s="775">
        <f t="shared" si="12"/>
        <v>100</v>
      </c>
      <c r="T36" s="774" t="s">
        <v>17</v>
      </c>
      <c r="U36" s="775">
        <f t="shared" si="13"/>
        <v>100</v>
      </c>
      <c r="V36" s="774" t="s">
        <v>17</v>
      </c>
      <c r="W36" s="775">
        <f t="shared" si="14"/>
        <v>100</v>
      </c>
      <c r="X36" s="1812"/>
      <c r="Y36" s="3243"/>
      <c r="Z36" s="1813" t="str">
        <f t="shared" si="15"/>
        <v>内部装修</v>
      </c>
      <c r="AA36" s="1810">
        <f t="shared" si="3"/>
        <v>1</v>
      </c>
      <c r="AB36" s="1810">
        <f t="shared" si="4"/>
        <v>1</v>
      </c>
      <c r="AC36" s="1810">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3"/>
      <c r="Q37" s="1809" t="str">
        <f t="shared" si="11"/>
        <v>内部装修状况</v>
      </c>
      <c r="R37" s="774" t="s">
        <v>17</v>
      </c>
      <c r="S37" s="775">
        <f t="shared" si="12"/>
        <v>100</v>
      </c>
      <c r="T37" s="774" t="s">
        <v>17</v>
      </c>
      <c r="U37" s="775">
        <f t="shared" si="13"/>
        <v>100</v>
      </c>
      <c r="V37" s="774" t="s">
        <v>17</v>
      </c>
      <c r="W37" s="775">
        <f t="shared" si="14"/>
        <v>100</v>
      </c>
      <c r="X37" s="1812"/>
      <c r="Y37" s="324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3"/>
      <c r="Q38" s="776">
        <f t="shared" si="11"/>
        <v>111</v>
      </c>
      <c r="R38" s="777" t="s">
        <v>17</v>
      </c>
      <c r="S38" s="778">
        <f t="shared" si="12"/>
        <v>100</v>
      </c>
      <c r="T38" s="777" t="s">
        <v>17</v>
      </c>
      <c r="U38" s="778">
        <f t="shared" si="13"/>
        <v>100</v>
      </c>
      <c r="V38" s="777" t="s">
        <v>17</v>
      </c>
      <c r="W38" s="778">
        <f t="shared" si="14"/>
        <v>100</v>
      </c>
      <c r="X38" s="779"/>
      <c r="Y38" s="324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3"/>
      <c r="Q39" s="1809">
        <f t="shared" si="11"/>
        <v>111</v>
      </c>
      <c r="R39" s="774" t="s">
        <v>17</v>
      </c>
      <c r="S39" s="775">
        <f t="shared" si="12"/>
        <v>100</v>
      </c>
      <c r="T39" s="774" t="s">
        <v>17</v>
      </c>
      <c r="U39" s="775">
        <f t="shared" si="13"/>
        <v>100</v>
      </c>
      <c r="V39" s="774" t="s">
        <v>17</v>
      </c>
      <c r="W39" s="775">
        <f t="shared" si="14"/>
        <v>100</v>
      </c>
      <c r="X39" s="1812"/>
      <c r="Y39" s="3243"/>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5"/>
      <c r="Q40" s="1809">
        <f t="shared" si="11"/>
        <v>111</v>
      </c>
      <c r="R40" s="774" t="s">
        <v>17</v>
      </c>
      <c r="S40" s="775">
        <f t="shared" si="12"/>
        <v>100</v>
      </c>
      <c r="T40" s="774" t="s">
        <v>17</v>
      </c>
      <c r="U40" s="775">
        <f t="shared" si="13"/>
        <v>100</v>
      </c>
      <c r="V40" s="774" t="s">
        <v>17</v>
      </c>
      <c r="W40" s="775">
        <f t="shared" si="14"/>
        <v>100</v>
      </c>
      <c r="X40" s="1812"/>
      <c r="Y40" s="3285"/>
      <c r="Z40" s="1813">
        <f t="shared" si="15"/>
        <v>111</v>
      </c>
      <c r="AA40" s="1810">
        <f t="shared" si="3"/>
        <v>1</v>
      </c>
      <c r="AB40" s="1810">
        <f t="shared" si="4"/>
        <v>1</v>
      </c>
      <c r="AC40" s="1810">
        <f t="shared" si="5"/>
        <v>1</v>
      </c>
    </row>
    <row r="41" spans="1:29" ht="15">
      <c r="A41" s="479" t="s">
        <v>2565</v>
      </c>
      <c r="B41" s="480"/>
      <c r="C41" s="1407" t="s">
        <v>1</v>
      </c>
      <c r="D41" s="1408"/>
      <c r="E41" s="1409"/>
      <c r="F41" s="1410"/>
      <c r="G41" s="1411"/>
      <c r="H41" s="1412"/>
      <c r="I41" s="1409"/>
      <c r="J41" s="1412"/>
      <c r="K41" s="783"/>
      <c r="L41" s="1143"/>
      <c r="M41" s="1144"/>
      <c r="N41" s="1131"/>
      <c r="O41" s="1144"/>
      <c r="P41" s="3238" t="str">
        <f>A41</f>
        <v>成交单价（元/平方米）</v>
      </c>
      <c r="Q41" s="3238"/>
      <c r="R41" s="3281">
        <f>E41</f>
        <v>0</v>
      </c>
      <c r="S41" s="3281"/>
      <c r="T41" s="3281">
        <f>G41</f>
        <v>0</v>
      </c>
      <c r="U41" s="3281"/>
      <c r="V41" s="3281">
        <f>I41</f>
        <v>0</v>
      </c>
      <c r="W41" s="3281"/>
      <c r="X41" s="759"/>
      <c r="Y41" s="781"/>
      <c r="Z41" s="759"/>
      <c r="AA41" s="759"/>
      <c r="AB41" s="759"/>
      <c r="AC41" s="759"/>
    </row>
    <row r="42" spans="1:29" ht="15.75" thickBot="1">
      <c r="A42" s="486" t="s">
        <v>2657</v>
      </c>
      <c r="B42" s="487"/>
      <c r="C42" s="1413" t="e">
        <f>R43</f>
        <v>#DIV/0!</v>
      </c>
      <c r="D42" s="1414"/>
      <c r="E42" s="1415" t="e">
        <f>R42</f>
        <v>#DIV/0!</v>
      </c>
      <c r="F42" s="1415"/>
      <c r="G42" s="1413" t="e">
        <f>T42</f>
        <v>#DIV/0!</v>
      </c>
      <c r="H42" s="1414"/>
      <c r="I42" s="1415" t="e">
        <f>V42</f>
        <v>#DIV/0!</v>
      </c>
      <c r="J42" s="1414"/>
      <c r="K42" s="784"/>
      <c r="L42" s="1143"/>
      <c r="M42" s="1144"/>
      <c r="N42" s="1131"/>
      <c r="O42" s="1144"/>
      <c r="P42" s="3238" t="str">
        <f>A42</f>
        <v>比较价值（元/平方米）</v>
      </c>
      <c r="Q42" s="3238"/>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9"/>
      <c r="Y42" s="759"/>
      <c r="Z42" s="759"/>
      <c r="AA42" s="759"/>
      <c r="AB42" s="759"/>
      <c r="AC42" s="759"/>
    </row>
    <row r="43" spans="1:29" ht="15.75" thickBot="1">
      <c r="A43" s="492" t="s">
        <v>2658</v>
      </c>
      <c r="B43" s="493"/>
      <c r="C43" s="1417" t="e">
        <f>R43</f>
        <v>#DIV/0!</v>
      </c>
      <c r="D43" s="1417"/>
      <c r="E43" s="1417"/>
      <c r="F43" s="1417"/>
      <c r="G43" s="1417"/>
      <c r="H43" s="1417"/>
      <c r="I43" s="1417"/>
      <c r="J43" s="1417"/>
      <c r="K43" s="785"/>
      <c r="L43" s="1143"/>
      <c r="M43" s="1144"/>
      <c r="N43" s="1144"/>
      <c r="O43" s="1144"/>
      <c r="P43" s="3232" t="str">
        <f>A43</f>
        <v>估价对象XX用房的比较价值（楼面单价，元/平方米）</v>
      </c>
      <c r="Q43" s="3233"/>
      <c r="R43" s="3280" t="e">
        <f>IF(F1="售价",ROUND(AVERAGE(R42:V42),0),ROUND(AVERAGE(R42:V42),1))</f>
        <v>#DIV/0!</v>
      </c>
      <c r="S43" s="3280"/>
      <c r="T43" s="3280"/>
      <c r="U43" s="3280"/>
      <c r="V43" s="3280"/>
      <c r="W43" s="328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2662</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2576</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2551</v>
      </c>
      <c r="B88" s="528" t="s">
        <v>2600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2695</v>
      </c>
      <c r="B1" s="1618"/>
      <c r="C1" s="1619" t="s">
        <v>2518</v>
      </c>
      <c r="D1" s="1620"/>
      <c r="E1" s="1621"/>
      <c r="F1" s="2582"/>
      <c r="G1" s="1622" t="s">
        <v>2631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2632</v>
      </c>
      <c r="D3" s="399">
        <f>SUMIF('数据-汇总表'!$C19:$C33,D1,'数据-汇总表'!$E19:$E33)</f>
        <v>0</v>
      </c>
      <c r="E3" s="400" t="s">
        <v>2696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2633</v>
      </c>
      <c r="B4" s="402"/>
      <c r="C4" s="3235" t="s">
        <v>2634</v>
      </c>
      <c r="D4" s="3248"/>
      <c r="E4" s="3249" t="s">
        <v>2635</v>
      </c>
      <c r="F4" s="3250"/>
      <c r="G4" s="3235" t="s">
        <v>2636</v>
      </c>
      <c r="H4" s="3248"/>
      <c r="I4" s="3235" t="s">
        <v>2637</v>
      </c>
      <c r="J4" s="3248"/>
      <c r="K4" s="610" t="s">
        <v>2638</v>
      </c>
      <c r="L4" s="1130"/>
      <c r="M4" s="1131"/>
      <c r="N4" s="1131"/>
      <c r="O4" s="1131"/>
      <c r="P4" s="3251" t="s">
        <v>2639</v>
      </c>
      <c r="Q4" s="3252"/>
      <c r="R4" s="3257" t="s">
        <v>2635</v>
      </c>
      <c r="S4" s="3258"/>
      <c r="T4" s="3257" t="s">
        <v>2636</v>
      </c>
      <c r="U4" s="3258"/>
      <c r="V4" s="3244" t="s">
        <v>2637</v>
      </c>
      <c r="W4" s="3244"/>
      <c r="X4" s="1812"/>
      <c r="Y4" s="3257" t="s">
        <v>2639</v>
      </c>
      <c r="Z4" s="3258"/>
      <c r="AA4" s="3245" t="s">
        <v>2635</v>
      </c>
      <c r="AB4" s="3246" t="s">
        <v>2636</v>
      </c>
      <c r="AC4" s="3245" t="s">
        <v>2637</v>
      </c>
    </row>
    <row r="5" spans="1:29" ht="15">
      <c r="A5" s="404"/>
      <c r="B5" s="405"/>
      <c r="C5" s="3265" t="s">
        <v>2530</v>
      </c>
      <c r="D5" s="3266"/>
      <c r="E5" s="3272" t="s">
        <v>2531</v>
      </c>
      <c r="F5" s="3273"/>
      <c r="G5" s="3265" t="s">
        <v>2532</v>
      </c>
      <c r="H5" s="3266"/>
      <c r="I5" s="3265" t="s">
        <v>2533</v>
      </c>
      <c r="J5" s="3266"/>
      <c r="K5" s="610"/>
      <c r="L5" s="1130"/>
      <c r="M5" s="1131"/>
      <c r="N5" s="1131"/>
      <c r="O5" s="1131"/>
      <c r="P5" s="3253"/>
      <c r="Q5" s="3254"/>
      <c r="R5" s="3259"/>
      <c r="S5" s="3260"/>
      <c r="T5" s="3259"/>
      <c r="U5" s="3260"/>
      <c r="V5" s="3244"/>
      <c r="W5" s="3244"/>
      <c r="X5" s="1812"/>
      <c r="Y5" s="3259"/>
      <c r="Z5" s="3260"/>
      <c r="AA5" s="3246"/>
      <c r="AB5" s="3246"/>
      <c r="AC5" s="3246"/>
    </row>
    <row r="6" spans="1:29" ht="15.75" thickBot="1">
      <c r="A6" s="406"/>
      <c r="B6" s="407"/>
      <c r="C6" s="3263" t="s">
        <v>2534</v>
      </c>
      <c r="D6" s="3264"/>
      <c r="E6" s="3270" t="s">
        <v>2534</v>
      </c>
      <c r="F6" s="3271"/>
      <c r="G6" s="3263" t="s">
        <v>2534</v>
      </c>
      <c r="H6" s="3264"/>
      <c r="I6" s="3263" t="s">
        <v>2534</v>
      </c>
      <c r="J6" s="3264"/>
      <c r="K6" s="610" t="s">
        <v>2535</v>
      </c>
      <c r="L6" s="1130"/>
      <c r="M6" s="1131"/>
      <c r="N6" s="1131"/>
      <c r="O6" s="1131"/>
      <c r="P6" s="3255"/>
      <c r="Q6" s="3256"/>
      <c r="R6" s="3259"/>
      <c r="S6" s="3260"/>
      <c r="T6" s="3261"/>
      <c r="U6" s="3262"/>
      <c r="V6" s="3244"/>
      <c r="W6" s="3244"/>
      <c r="X6" s="1812"/>
      <c r="Y6" s="3261"/>
      <c r="Z6" s="3262"/>
      <c r="AA6" s="3247"/>
      <c r="AB6" s="3247"/>
      <c r="AC6" s="3247"/>
    </row>
    <row r="7" spans="1:29" s="117" customFormat="1" ht="15.75" thickBot="1">
      <c r="A7" s="408" t="s">
        <v>2536</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7" t="s">
        <v>2537</v>
      </c>
      <c r="Q7" s="3269"/>
      <c r="R7" s="770" t="s">
        <v>17</v>
      </c>
      <c r="S7" s="771">
        <f t="shared" ref="S7:S14" si="0">F7</f>
        <v>0</v>
      </c>
      <c r="T7" s="770" t="s">
        <v>17</v>
      </c>
      <c r="U7" s="771">
        <f t="shared" ref="U7:U14" si="1">H7</f>
        <v>0</v>
      </c>
      <c r="V7" s="770" t="s">
        <v>17</v>
      </c>
      <c r="W7" s="771">
        <f t="shared" ref="W7:W14" si="2">J7</f>
        <v>0</v>
      </c>
      <c r="X7" s="772"/>
      <c r="Y7" s="3267" t="s">
        <v>2537</v>
      </c>
      <c r="Z7" s="3268"/>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7" t="s">
        <v>2540</v>
      </c>
      <c r="Q8" s="3268"/>
      <c r="R8" s="770" t="s">
        <v>17</v>
      </c>
      <c r="S8" s="771">
        <f t="shared" si="0"/>
        <v>0</v>
      </c>
      <c r="T8" s="770" t="s">
        <v>17</v>
      </c>
      <c r="U8" s="771">
        <f t="shared" si="1"/>
        <v>0</v>
      </c>
      <c r="V8" s="770" t="s">
        <v>17</v>
      </c>
      <c r="W8" s="771">
        <f t="shared" si="2"/>
        <v>0</v>
      </c>
      <c r="X8" s="772"/>
      <c r="Y8" s="3267" t="s">
        <v>2540</v>
      </c>
      <c r="Z8" s="3268"/>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8" t="s">
        <v>2543</v>
      </c>
      <c r="Q9" s="1794" t="str">
        <f t="shared" ref="Q9:Q14" si="6">B9</f>
        <v>用途</v>
      </c>
      <c r="R9" s="770" t="s">
        <v>17</v>
      </c>
      <c r="S9" s="771">
        <f t="shared" si="0"/>
        <v>100</v>
      </c>
      <c r="T9" s="770" t="s">
        <v>17</v>
      </c>
      <c r="U9" s="771">
        <f t="shared" si="1"/>
        <v>100</v>
      </c>
      <c r="V9" s="770" t="s">
        <v>17</v>
      </c>
      <c r="W9" s="771">
        <f t="shared" si="2"/>
        <v>100</v>
      </c>
      <c r="X9" s="772"/>
      <c r="Y9" s="3075"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8"/>
      <c r="Q10" s="1794"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8"/>
      <c r="Q11" s="1794">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8"/>
      <c r="Q12" s="1794">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8"/>
      <c r="Q13" s="1794">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85.5">
      <c r="A14" s="401" t="s">
        <v>2547</v>
      </c>
      <c r="B14" s="629" t="s">
        <v>2697</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0" t="s">
        <v>2548</v>
      </c>
      <c r="Q14" s="1809" t="str">
        <f t="shared" si="6"/>
        <v>交通便捷度</v>
      </c>
      <c r="R14" s="774" t="s">
        <v>17</v>
      </c>
      <c r="S14" s="775">
        <f t="shared" si="0"/>
        <v>100</v>
      </c>
      <c r="T14" s="774" t="s">
        <v>17</v>
      </c>
      <c r="U14" s="775">
        <f t="shared" si="1"/>
        <v>100</v>
      </c>
      <c r="V14" s="774" t="s">
        <v>17</v>
      </c>
      <c r="W14" s="775">
        <f t="shared" si="2"/>
        <v>100</v>
      </c>
      <c r="X14" s="1812"/>
      <c r="Y14" s="3240" t="s">
        <v>2548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41"/>
      <c r="Q15" s="1809"/>
      <c r="R15" s="774"/>
      <c r="S15" s="775"/>
      <c r="T15" s="774"/>
      <c r="U15" s="775"/>
      <c r="V15" s="774"/>
      <c r="W15" s="775"/>
      <c r="X15" s="1812"/>
      <c r="Y15" s="3241"/>
      <c r="Z15" s="1813"/>
      <c r="AA15" s="1810">
        <v>1</v>
      </c>
      <c r="AB15" s="1810">
        <v>1</v>
      </c>
      <c r="AC15" s="1810">
        <v>1</v>
      </c>
    </row>
    <row r="16" spans="1:29" ht="42.75">
      <c r="A16" s="404"/>
      <c r="B16" s="631" t="s">
        <v>2676</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1"/>
      <c r="Q16" s="1809" t="str">
        <f>B16</f>
        <v>公共配套设施</v>
      </c>
      <c r="R16" s="774" t="s">
        <v>17</v>
      </c>
      <c r="S16" s="775">
        <f>F16</f>
        <v>100</v>
      </c>
      <c r="T16" s="774" t="s">
        <v>17</v>
      </c>
      <c r="U16" s="775">
        <f>H16</f>
        <v>100</v>
      </c>
      <c r="V16" s="774" t="s">
        <v>17</v>
      </c>
      <c r="W16" s="775">
        <f>J16</f>
        <v>100</v>
      </c>
      <c r="X16" s="1812"/>
      <c r="Y16" s="3241"/>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41"/>
      <c r="Q17" s="1809"/>
      <c r="R17" s="774"/>
      <c r="S17" s="775"/>
      <c r="T17" s="774"/>
      <c r="U17" s="775"/>
      <c r="V17" s="774"/>
      <c r="W17" s="775"/>
      <c r="X17" s="1812"/>
      <c r="Y17" s="3241"/>
      <c r="Z17" s="1813"/>
      <c r="AA17" s="1810">
        <v>1</v>
      </c>
      <c r="AB17" s="1810">
        <v>1</v>
      </c>
      <c r="AC17" s="1810">
        <v>1</v>
      </c>
    </row>
    <row r="18" spans="1:29" ht="28.5">
      <c r="A18" s="404"/>
      <c r="B18" s="633" t="s">
        <v>2677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1"/>
      <c r="Q18" s="1809" t="str">
        <f>B18</f>
        <v>基础设施水平</v>
      </c>
      <c r="R18" s="774" t="s">
        <v>17</v>
      </c>
      <c r="S18" s="775">
        <f>F18</f>
        <v>100</v>
      </c>
      <c r="T18" s="774" t="s">
        <v>17</v>
      </c>
      <c r="U18" s="775">
        <f>H18</f>
        <v>100</v>
      </c>
      <c r="V18" s="774" t="s">
        <v>17</v>
      </c>
      <c r="W18" s="775">
        <f>J18</f>
        <v>100</v>
      </c>
      <c r="X18" s="1812"/>
      <c r="Y18" s="3241"/>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241"/>
      <c r="Q19" s="1809"/>
      <c r="R19" s="774"/>
      <c r="S19" s="775"/>
      <c r="T19" s="774"/>
      <c r="U19" s="775"/>
      <c r="V19" s="774"/>
      <c r="W19" s="775"/>
      <c r="X19" s="1812"/>
      <c r="Y19" s="3241"/>
      <c r="Z19" s="1813"/>
      <c r="AA19" s="1810">
        <v>1</v>
      </c>
      <c r="AB19" s="1810">
        <v>1</v>
      </c>
      <c r="AC19" s="1810">
        <v>1</v>
      </c>
    </row>
    <row r="20" spans="1:29" ht="57">
      <c r="A20" s="404"/>
      <c r="B20" s="631" t="s">
        <v>2698</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1"/>
      <c r="Q20" s="1809" t="str">
        <f>B20</f>
        <v>自然及人文环境</v>
      </c>
      <c r="R20" s="774" t="s">
        <v>17</v>
      </c>
      <c r="S20" s="775">
        <f>F20</f>
        <v>100</v>
      </c>
      <c r="T20" s="774" t="s">
        <v>17</v>
      </c>
      <c r="U20" s="775">
        <f>H20</f>
        <v>100</v>
      </c>
      <c r="V20" s="774" t="s">
        <v>17</v>
      </c>
      <c r="W20" s="775">
        <f>J20</f>
        <v>100</v>
      </c>
      <c r="X20" s="1812"/>
      <c r="Y20" s="324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41"/>
      <c r="Q21" s="1809"/>
      <c r="R21" s="774"/>
      <c r="S21" s="775"/>
      <c r="T21" s="774"/>
      <c r="U21" s="775"/>
      <c r="V21" s="774"/>
      <c r="W21" s="775"/>
      <c r="X21" s="1812"/>
      <c r="Y21" s="3241"/>
      <c r="Z21" s="1813"/>
      <c r="AA21" s="1810">
        <v>1</v>
      </c>
      <c r="AB21" s="1810">
        <v>1</v>
      </c>
      <c r="AC21" s="1810">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1"/>
      <c r="Q22" s="1809" t="str">
        <f>B22</f>
        <v>楼层</v>
      </c>
      <c r="R22" s="774" t="s">
        <v>17</v>
      </c>
      <c r="S22" s="775">
        <f>F22</f>
        <v>100</v>
      </c>
      <c r="T22" s="774" t="s">
        <v>17</v>
      </c>
      <c r="U22" s="775">
        <f>H22</f>
        <v>100</v>
      </c>
      <c r="V22" s="774" t="s">
        <v>17</v>
      </c>
      <c r="W22" s="775">
        <f>J22</f>
        <v>100</v>
      </c>
      <c r="X22" s="1812"/>
      <c r="Y22" s="324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1"/>
      <c r="Q23" s="1809">
        <f>B23</f>
        <v>111</v>
      </c>
      <c r="R23" s="774" t="s">
        <v>17</v>
      </c>
      <c r="S23" s="775">
        <f>F23</f>
        <v>100</v>
      </c>
      <c r="T23" s="774" t="s">
        <v>17</v>
      </c>
      <c r="U23" s="775">
        <f>H23</f>
        <v>100</v>
      </c>
      <c r="V23" s="774" t="s">
        <v>17</v>
      </c>
      <c r="W23" s="775">
        <f>J23</f>
        <v>100</v>
      </c>
      <c r="X23" s="1812"/>
      <c r="Y23" s="324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1"/>
      <c r="Q24" s="1809">
        <f t="shared" ref="Q24:Q36" si="11">B24</f>
        <v>111</v>
      </c>
      <c r="R24" s="774" t="s">
        <v>17</v>
      </c>
      <c r="S24" s="775">
        <f>F24</f>
        <v>100</v>
      </c>
      <c r="T24" s="774" t="s">
        <v>17</v>
      </c>
      <c r="U24" s="775">
        <f>H24</f>
        <v>100</v>
      </c>
      <c r="V24" s="774" t="s">
        <v>17</v>
      </c>
      <c r="W24" s="775">
        <f>J24</f>
        <v>100</v>
      </c>
      <c r="X24" s="1812"/>
      <c r="Y24" s="324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1"/>
      <c r="Q25" s="1794">
        <f t="shared" si="11"/>
        <v>111</v>
      </c>
      <c r="R25" s="770" t="s">
        <v>17</v>
      </c>
      <c r="S25" s="771">
        <f>F25</f>
        <v>100</v>
      </c>
      <c r="T25" s="770" t="s">
        <v>17</v>
      </c>
      <c r="U25" s="771">
        <f>H25</f>
        <v>100</v>
      </c>
      <c r="V25" s="770" t="s">
        <v>17</v>
      </c>
      <c r="W25" s="771">
        <f>J25</f>
        <v>100</v>
      </c>
      <c r="X25" s="772"/>
      <c r="Y25" s="3241"/>
      <c r="Z25" s="55">
        <f>Q25</f>
        <v>111</v>
      </c>
      <c r="AA25" s="1810">
        <f>D25/F25</f>
        <v>1</v>
      </c>
      <c r="AB25" s="1810">
        <f>D25/H25</f>
        <v>1</v>
      </c>
      <c r="AC25" s="1810">
        <f>D25/J25</f>
        <v>1</v>
      </c>
    </row>
    <row r="26" spans="1:29" ht="28.5">
      <c r="A26" s="652" t="s">
        <v>2551</v>
      </c>
      <c r="B26" s="70" t="s">
        <v>2700</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2" t="s">
        <v>2553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43" t="s">
        <v>2553</v>
      </c>
      <c r="Z26" s="1813" t="str">
        <f t="shared" ref="Z26:Z36" si="15">Q26</f>
        <v>配套类型</v>
      </c>
      <c r="AA26" s="1810">
        <f t="shared" si="3"/>
        <v>1</v>
      </c>
      <c r="AB26" s="1810">
        <f t="shared" si="4"/>
        <v>1</v>
      </c>
      <c r="AC26" s="1810">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3"/>
      <c r="Q27" s="776" t="str">
        <f t="shared" si="11"/>
        <v>项目停车位配比</v>
      </c>
      <c r="R27" s="777" t="s">
        <v>17</v>
      </c>
      <c r="S27" s="778">
        <f t="shared" si="12"/>
        <v>100</v>
      </c>
      <c r="T27" s="777" t="s">
        <v>17</v>
      </c>
      <c r="U27" s="778">
        <f t="shared" si="13"/>
        <v>100</v>
      </c>
      <c r="V27" s="777" t="s">
        <v>17</v>
      </c>
      <c r="W27" s="778">
        <f t="shared" si="14"/>
        <v>100</v>
      </c>
      <c r="X27" s="779"/>
      <c r="Y27" s="3243"/>
      <c r="Z27" s="780" t="str">
        <f t="shared" si="15"/>
        <v>项目停车位配比</v>
      </c>
      <c r="AA27" s="1810">
        <f t="shared" si="3"/>
        <v>1</v>
      </c>
      <c r="AB27" s="1810">
        <f t="shared" si="4"/>
        <v>1</v>
      </c>
      <c r="AC27" s="1810">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3"/>
      <c r="Q28" s="1809" t="str">
        <f t="shared" si="11"/>
        <v>公共部分装修</v>
      </c>
      <c r="R28" s="774" t="s">
        <v>17</v>
      </c>
      <c r="S28" s="775">
        <f t="shared" si="12"/>
        <v>100</v>
      </c>
      <c r="T28" s="774" t="s">
        <v>17</v>
      </c>
      <c r="U28" s="775">
        <f t="shared" si="13"/>
        <v>100</v>
      </c>
      <c r="V28" s="774" t="s">
        <v>17</v>
      </c>
      <c r="W28" s="775">
        <f t="shared" si="14"/>
        <v>100</v>
      </c>
      <c r="X28" s="1812"/>
      <c r="Y28" s="3243"/>
      <c r="Z28" s="1813" t="str">
        <f t="shared" si="15"/>
        <v>公共部分装修</v>
      </c>
      <c r="AA28" s="1810">
        <f t="shared" si="3"/>
        <v>1</v>
      </c>
      <c r="AB28" s="1810">
        <f t="shared" si="4"/>
        <v>1</v>
      </c>
      <c r="AC28" s="1810">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3"/>
      <c r="Q29" s="1809" t="str">
        <f t="shared" si="11"/>
        <v>成新率</v>
      </c>
      <c r="R29" s="774" t="s">
        <v>17</v>
      </c>
      <c r="S29" s="775" t="e">
        <f t="shared" si="12"/>
        <v>#N/A</v>
      </c>
      <c r="T29" s="774" t="s">
        <v>17</v>
      </c>
      <c r="U29" s="775" t="e">
        <f t="shared" si="13"/>
        <v>#N/A</v>
      </c>
      <c r="V29" s="774" t="s">
        <v>17</v>
      </c>
      <c r="W29" s="775" t="e">
        <f t="shared" si="14"/>
        <v>#N/A</v>
      </c>
      <c r="X29" s="1812"/>
      <c r="Y29" s="3243"/>
      <c r="Z29" s="1813" t="str">
        <f t="shared" si="15"/>
        <v>成新率</v>
      </c>
      <c r="AA29" s="1810" t="e">
        <f t="shared" si="3"/>
        <v>#N/A</v>
      </c>
      <c r="AB29" s="1810" t="e">
        <f t="shared" si="4"/>
        <v>#N/A</v>
      </c>
      <c r="AC29" s="1810"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3"/>
      <c r="Q30" s="1809" t="str">
        <f t="shared" si="11"/>
        <v>物业等级</v>
      </c>
      <c r="R30" s="774" t="s">
        <v>17</v>
      </c>
      <c r="S30" s="775">
        <f t="shared" si="12"/>
        <v>100</v>
      </c>
      <c r="T30" s="774" t="s">
        <v>17</v>
      </c>
      <c r="U30" s="775">
        <f t="shared" si="13"/>
        <v>100</v>
      </c>
      <c r="V30" s="774" t="s">
        <v>17</v>
      </c>
      <c r="W30" s="775">
        <f t="shared" si="14"/>
        <v>100</v>
      </c>
      <c r="X30" s="1812"/>
      <c r="Y30" s="3243"/>
      <c r="Z30" s="1813" t="str">
        <f t="shared" si="15"/>
        <v>物业等级</v>
      </c>
      <c r="AA30" s="1810">
        <f t="shared" si="3"/>
        <v>1</v>
      </c>
      <c r="AB30" s="1810">
        <f t="shared" si="4"/>
        <v>1</v>
      </c>
      <c r="AC30" s="1810">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3"/>
      <c r="Q31" s="1794" t="str">
        <f t="shared" si="11"/>
        <v>停车位面积</v>
      </c>
      <c r="R31" s="770" t="s">
        <v>17</v>
      </c>
      <c r="S31" s="771" t="e">
        <f t="shared" si="12"/>
        <v>#N/A</v>
      </c>
      <c r="T31" s="770" t="s">
        <v>17</v>
      </c>
      <c r="U31" s="771" t="e">
        <f t="shared" si="13"/>
        <v>#N/A</v>
      </c>
      <c r="V31" s="770" t="s">
        <v>17</v>
      </c>
      <c r="W31" s="771" t="e">
        <f t="shared" si="14"/>
        <v>#N/A</v>
      </c>
      <c r="X31" s="772"/>
      <c r="Y31" s="3243"/>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3" t="s">
        <v>2553</v>
      </c>
      <c r="Q32" s="1809" t="str">
        <f t="shared" si="11"/>
        <v>车位类型</v>
      </c>
      <c r="R32" s="774" t="s">
        <v>17</v>
      </c>
      <c r="S32" s="775">
        <f t="shared" si="12"/>
        <v>100</v>
      </c>
      <c r="T32" s="774" t="s">
        <v>17</v>
      </c>
      <c r="U32" s="775">
        <f t="shared" si="13"/>
        <v>100</v>
      </c>
      <c r="V32" s="774" t="s">
        <v>17</v>
      </c>
      <c r="W32" s="775">
        <f t="shared" si="14"/>
        <v>100</v>
      </c>
      <c r="X32" s="1812"/>
      <c r="Y32" s="3243" t="s">
        <v>2553</v>
      </c>
      <c r="Z32" s="1813" t="str">
        <f t="shared" si="15"/>
        <v>车位类型</v>
      </c>
      <c r="AA32" s="1810">
        <f t="shared" si="3"/>
        <v>1</v>
      </c>
      <c r="AB32" s="1810">
        <f t="shared" si="4"/>
        <v>1</v>
      </c>
      <c r="AC32" s="1810">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3"/>
      <c r="Q33" s="1809" t="str">
        <f t="shared" si="11"/>
        <v>是否直接入户</v>
      </c>
      <c r="R33" s="774" t="s">
        <v>17</v>
      </c>
      <c r="S33" s="775">
        <f t="shared" si="12"/>
        <v>100</v>
      </c>
      <c r="T33" s="774" t="s">
        <v>17</v>
      </c>
      <c r="U33" s="775">
        <f t="shared" si="13"/>
        <v>100</v>
      </c>
      <c r="V33" s="774" t="s">
        <v>17</v>
      </c>
      <c r="W33" s="775">
        <f t="shared" si="14"/>
        <v>100</v>
      </c>
      <c r="X33" s="1812"/>
      <c r="Y33" s="324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3"/>
      <c r="Q34" s="1809">
        <f t="shared" si="11"/>
        <v>111</v>
      </c>
      <c r="R34" s="774" t="s">
        <v>17</v>
      </c>
      <c r="S34" s="775">
        <f t="shared" si="12"/>
        <v>100</v>
      </c>
      <c r="T34" s="774" t="s">
        <v>17</v>
      </c>
      <c r="U34" s="775">
        <f t="shared" si="13"/>
        <v>100</v>
      </c>
      <c r="V34" s="774" t="s">
        <v>17</v>
      </c>
      <c r="W34" s="775">
        <f t="shared" si="14"/>
        <v>100</v>
      </c>
      <c r="X34" s="1812"/>
      <c r="Y34" s="324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3"/>
      <c r="Q35" s="776">
        <f t="shared" si="11"/>
        <v>111</v>
      </c>
      <c r="R35" s="777" t="s">
        <v>17</v>
      </c>
      <c r="S35" s="778">
        <f t="shared" si="12"/>
        <v>100</v>
      </c>
      <c r="T35" s="777" t="s">
        <v>17</v>
      </c>
      <c r="U35" s="778">
        <f t="shared" si="13"/>
        <v>100</v>
      </c>
      <c r="V35" s="777" t="s">
        <v>17</v>
      </c>
      <c r="W35" s="778">
        <f t="shared" si="14"/>
        <v>100</v>
      </c>
      <c r="X35" s="779"/>
      <c r="Y35" s="324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3"/>
      <c r="Q36" s="1809">
        <f t="shared" si="11"/>
        <v>111</v>
      </c>
      <c r="R36" s="774" t="s">
        <v>17</v>
      </c>
      <c r="S36" s="775">
        <f t="shared" si="12"/>
        <v>100</v>
      </c>
      <c r="T36" s="774" t="s">
        <v>17</v>
      </c>
      <c r="U36" s="775">
        <f t="shared" si="13"/>
        <v>100</v>
      </c>
      <c r="V36" s="774" t="s">
        <v>17</v>
      </c>
      <c r="W36" s="775">
        <f t="shared" si="14"/>
        <v>100</v>
      </c>
      <c r="X36" s="1812"/>
      <c r="Y36" s="3243"/>
      <c r="Z36" s="1813">
        <f t="shared" si="15"/>
        <v>111</v>
      </c>
      <c r="AA36" s="1810">
        <f t="shared" si="3"/>
        <v>1</v>
      </c>
      <c r="AB36" s="1810">
        <f t="shared" si="4"/>
        <v>1</v>
      </c>
      <c r="AC36" s="1810">
        <f t="shared" si="5"/>
        <v>1</v>
      </c>
    </row>
    <row r="37" spans="1:29" ht="15">
      <c r="A37" s="479" t="s">
        <v>2708</v>
      </c>
      <c r="B37" s="2691" t="s">
        <v>2709</v>
      </c>
      <c r="C37" s="1407" t="s">
        <v>1</v>
      </c>
      <c r="D37" s="1408"/>
      <c r="E37" s="1409"/>
      <c r="F37" s="1410"/>
      <c r="G37" s="1411"/>
      <c r="H37" s="1412"/>
      <c r="I37" s="1409"/>
      <c r="J37" s="1412"/>
      <c r="K37" s="619"/>
      <c r="L37" s="1143"/>
      <c r="M37" s="1144"/>
      <c r="N37" s="1131"/>
      <c r="O37" s="1144"/>
      <c r="P37" s="3238" t="str">
        <f>A37</f>
        <v>成交单价</v>
      </c>
      <c r="Q37" s="3238"/>
      <c r="R37" s="3281">
        <f>E37</f>
        <v>0</v>
      </c>
      <c r="S37" s="3281"/>
      <c r="T37" s="3281">
        <f>G37</f>
        <v>0</v>
      </c>
      <c r="U37" s="3281"/>
      <c r="V37" s="3281">
        <f>I37</f>
        <v>0</v>
      </c>
      <c r="W37" s="3281"/>
      <c r="X37" s="759"/>
      <c r="Y37" s="781"/>
      <c r="Z37" s="759"/>
      <c r="AA37" s="759"/>
      <c r="AB37" s="759"/>
      <c r="AC37" s="759"/>
    </row>
    <row r="38" spans="1:29" ht="15.75" thickBot="1">
      <c r="A38" s="486" t="s">
        <v>2710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8" t="str">
        <f>A38</f>
        <v>比较价值（元/平方米）</v>
      </c>
      <c r="Q38" s="3238"/>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9"/>
      <c r="Y38" s="759"/>
      <c r="Z38" s="759"/>
      <c r="AA38" s="759"/>
      <c r="AB38" s="759"/>
      <c r="AC38" s="759"/>
    </row>
    <row r="39" spans="1:29" ht="15.75" thickBot="1">
      <c r="A39" s="492" t="s">
        <v>2711</v>
      </c>
      <c r="B39" s="493"/>
      <c r="C39" s="1417" t="e">
        <f>R39</f>
        <v>#DIV/0!</v>
      </c>
      <c r="D39" s="1417"/>
      <c r="E39" s="1417"/>
      <c r="F39" s="1417"/>
      <c r="G39" s="1417"/>
      <c r="H39" s="1417"/>
      <c r="I39" s="1417"/>
      <c r="J39" s="1417"/>
      <c r="K39" s="621"/>
      <c r="L39" s="1143"/>
      <c r="M39" s="1144"/>
      <c r="N39" s="1144"/>
      <c r="O39" s="1144"/>
      <c r="P39" s="3232" t="str">
        <f>A39</f>
        <v>估价对象XX用房的比较价值（楼面单价，元/平方米）</v>
      </c>
      <c r="Q39" s="3233"/>
      <c r="R39" s="3280" t="e">
        <f>IF(F1="售价",ROUND(AVERAGE(R38:V38),0),ROUND(AVERAGE(R38:V38),1))</f>
        <v>#DIV/0!</v>
      </c>
      <c r="S39" s="3280"/>
      <c r="T39" s="3280"/>
      <c r="U39" s="3280"/>
      <c r="V39" s="3280"/>
      <c r="W39" s="328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2716</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2640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2576</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2591</v>
      </c>
      <c r="C65" s="578" t="s">
        <v>2585</v>
      </c>
      <c r="D65" s="578" t="s">
        <v>2586</v>
      </c>
      <c r="E65" s="578" t="s">
        <v>2587</v>
      </c>
      <c r="F65" s="578" t="s">
        <v>2588</v>
      </c>
      <c r="G65" s="578" t="s">
        <v>2589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2677</v>
      </c>
      <c r="C67" s="660" t="s">
        <v>2663</v>
      </c>
      <c r="D67" s="660" t="s">
        <v>2664</v>
      </c>
      <c r="E67" s="660" t="s">
        <v>2665</v>
      </c>
      <c r="F67" s="660" t="s">
        <v>2666</v>
      </c>
      <c r="G67" s="660" t="s">
        <v>2667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2597</v>
      </c>
      <c r="C69" s="578" t="s">
        <v>2585</v>
      </c>
      <c r="D69" s="578" t="s">
        <v>2586</v>
      </c>
      <c r="E69" s="578" t="s">
        <v>2587</v>
      </c>
      <c r="F69" s="578" t="s">
        <v>2588</v>
      </c>
      <c r="G69" s="578" t="s">
        <v>2589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8" customFormat="1" ht="28.5" customHeight="1" thickBot="1">
      <c r="A1" s="1617" t="s">
        <v>2695</v>
      </c>
      <c r="B1" s="1618"/>
      <c r="C1" s="1619" t="s">
        <v>2518</v>
      </c>
      <c r="D1" s="1620"/>
      <c r="E1" s="1629"/>
      <c r="F1" s="2582"/>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35" t="s">
        <v>2634</v>
      </c>
      <c r="D4" s="3248"/>
      <c r="E4" s="3249" t="s">
        <v>2635</v>
      </c>
      <c r="F4" s="3250"/>
      <c r="G4" s="3235" t="s">
        <v>2636</v>
      </c>
      <c r="H4" s="3248"/>
      <c r="I4" s="3235" t="s">
        <v>2637</v>
      </c>
      <c r="J4" s="3248"/>
      <c r="K4" s="610" t="s">
        <v>2638</v>
      </c>
      <c r="L4" s="1130"/>
      <c r="M4" s="1131"/>
      <c r="N4" s="1131"/>
      <c r="O4" s="1131"/>
      <c r="P4" s="3251" t="s">
        <v>2639</v>
      </c>
      <c r="Q4" s="3252"/>
      <c r="R4" s="3257" t="s">
        <v>2635</v>
      </c>
      <c r="S4" s="3258"/>
      <c r="T4" s="3257" t="s">
        <v>2636</v>
      </c>
      <c r="U4" s="3258"/>
      <c r="V4" s="3244" t="s">
        <v>2637</v>
      </c>
      <c r="W4" s="3244"/>
      <c r="X4" s="1812"/>
      <c r="Y4" s="3257" t="s">
        <v>2639</v>
      </c>
      <c r="Z4" s="3258"/>
      <c r="AA4" s="3245" t="s">
        <v>2635</v>
      </c>
      <c r="AB4" s="3246" t="s">
        <v>2636</v>
      </c>
      <c r="AC4" s="3245" t="s">
        <v>2637</v>
      </c>
    </row>
    <row r="5" spans="1:29" ht="15">
      <c r="A5" s="404"/>
      <c r="B5" s="405"/>
      <c r="C5" s="3265" t="s">
        <v>2530</v>
      </c>
      <c r="D5" s="3266"/>
      <c r="E5" s="3272" t="s">
        <v>2531</v>
      </c>
      <c r="F5" s="3273"/>
      <c r="G5" s="3265" t="s">
        <v>2532</v>
      </c>
      <c r="H5" s="3266"/>
      <c r="I5" s="3265" t="s">
        <v>2533</v>
      </c>
      <c r="J5" s="3266"/>
      <c r="K5" s="610"/>
      <c r="L5" s="1130"/>
      <c r="M5" s="1131"/>
      <c r="N5" s="1131"/>
      <c r="O5" s="1131"/>
      <c r="P5" s="3253"/>
      <c r="Q5" s="3254"/>
      <c r="R5" s="3259"/>
      <c r="S5" s="3260"/>
      <c r="T5" s="3259"/>
      <c r="U5" s="3260"/>
      <c r="V5" s="3244"/>
      <c r="W5" s="3244"/>
      <c r="X5" s="1812"/>
      <c r="Y5" s="3259"/>
      <c r="Z5" s="3260"/>
      <c r="AA5" s="3246"/>
      <c r="AB5" s="3246"/>
      <c r="AC5" s="3246"/>
    </row>
    <row r="6" spans="1:29" ht="15.75" thickBot="1">
      <c r="A6" s="406"/>
      <c r="B6" s="407"/>
      <c r="C6" s="3263" t="s">
        <v>2534</v>
      </c>
      <c r="D6" s="3264"/>
      <c r="E6" s="3270" t="s">
        <v>2534</v>
      </c>
      <c r="F6" s="3271"/>
      <c r="G6" s="3263" t="s">
        <v>2534</v>
      </c>
      <c r="H6" s="3264"/>
      <c r="I6" s="3263" t="s">
        <v>2534</v>
      </c>
      <c r="J6" s="3264"/>
      <c r="K6" s="610" t="s">
        <v>2535</v>
      </c>
      <c r="L6" s="1130"/>
      <c r="M6" s="1131"/>
      <c r="N6" s="1131"/>
      <c r="O6" s="1131"/>
      <c r="P6" s="3255"/>
      <c r="Q6" s="3256"/>
      <c r="R6" s="3259"/>
      <c r="S6" s="3260"/>
      <c r="T6" s="3261"/>
      <c r="U6" s="3262"/>
      <c r="V6" s="3244"/>
      <c r="W6" s="3244"/>
      <c r="X6" s="1812"/>
      <c r="Y6" s="3261"/>
      <c r="Z6" s="3262"/>
      <c r="AA6" s="3247"/>
      <c r="AB6" s="3247"/>
      <c r="AC6" s="3247"/>
    </row>
    <row r="7" spans="1:29" s="117" customFormat="1" ht="15.75" thickBot="1">
      <c r="A7" s="408" t="s">
        <v>2536</v>
      </c>
      <c r="B7" s="409"/>
      <c r="C7" s="410">
        <f>'数据-取费表'!B2</f>
        <v>43630</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67" t="s">
        <v>2537</v>
      </c>
      <c r="Q7" s="3269"/>
      <c r="R7" s="770" t="s">
        <v>17</v>
      </c>
      <c r="S7" s="771">
        <f t="shared" ref="S7:S14" si="0">F7</f>
        <v>0</v>
      </c>
      <c r="T7" s="770" t="s">
        <v>17</v>
      </c>
      <c r="U7" s="771">
        <f t="shared" ref="U7:U14" si="1">H7</f>
        <v>0</v>
      </c>
      <c r="V7" s="770" t="s">
        <v>17</v>
      </c>
      <c r="W7" s="771">
        <f t="shared" ref="W7:W14" si="2">J7</f>
        <v>0</v>
      </c>
      <c r="X7" s="772"/>
      <c r="Y7" s="3267" t="s">
        <v>2537</v>
      </c>
      <c r="Z7" s="3268"/>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7" t="s">
        <v>2540</v>
      </c>
      <c r="Q8" s="3268"/>
      <c r="R8" s="770" t="s">
        <v>17</v>
      </c>
      <c r="S8" s="771">
        <f t="shared" si="0"/>
        <v>0</v>
      </c>
      <c r="T8" s="770" t="s">
        <v>17</v>
      </c>
      <c r="U8" s="771">
        <f t="shared" si="1"/>
        <v>0</v>
      </c>
      <c r="V8" s="770" t="s">
        <v>17</v>
      </c>
      <c r="W8" s="771">
        <f t="shared" si="2"/>
        <v>0</v>
      </c>
      <c r="X8" s="772"/>
      <c r="Y8" s="3267" t="s">
        <v>2540</v>
      </c>
      <c r="Z8" s="3268"/>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8" t="s">
        <v>2543</v>
      </c>
      <c r="Q9" s="1794" t="str">
        <f t="shared" ref="Q9:Q14" si="6">B9</f>
        <v>用途</v>
      </c>
      <c r="R9" s="770" t="s">
        <v>17</v>
      </c>
      <c r="S9" s="771">
        <f t="shared" si="0"/>
        <v>100</v>
      </c>
      <c r="T9" s="770" t="s">
        <v>17</v>
      </c>
      <c r="U9" s="771">
        <f t="shared" si="1"/>
        <v>100</v>
      </c>
      <c r="V9" s="770" t="s">
        <v>17</v>
      </c>
      <c r="W9" s="771">
        <f t="shared" si="2"/>
        <v>100</v>
      </c>
      <c r="X9" s="772"/>
      <c r="Y9" s="3075"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8"/>
      <c r="Q10" s="1794"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8"/>
      <c r="Q11" s="1794">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8"/>
      <c r="Q12" s="1794">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38"/>
      <c r="Q13" s="1794">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85.5">
      <c r="A14" s="440" t="s">
        <v>2547</v>
      </c>
      <c r="B14" s="69" t="s">
        <v>2697</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0" t="s">
        <v>2548</v>
      </c>
      <c r="Q14" s="1809" t="str">
        <f t="shared" si="6"/>
        <v>交通便捷度</v>
      </c>
      <c r="R14" s="774" t="s">
        <v>17</v>
      </c>
      <c r="S14" s="775">
        <f t="shared" si="0"/>
        <v>100</v>
      </c>
      <c r="T14" s="774" t="s">
        <v>17</v>
      </c>
      <c r="U14" s="775">
        <f t="shared" si="1"/>
        <v>100</v>
      </c>
      <c r="V14" s="774" t="s">
        <v>17</v>
      </c>
      <c r="W14" s="775">
        <f t="shared" si="2"/>
        <v>100</v>
      </c>
      <c r="X14" s="1812"/>
      <c r="Y14" s="3240" t="s">
        <v>2548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41"/>
      <c r="Q15" s="1809"/>
      <c r="R15" s="774"/>
      <c r="S15" s="775"/>
      <c r="T15" s="774"/>
      <c r="U15" s="775"/>
      <c r="V15" s="774"/>
      <c r="W15" s="775"/>
      <c r="X15" s="1812"/>
      <c r="Y15" s="3241"/>
      <c r="Z15" s="1813"/>
      <c r="AA15" s="1810">
        <v>1</v>
      </c>
      <c r="AB15" s="1810">
        <v>1</v>
      </c>
      <c r="AC15" s="1810">
        <v>1</v>
      </c>
    </row>
    <row r="16" spans="1:29" ht="42.75">
      <c r="A16" s="428"/>
      <c r="B16" s="451" t="s">
        <v>2676</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1"/>
      <c r="Q16" s="1809" t="str">
        <f>B16</f>
        <v>公共配套设施</v>
      </c>
      <c r="R16" s="774" t="s">
        <v>17</v>
      </c>
      <c r="S16" s="775">
        <f>F16</f>
        <v>100</v>
      </c>
      <c r="T16" s="774" t="s">
        <v>17</v>
      </c>
      <c r="U16" s="775">
        <f>H16</f>
        <v>100</v>
      </c>
      <c r="V16" s="774" t="s">
        <v>17</v>
      </c>
      <c r="W16" s="775">
        <f>J16</f>
        <v>100</v>
      </c>
      <c r="X16" s="1812"/>
      <c r="Y16" s="3241"/>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41"/>
      <c r="Q17" s="1809"/>
      <c r="R17" s="774"/>
      <c r="S17" s="775"/>
      <c r="T17" s="774"/>
      <c r="U17" s="775"/>
      <c r="V17" s="774"/>
      <c r="W17" s="775"/>
      <c r="X17" s="1812"/>
      <c r="Y17" s="3241"/>
      <c r="Z17" s="1813"/>
      <c r="AA17" s="1810">
        <v>1</v>
      </c>
      <c r="AB17" s="1810">
        <v>1</v>
      </c>
      <c r="AC17" s="1810">
        <v>1</v>
      </c>
    </row>
    <row r="18" spans="1:29" ht="28.5">
      <c r="A18" s="428"/>
      <c r="B18" s="1384" t="s">
        <v>2677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1"/>
      <c r="Q18" s="1809" t="str">
        <f>B18</f>
        <v>基础设施水平</v>
      </c>
      <c r="R18" s="774" t="s">
        <v>17</v>
      </c>
      <c r="S18" s="775">
        <f>F18</f>
        <v>100</v>
      </c>
      <c r="T18" s="774" t="s">
        <v>17</v>
      </c>
      <c r="U18" s="775">
        <f>H18</f>
        <v>100</v>
      </c>
      <c r="V18" s="774" t="s">
        <v>17</v>
      </c>
      <c r="W18" s="775">
        <f>J18</f>
        <v>100</v>
      </c>
      <c r="X18" s="1812"/>
      <c r="Y18" s="3241"/>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241"/>
      <c r="Q19" s="1809"/>
      <c r="R19" s="774"/>
      <c r="S19" s="775"/>
      <c r="T19" s="774"/>
      <c r="U19" s="775"/>
      <c r="V19" s="774"/>
      <c r="W19" s="775"/>
      <c r="X19" s="1812"/>
      <c r="Y19" s="3241"/>
      <c r="Z19" s="1813"/>
      <c r="AA19" s="1810">
        <v>1</v>
      </c>
      <c r="AB19" s="1810">
        <v>1</v>
      </c>
      <c r="AC19" s="1810">
        <v>1</v>
      </c>
    </row>
    <row r="20" spans="1:29" ht="57">
      <c r="A20" s="428"/>
      <c r="B20" s="451" t="s">
        <v>2698</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1"/>
      <c r="Q20" s="1809" t="str">
        <f>B20</f>
        <v>自然及人文环境</v>
      </c>
      <c r="R20" s="774" t="s">
        <v>17</v>
      </c>
      <c r="S20" s="775">
        <f>F20</f>
        <v>100</v>
      </c>
      <c r="T20" s="774" t="s">
        <v>17</v>
      </c>
      <c r="U20" s="775">
        <f>H20</f>
        <v>100</v>
      </c>
      <c r="V20" s="774" t="s">
        <v>17</v>
      </c>
      <c r="W20" s="775">
        <f>J20</f>
        <v>100</v>
      </c>
      <c r="X20" s="1812"/>
      <c r="Y20" s="324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41"/>
      <c r="Q21" s="1809"/>
      <c r="R21" s="774"/>
      <c r="S21" s="775"/>
      <c r="T21" s="774"/>
      <c r="U21" s="775"/>
      <c r="V21" s="774"/>
      <c r="W21" s="775"/>
      <c r="X21" s="1812"/>
      <c r="Y21" s="3241"/>
      <c r="Z21" s="1813"/>
      <c r="AA21" s="1810">
        <v>1</v>
      </c>
      <c r="AB21" s="1810">
        <v>1</v>
      </c>
      <c r="AC21" s="1810">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1"/>
      <c r="Q22" s="1809" t="str">
        <f>B22</f>
        <v>楼层</v>
      </c>
      <c r="R22" s="774" t="s">
        <v>17</v>
      </c>
      <c r="S22" s="775">
        <f>F22</f>
        <v>100</v>
      </c>
      <c r="T22" s="774" t="s">
        <v>17</v>
      </c>
      <c r="U22" s="775">
        <f>H22</f>
        <v>100</v>
      </c>
      <c r="V22" s="774" t="s">
        <v>17</v>
      </c>
      <c r="W22" s="775">
        <f>J22</f>
        <v>100</v>
      </c>
      <c r="X22" s="1812"/>
      <c r="Y22" s="3241"/>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1"/>
      <c r="Q23" s="1809">
        <f>B23</f>
        <v>111</v>
      </c>
      <c r="R23" s="774" t="s">
        <v>17</v>
      </c>
      <c r="S23" s="775">
        <f>F23</f>
        <v>100</v>
      </c>
      <c r="T23" s="774" t="s">
        <v>17</v>
      </c>
      <c r="U23" s="775">
        <f>H23</f>
        <v>100</v>
      </c>
      <c r="V23" s="774" t="s">
        <v>17</v>
      </c>
      <c r="W23" s="775">
        <f>J23</f>
        <v>100</v>
      </c>
      <c r="X23" s="1812"/>
      <c r="Y23" s="3241"/>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1"/>
      <c r="Q24" s="1809">
        <f t="shared" ref="Q24:Q34" si="11">B24</f>
        <v>111</v>
      </c>
      <c r="R24" s="774" t="s">
        <v>17</v>
      </c>
      <c r="S24" s="775">
        <f>F24</f>
        <v>100</v>
      </c>
      <c r="T24" s="774" t="s">
        <v>17</v>
      </c>
      <c r="U24" s="775">
        <f>H24</f>
        <v>100</v>
      </c>
      <c r="V24" s="774" t="s">
        <v>17</v>
      </c>
      <c r="W24" s="775">
        <f>J24</f>
        <v>100</v>
      </c>
      <c r="X24" s="1812"/>
      <c r="Y24" s="3241"/>
      <c r="Z24" s="1813">
        <f>Q24</f>
        <v>111</v>
      </c>
      <c r="AA24" s="1810">
        <f t="shared" si="3"/>
        <v>1</v>
      </c>
      <c r="AB24" s="1810">
        <f t="shared" si="4"/>
        <v>1</v>
      </c>
      <c r="AC24" s="1810">
        <f t="shared" si="5"/>
        <v>1</v>
      </c>
    </row>
    <row r="25" spans="1:29" s="117" customFormat="1" ht="15.75" thickBot="1">
      <c r="A25" s="431"/>
      <c r="B25" s="2598">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41"/>
      <c r="Q25" s="1794">
        <f t="shared" si="11"/>
        <v>111</v>
      </c>
      <c r="R25" s="770" t="s">
        <v>17</v>
      </c>
      <c r="S25" s="771">
        <f>F25</f>
        <v>100</v>
      </c>
      <c r="T25" s="770" t="s">
        <v>17</v>
      </c>
      <c r="U25" s="771">
        <f>H25</f>
        <v>100</v>
      </c>
      <c r="V25" s="770" t="s">
        <v>17</v>
      </c>
      <c r="W25" s="771">
        <f>J25</f>
        <v>100</v>
      </c>
      <c r="X25" s="772"/>
      <c r="Y25" s="3241"/>
      <c r="Z25" s="55">
        <f>Q25</f>
        <v>111</v>
      </c>
      <c r="AA25" s="1810">
        <f>D25/F25</f>
        <v>1</v>
      </c>
      <c r="AB25" s="1810">
        <f>D25/H25</f>
        <v>1</v>
      </c>
      <c r="AC25" s="1810">
        <f>D25/J25</f>
        <v>1</v>
      </c>
    </row>
    <row r="26" spans="1:29" ht="28.5">
      <c r="A26" s="466" t="s">
        <v>2551</v>
      </c>
      <c r="B26" s="71" t="s">
        <v>2702</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42" t="s">
        <v>2553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43" t="s">
        <v>2553</v>
      </c>
      <c r="Z26" s="1813" t="str">
        <f t="shared" ref="Z26:Z34" si="15">Q26</f>
        <v>公共部分装修</v>
      </c>
      <c r="AA26" s="1810">
        <f t="shared" si="3"/>
        <v>1</v>
      </c>
      <c r="AB26" s="1810">
        <f t="shared" si="4"/>
        <v>1</v>
      </c>
      <c r="AC26" s="1810">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3"/>
      <c r="Q27" s="776" t="str">
        <f t="shared" si="11"/>
        <v>成新率</v>
      </c>
      <c r="R27" s="777" t="s">
        <v>17</v>
      </c>
      <c r="S27" s="778" t="e">
        <f t="shared" si="12"/>
        <v>#N/A</v>
      </c>
      <c r="T27" s="777" t="s">
        <v>17</v>
      </c>
      <c r="U27" s="778" t="e">
        <f t="shared" si="13"/>
        <v>#N/A</v>
      </c>
      <c r="V27" s="777" t="s">
        <v>17</v>
      </c>
      <c r="W27" s="778" t="e">
        <f t="shared" si="14"/>
        <v>#N/A</v>
      </c>
      <c r="X27" s="779"/>
      <c r="Y27" s="3243"/>
      <c r="Z27" s="780" t="str">
        <f t="shared" si="15"/>
        <v>成新率</v>
      </c>
      <c r="AA27" s="1810" t="e">
        <f t="shared" si="3"/>
        <v>#N/A</v>
      </c>
      <c r="AB27" s="1810" t="e">
        <f t="shared" si="4"/>
        <v>#N/A</v>
      </c>
      <c r="AC27" s="1810"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3"/>
      <c r="Q28" s="1809" t="str">
        <f t="shared" si="11"/>
        <v>物业等级</v>
      </c>
      <c r="R28" s="774" t="s">
        <v>17</v>
      </c>
      <c r="S28" s="775">
        <f t="shared" si="12"/>
        <v>100</v>
      </c>
      <c r="T28" s="774" t="s">
        <v>17</v>
      </c>
      <c r="U28" s="775">
        <f t="shared" si="13"/>
        <v>100</v>
      </c>
      <c r="V28" s="774" t="s">
        <v>17</v>
      </c>
      <c r="W28" s="775">
        <f t="shared" si="14"/>
        <v>100</v>
      </c>
      <c r="X28" s="1812"/>
      <c r="Y28" s="3243"/>
      <c r="Z28" s="1813" t="str">
        <f t="shared" si="15"/>
        <v>物业等级</v>
      </c>
      <c r="AA28" s="1810">
        <f t="shared" si="3"/>
        <v>1</v>
      </c>
      <c r="AB28" s="1810">
        <f t="shared" si="4"/>
        <v>1</v>
      </c>
      <c r="AC28" s="1810">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3"/>
      <c r="Q29" s="1809" t="str">
        <f t="shared" si="11"/>
        <v>有无电梯</v>
      </c>
      <c r="R29" s="774" t="s">
        <v>17</v>
      </c>
      <c r="S29" s="775">
        <f t="shared" si="12"/>
        <v>100</v>
      </c>
      <c r="T29" s="774" t="s">
        <v>17</v>
      </c>
      <c r="U29" s="775">
        <f t="shared" si="13"/>
        <v>100</v>
      </c>
      <c r="V29" s="774" t="s">
        <v>17</v>
      </c>
      <c r="W29" s="775">
        <f t="shared" si="14"/>
        <v>100</v>
      </c>
      <c r="X29" s="1812"/>
      <c r="Y29" s="3243"/>
      <c r="Z29" s="1813" t="str">
        <f t="shared" si="15"/>
        <v>有无电梯</v>
      </c>
      <c r="AA29" s="1810">
        <f t="shared" si="3"/>
        <v>1</v>
      </c>
      <c r="AB29" s="1810">
        <f t="shared" si="4"/>
        <v>1</v>
      </c>
      <c r="AC29" s="1810">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3"/>
      <c r="Q30" s="1809" t="str">
        <f t="shared" si="11"/>
        <v>建筑面积</v>
      </c>
      <c r="R30" s="774" t="s">
        <v>17</v>
      </c>
      <c r="S30" s="775" t="e">
        <f t="shared" si="12"/>
        <v>#N/A</v>
      </c>
      <c r="T30" s="774" t="s">
        <v>17</v>
      </c>
      <c r="U30" s="775" t="e">
        <f t="shared" si="13"/>
        <v>#N/A</v>
      </c>
      <c r="V30" s="774" t="s">
        <v>17</v>
      </c>
      <c r="W30" s="775" t="e">
        <f t="shared" si="14"/>
        <v>#N/A</v>
      </c>
      <c r="X30" s="1812"/>
      <c r="Y30" s="3243"/>
      <c r="Z30" s="1813" t="str">
        <f t="shared" si="15"/>
        <v>建筑面积</v>
      </c>
      <c r="AA30" s="1810" t="e">
        <f t="shared" si="3"/>
        <v>#N/A</v>
      </c>
      <c r="AB30" s="1810" t="e">
        <f t="shared" si="4"/>
        <v>#N/A</v>
      </c>
      <c r="AC30" s="1810"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3"/>
      <c r="Q31" s="1794" t="str">
        <f t="shared" si="11"/>
        <v>是否封闭</v>
      </c>
      <c r="R31" s="770" t="s">
        <v>17</v>
      </c>
      <c r="S31" s="771">
        <f t="shared" si="12"/>
        <v>100</v>
      </c>
      <c r="T31" s="770" t="s">
        <v>17</v>
      </c>
      <c r="U31" s="771">
        <f t="shared" si="13"/>
        <v>100</v>
      </c>
      <c r="V31" s="770" t="s">
        <v>17</v>
      </c>
      <c r="W31" s="771">
        <f t="shared" si="14"/>
        <v>100</v>
      </c>
      <c r="X31" s="772"/>
      <c r="Y31" s="3243"/>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3" t="s">
        <v>2553</v>
      </c>
      <c r="Q32" s="1809">
        <f t="shared" si="11"/>
        <v>111</v>
      </c>
      <c r="R32" s="774" t="s">
        <v>17</v>
      </c>
      <c r="S32" s="775">
        <f t="shared" si="12"/>
        <v>100</v>
      </c>
      <c r="T32" s="774" t="s">
        <v>17</v>
      </c>
      <c r="U32" s="775">
        <f t="shared" si="13"/>
        <v>100</v>
      </c>
      <c r="V32" s="774" t="s">
        <v>17</v>
      </c>
      <c r="W32" s="775">
        <f t="shared" si="14"/>
        <v>100</v>
      </c>
      <c r="X32" s="1812"/>
      <c r="Y32" s="3243" t="s">
        <v>2553</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3"/>
      <c r="Q33" s="1809">
        <f t="shared" si="11"/>
        <v>111</v>
      </c>
      <c r="R33" s="774" t="s">
        <v>17</v>
      </c>
      <c r="S33" s="775">
        <f t="shared" si="12"/>
        <v>100</v>
      </c>
      <c r="T33" s="774" t="s">
        <v>17</v>
      </c>
      <c r="U33" s="775">
        <f t="shared" si="13"/>
        <v>100</v>
      </c>
      <c r="V33" s="774" t="s">
        <v>17</v>
      </c>
      <c r="W33" s="775">
        <f t="shared" si="14"/>
        <v>100</v>
      </c>
      <c r="X33" s="1812"/>
      <c r="Y33" s="3243"/>
      <c r="Z33" s="1813">
        <f t="shared" si="15"/>
        <v>111</v>
      </c>
      <c r="AA33" s="1810">
        <f t="shared" si="3"/>
        <v>1</v>
      </c>
      <c r="AB33" s="1810">
        <f t="shared" si="4"/>
        <v>1</v>
      </c>
      <c r="AC33" s="1810">
        <f t="shared" si="5"/>
        <v>1</v>
      </c>
    </row>
    <row r="34" spans="1:29" ht="15.75" thickBot="1">
      <c r="A34" s="478"/>
      <c r="B34" s="2600">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43"/>
      <c r="Q34" s="1809">
        <f t="shared" si="11"/>
        <v>111</v>
      </c>
      <c r="R34" s="774" t="s">
        <v>17</v>
      </c>
      <c r="S34" s="775">
        <f t="shared" si="12"/>
        <v>100</v>
      </c>
      <c r="T34" s="774" t="s">
        <v>17</v>
      </c>
      <c r="U34" s="775">
        <f t="shared" si="13"/>
        <v>100</v>
      </c>
      <c r="V34" s="774" t="s">
        <v>17</v>
      </c>
      <c r="W34" s="775">
        <f t="shared" si="14"/>
        <v>100</v>
      </c>
      <c r="X34" s="1812"/>
      <c r="Y34" s="3243"/>
      <c r="Z34" s="1813">
        <f t="shared" si="15"/>
        <v>111</v>
      </c>
      <c r="AA34" s="1810">
        <f t="shared" si="3"/>
        <v>1</v>
      </c>
      <c r="AB34" s="1810">
        <f t="shared" si="4"/>
        <v>1</v>
      </c>
      <c r="AC34" s="1810">
        <f t="shared" si="5"/>
        <v>1</v>
      </c>
    </row>
    <row r="35" spans="1:29" ht="15">
      <c r="A35" s="479" t="s">
        <v>2565</v>
      </c>
      <c r="B35" s="480"/>
      <c r="C35" s="1407" t="s">
        <v>1</v>
      </c>
      <c r="D35" s="1408"/>
      <c r="E35" s="1409"/>
      <c r="F35" s="1410"/>
      <c r="G35" s="1411"/>
      <c r="H35" s="1412"/>
      <c r="I35" s="1409"/>
      <c r="J35" s="1412"/>
      <c r="K35" s="783"/>
      <c r="L35" s="1143"/>
      <c r="M35" s="1144"/>
      <c r="N35" s="1131"/>
      <c r="O35" s="1144"/>
      <c r="P35" s="3238" t="str">
        <f>A35</f>
        <v>成交单价（元/平方米）</v>
      </c>
      <c r="Q35" s="3238"/>
      <c r="R35" s="3281">
        <f>E35</f>
        <v>0</v>
      </c>
      <c r="S35" s="3281"/>
      <c r="T35" s="3281">
        <f>G35</f>
        <v>0</v>
      </c>
      <c r="U35" s="3281"/>
      <c r="V35" s="3281">
        <f>I35</f>
        <v>0</v>
      </c>
      <c r="W35" s="3281"/>
      <c r="X35" s="759"/>
      <c r="Y35" s="781"/>
      <c r="Z35" s="759"/>
      <c r="AA35" s="759"/>
      <c r="AB35" s="759"/>
      <c r="AC35" s="759"/>
    </row>
    <row r="36" spans="1:29" ht="15.75" thickBot="1">
      <c r="A36" s="486" t="s">
        <v>2657</v>
      </c>
      <c r="B36" s="487"/>
      <c r="C36" s="1413" t="e">
        <f>R37</f>
        <v>#DIV/0!</v>
      </c>
      <c r="D36" s="1414"/>
      <c r="E36" s="1415" t="e">
        <f>R36</f>
        <v>#DIV/0!</v>
      </c>
      <c r="F36" s="1415"/>
      <c r="G36" s="1413" t="e">
        <f>T36</f>
        <v>#DIV/0!</v>
      </c>
      <c r="H36" s="1414"/>
      <c r="I36" s="1415" t="e">
        <f>V36</f>
        <v>#DIV/0!</v>
      </c>
      <c r="J36" s="1414"/>
      <c r="K36" s="784"/>
      <c r="L36" s="1143"/>
      <c r="M36" s="1144"/>
      <c r="N36" s="1131"/>
      <c r="O36" s="1144"/>
      <c r="P36" s="3238" t="str">
        <f>A36</f>
        <v>比较价值（元/平方米）</v>
      </c>
      <c r="Q36" s="3238"/>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9"/>
      <c r="Y36" s="759"/>
      <c r="Z36" s="759"/>
      <c r="AA36" s="759"/>
      <c r="AB36" s="759"/>
      <c r="AC36" s="759"/>
    </row>
    <row r="37" spans="1:29" ht="15.75" thickBot="1">
      <c r="A37" s="492" t="s">
        <v>2658</v>
      </c>
      <c r="B37" s="493"/>
      <c r="C37" s="1417" t="e">
        <f>R37</f>
        <v>#DIV/0!</v>
      </c>
      <c r="D37" s="1417"/>
      <c r="E37" s="1417"/>
      <c r="F37" s="1417"/>
      <c r="G37" s="1417"/>
      <c r="H37" s="1417"/>
      <c r="I37" s="1417"/>
      <c r="J37" s="1417"/>
      <c r="K37" s="785"/>
      <c r="L37" s="1143"/>
      <c r="M37" s="1144"/>
      <c r="N37" s="1144"/>
      <c r="O37" s="1144"/>
      <c r="P37" s="3232" t="str">
        <f>A37</f>
        <v>估价对象XX用房的比较价值（楼面单价，元/平方米）</v>
      </c>
      <c r="Q37" s="3233"/>
      <c r="R37" s="3280" t="e">
        <f>IF(F1="售价",ROUND(AVERAGE(R36:V36),0),ROUND(AVERAGE(R36:V36),1))</f>
        <v>#DIV/0!</v>
      </c>
      <c r="S37" s="3280"/>
      <c r="T37" s="3280"/>
      <c r="U37" s="3280"/>
      <c r="V37" s="3280"/>
      <c r="W37" s="328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2576</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59" customWidth="1"/>
    <col min="2" max="2" width="37.125" style="1959" customWidth="1"/>
    <col min="3" max="3" width="11.375" style="1959" customWidth="1"/>
    <col min="4" max="4" width="31.8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6"/>
      <c r="C2" s="3036"/>
      <c r="D2" s="3036"/>
      <c r="E2" s="3036"/>
    </row>
    <row r="3" spans="1:5" ht="18">
      <c r="A3" s="3037" t="str">
        <f>IF(项目基本情况!B9="房地产市场价值","估价结果一览表（市场价值不需“结果表-1”）","估价结果一览表")</f>
        <v>估价结果一览表</v>
      </c>
      <c r="B3" s="3037"/>
      <c r="C3" s="3037"/>
      <c r="D3" s="3037"/>
      <c r="E3" s="3037"/>
    </row>
    <row r="4" spans="1:5" ht="19.5" thickBot="1">
      <c r="A4" s="1960"/>
      <c r="B4" s="3035" t="s">
        <v>1626</v>
      </c>
      <c r="C4" s="3035"/>
      <c r="D4" s="3035"/>
      <c r="E4" s="1960"/>
    </row>
    <row r="5" spans="1:5" ht="16.5" thickTop="1">
      <c r="A5" s="1958"/>
      <c r="B5" s="3033" t="s">
        <v>1618</v>
      </c>
      <c r="C5" s="1961" t="s">
        <v>1619</v>
      </c>
      <c r="D5" s="1040">
        <f ca="1">结果表!H101</f>
        <v>222545</v>
      </c>
      <c r="E5" s="1958"/>
    </row>
    <row r="6" spans="1:5" ht="15.75">
      <c r="A6" s="1958"/>
      <c r="B6" s="3033"/>
      <c r="C6" s="1961" t="s">
        <v>1620</v>
      </c>
      <c r="D6" s="1040" t="str">
        <f ca="1">NUMBERSTRING(INT(D5*10000),2)&amp;"元整"</f>
        <v>贰拾贰亿贰仟伍佰肆拾伍万元整</v>
      </c>
      <c r="E6" s="1958"/>
    </row>
    <row r="7" spans="1:5" ht="15.75">
      <c r="A7" s="1958"/>
      <c r="B7" s="3038"/>
      <c r="C7" s="1962" t="s">
        <v>1621</v>
      </c>
      <c r="D7" s="1041">
        <f ca="1">结果表!H102</f>
        <v>5487</v>
      </c>
      <c r="E7" s="1958"/>
    </row>
    <row r="8" spans="1:5" ht="15.75">
      <c r="A8" s="1958"/>
      <c r="B8" s="3039" t="str">
        <f>结果表!E103</f>
        <v>2.估价师知悉的法定优先受偿款</v>
      </c>
      <c r="C8" s="1963" t="s">
        <v>1622</v>
      </c>
      <c r="D8" s="1041">
        <f>结果表!H103</f>
        <v>0</v>
      </c>
      <c r="E8" s="1958"/>
    </row>
    <row r="9" spans="1:5" ht="15.75">
      <c r="A9" s="1958"/>
      <c r="B9" s="3041"/>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32" t="str">
        <f>结果表!E107</f>
        <v>3.房地产抵押价值</v>
      </c>
      <c r="C13" s="1966" t="s">
        <v>1619</v>
      </c>
      <c r="D13" s="1043">
        <f ca="1">结果表!H107</f>
        <v>222545</v>
      </c>
      <c r="E13" s="1958"/>
    </row>
    <row r="14" spans="1:5" ht="15.75">
      <c r="A14" s="1958"/>
      <c r="B14" s="3033"/>
      <c r="C14" s="1961" t="s">
        <v>1620</v>
      </c>
      <c r="D14" s="1040" t="str">
        <f ca="1">NUMBERSTRING(INT(D13*10000),2)&amp;"元整"</f>
        <v>贰拾贰亿贰仟伍佰肆拾伍万元整</v>
      </c>
      <c r="E14" s="1958"/>
    </row>
    <row r="15" spans="1:5" ht="15">
      <c r="A15" s="1958"/>
      <c r="B15" s="3038"/>
      <c r="C15" s="1962" t="s">
        <v>1630</v>
      </c>
      <c r="D15" s="1052">
        <f ca="1">结果表!H108</f>
        <v>5487</v>
      </c>
      <c r="E15" s="1958"/>
    </row>
    <row r="16" spans="1:5" ht="15">
      <c r="A16" s="1958"/>
      <c r="B16" s="3039" t="str">
        <f>结果表!E109</f>
        <v>——</v>
      </c>
      <c r="C16" s="1966" t="s">
        <v>1631</v>
      </c>
      <c r="D16" s="1967" t="str">
        <f>结果表!H109</f>
        <v>——</v>
      </c>
      <c r="E16" s="1958"/>
    </row>
    <row r="17" spans="1:5" ht="15.75">
      <c r="A17" s="1958"/>
      <c r="B17" s="3040"/>
      <c r="C17" s="1961" t="s">
        <v>1632</v>
      </c>
      <c r="D17" s="1040" t="e">
        <f>NUMBERSTRING(INT(D16*10000),2)&amp;"元整"</f>
        <v>#VALUE!</v>
      </c>
      <c r="E17" s="1958"/>
    </row>
    <row r="18" spans="1:5" ht="15">
      <c r="A18" s="1958"/>
      <c r="B18" s="3041"/>
      <c r="C18" s="1962" t="s">
        <v>1621</v>
      </c>
      <c r="D18" s="1052" t="str">
        <f>结果表!H110</f>
        <v>——</v>
      </c>
      <c r="E18" s="1958"/>
    </row>
    <row r="19" spans="1:5" ht="15.75">
      <c r="A19" s="1958"/>
      <c r="B19" s="3032" t="str">
        <f>结果表!E111</f>
        <v>——</v>
      </c>
      <c r="C19" s="1966" t="s">
        <v>1619</v>
      </c>
      <c r="D19" s="1041" t="str">
        <f>结果表!H111</f>
        <v>——</v>
      </c>
      <c r="E19" s="1958"/>
    </row>
    <row r="20" spans="1:5" ht="15.75">
      <c r="A20" s="1958"/>
      <c r="B20" s="3033"/>
      <c r="C20" s="1961" t="s">
        <v>1632</v>
      </c>
      <c r="D20" s="1040" t="e">
        <f>NUMBERSTRING(INT(D19*10000),2)&amp;"元整"</f>
        <v>#VALUE!</v>
      </c>
      <c r="E20" s="1958"/>
    </row>
    <row r="21" spans="1:5" ht="15.75" thickBot="1">
      <c r="A21" s="1958"/>
      <c r="B21" s="3034"/>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2732</v>
      </c>
      <c r="B1" s="395"/>
      <c r="C1" s="396" t="s">
        <v>2783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35" t="s">
        <v>2634</v>
      </c>
      <c r="D4" s="3248"/>
      <c r="E4" s="3249" t="s">
        <v>2635</v>
      </c>
      <c r="F4" s="3250"/>
      <c r="G4" s="3235" t="s">
        <v>2636</v>
      </c>
      <c r="H4" s="3248"/>
      <c r="I4" s="3235" t="s">
        <v>2637</v>
      </c>
      <c r="J4" s="3248"/>
      <c r="K4" s="610" t="s">
        <v>2638</v>
      </c>
      <c r="L4" s="1130"/>
      <c r="M4" s="1131"/>
      <c r="N4" s="1131"/>
      <c r="O4" s="1131"/>
      <c r="P4" s="3251" t="s">
        <v>2639</v>
      </c>
      <c r="Q4" s="3252"/>
      <c r="R4" s="3257" t="s">
        <v>2635</v>
      </c>
      <c r="S4" s="3258"/>
      <c r="T4" s="3257" t="s">
        <v>2636</v>
      </c>
      <c r="U4" s="3258"/>
      <c r="V4" s="3244" t="s">
        <v>2637</v>
      </c>
      <c r="W4" s="3244"/>
      <c r="X4" s="1812"/>
      <c r="Y4" s="3257" t="s">
        <v>2639</v>
      </c>
      <c r="Z4" s="3258"/>
      <c r="AA4" s="3245" t="s">
        <v>2635</v>
      </c>
      <c r="AB4" s="3246" t="s">
        <v>2636</v>
      </c>
      <c r="AC4" s="3245" t="s">
        <v>2637</v>
      </c>
    </row>
    <row r="5" spans="1:29" ht="15">
      <c r="A5" s="404"/>
      <c r="B5" s="405"/>
      <c r="C5" s="3265" t="s">
        <v>2530</v>
      </c>
      <c r="D5" s="3266"/>
      <c r="E5" s="3272" t="s">
        <v>2531</v>
      </c>
      <c r="F5" s="3273"/>
      <c r="G5" s="3265" t="s">
        <v>2532</v>
      </c>
      <c r="H5" s="3266"/>
      <c r="I5" s="3265" t="s">
        <v>2533</v>
      </c>
      <c r="J5" s="3266"/>
      <c r="K5" s="610"/>
      <c r="L5" s="1130"/>
      <c r="M5" s="1131"/>
      <c r="N5" s="1131"/>
      <c r="O5" s="1131"/>
      <c r="P5" s="3253"/>
      <c r="Q5" s="3254"/>
      <c r="R5" s="3259"/>
      <c r="S5" s="3260"/>
      <c r="T5" s="3259"/>
      <c r="U5" s="3260"/>
      <c r="V5" s="3244"/>
      <c r="W5" s="3244"/>
      <c r="X5" s="1812"/>
      <c r="Y5" s="3259"/>
      <c r="Z5" s="3260"/>
      <c r="AA5" s="3246"/>
      <c r="AB5" s="3246"/>
      <c r="AC5" s="3246"/>
    </row>
    <row r="6" spans="1:29" ht="15.75" thickBot="1">
      <c r="A6" s="406"/>
      <c r="B6" s="407"/>
      <c r="C6" s="3334" t="s">
        <v>2784</v>
      </c>
      <c r="D6" s="3335"/>
      <c r="E6" s="3336" t="s">
        <v>2784</v>
      </c>
      <c r="F6" s="3337"/>
      <c r="G6" s="3334" t="s">
        <v>2784</v>
      </c>
      <c r="H6" s="3335"/>
      <c r="I6" s="3334" t="s">
        <v>2784</v>
      </c>
      <c r="J6" s="3335"/>
      <c r="K6" s="610" t="s">
        <v>2535</v>
      </c>
      <c r="L6" s="1130"/>
      <c r="M6" s="1131"/>
      <c r="N6" s="1131"/>
      <c r="O6" s="1131"/>
      <c r="P6" s="3255"/>
      <c r="Q6" s="3256"/>
      <c r="R6" s="3259"/>
      <c r="S6" s="3260"/>
      <c r="T6" s="3261"/>
      <c r="U6" s="3262"/>
      <c r="V6" s="3244"/>
      <c r="W6" s="3244"/>
      <c r="X6" s="1812"/>
      <c r="Y6" s="3261"/>
      <c r="Z6" s="3262"/>
      <c r="AA6" s="3247"/>
      <c r="AB6" s="3247"/>
      <c r="AC6" s="3247"/>
    </row>
    <row r="7" spans="1:29" s="117" customFormat="1" ht="15.75" thickBot="1">
      <c r="A7" s="408" t="s">
        <v>2536</v>
      </c>
      <c r="B7" s="409"/>
      <c r="C7" s="410">
        <f>'数据-取费表'!B2</f>
        <v>43630</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67" t="s">
        <v>2537</v>
      </c>
      <c r="Q7" s="3269"/>
      <c r="R7" s="770" t="s">
        <v>17</v>
      </c>
      <c r="S7" s="771">
        <f t="shared" ref="S7:S15" si="0">F7</f>
        <v>0</v>
      </c>
      <c r="T7" s="770" t="s">
        <v>17</v>
      </c>
      <c r="U7" s="771">
        <f t="shared" ref="U7:U15" si="1">H7</f>
        <v>0</v>
      </c>
      <c r="V7" s="770" t="s">
        <v>17</v>
      </c>
      <c r="W7" s="771">
        <f t="shared" ref="W7:W15" si="2">J7</f>
        <v>0</v>
      </c>
      <c r="X7" s="772"/>
      <c r="Y7" s="3267" t="s">
        <v>2537</v>
      </c>
      <c r="Z7" s="3268"/>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7" t="s">
        <v>2540</v>
      </c>
      <c r="Q8" s="3268"/>
      <c r="R8" s="770" t="s">
        <v>17</v>
      </c>
      <c r="S8" s="771">
        <f t="shared" si="0"/>
        <v>0</v>
      </c>
      <c r="T8" s="770" t="s">
        <v>17</v>
      </c>
      <c r="U8" s="771">
        <f t="shared" si="1"/>
        <v>0</v>
      </c>
      <c r="V8" s="770" t="s">
        <v>17</v>
      </c>
      <c r="W8" s="771">
        <f t="shared" si="2"/>
        <v>0</v>
      </c>
      <c r="X8" s="772"/>
      <c r="Y8" s="3267" t="s">
        <v>2540</v>
      </c>
      <c r="Z8" s="3268"/>
      <c r="AA8" s="773" t="e">
        <f t="shared" ref="AA8:AA40" si="3">D8/F8</f>
        <v>#DIV/0!</v>
      </c>
      <c r="AB8" s="773" t="e">
        <f t="shared" ref="AB8:AB40" si="4">D8/H8</f>
        <v>#DIV/0!</v>
      </c>
      <c r="AC8" s="773" t="e">
        <f t="shared" ref="AC8:AC40" si="5">D8/J8</f>
        <v>#DIV/0!</v>
      </c>
    </row>
    <row r="9" spans="1:29" s="117" customFormat="1">
      <c r="A9" s="415" t="s">
        <v>2541</v>
      </c>
      <c r="B9" s="71" t="s">
        <v>2542</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38" t="s">
        <v>2543</v>
      </c>
      <c r="Q9" s="1794" t="str">
        <f t="shared" ref="Q9:Q15" si="6">B9</f>
        <v>用途</v>
      </c>
      <c r="R9" s="770" t="s">
        <v>17</v>
      </c>
      <c r="S9" s="771">
        <f t="shared" si="0"/>
        <v>100</v>
      </c>
      <c r="T9" s="770" t="s">
        <v>17</v>
      </c>
      <c r="U9" s="771">
        <f t="shared" si="1"/>
        <v>100</v>
      </c>
      <c r="V9" s="770" t="s">
        <v>17</v>
      </c>
      <c r="W9" s="771">
        <f t="shared" si="2"/>
        <v>100</v>
      </c>
      <c r="X9" s="772"/>
      <c r="Y9" s="3075"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38"/>
      <c r="Q10" s="1794" t="str">
        <f t="shared" si="6"/>
        <v>土地使用年限（年）</v>
      </c>
      <c r="R10" s="770" t="s">
        <v>17</v>
      </c>
      <c r="S10" s="771">
        <f t="shared" si="0"/>
        <v>107</v>
      </c>
      <c r="T10" s="770" t="s">
        <v>17</v>
      </c>
      <c r="U10" s="771">
        <f t="shared" si="1"/>
        <v>107</v>
      </c>
      <c r="V10" s="770" t="s">
        <v>17</v>
      </c>
      <c r="W10" s="771">
        <f t="shared" si="2"/>
        <v>107</v>
      </c>
      <c r="X10" s="772"/>
      <c r="Y10" s="3075"/>
      <c r="Z10" s="55" t="str">
        <f t="shared" si="7"/>
        <v>土地使用年限（年）</v>
      </c>
      <c r="AA10" s="773">
        <f t="shared" si="3"/>
        <v>0.93457943925233644</v>
      </c>
      <c r="AB10" s="773">
        <f t="shared" si="4"/>
        <v>0.93457943925233644</v>
      </c>
      <c r="AC10" s="773">
        <f t="shared" si="5"/>
        <v>0.93457943925233644</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8"/>
      <c r="Q11" s="1794"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8"/>
      <c r="Q12" s="1794">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8"/>
      <c r="Q13" s="1794">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8"/>
      <c r="Q14" s="1794">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57">
      <c r="A15" s="440" t="s">
        <v>2547</v>
      </c>
      <c r="B15" s="629" t="s">
        <v>2785</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0" t="s">
        <v>2548</v>
      </c>
      <c r="Q15" s="1809" t="str">
        <f t="shared" si="6"/>
        <v>产业集聚程度</v>
      </c>
      <c r="R15" s="774" t="s">
        <v>17</v>
      </c>
      <c r="S15" s="775">
        <f t="shared" si="0"/>
        <v>100</v>
      </c>
      <c r="T15" s="774" t="s">
        <v>17</v>
      </c>
      <c r="U15" s="775">
        <f t="shared" si="1"/>
        <v>100</v>
      </c>
      <c r="V15" s="774" t="s">
        <v>17</v>
      </c>
      <c r="W15" s="775">
        <f t="shared" si="2"/>
        <v>100</v>
      </c>
      <c r="X15" s="1812"/>
      <c r="Y15" s="3240" t="s">
        <v>2548</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41"/>
      <c r="Q16" s="1809"/>
      <c r="R16" s="774"/>
      <c r="S16" s="775"/>
      <c r="T16" s="774"/>
      <c r="U16" s="775"/>
      <c r="V16" s="774"/>
      <c r="W16" s="775"/>
      <c r="X16" s="1812"/>
      <c r="Y16" s="3241"/>
      <c r="Z16" s="1813"/>
      <c r="AA16" s="1810">
        <v>1</v>
      </c>
      <c r="AB16" s="1810">
        <v>1</v>
      </c>
      <c r="AC16" s="1810">
        <v>1</v>
      </c>
    </row>
    <row r="17" spans="1:29" ht="85.5">
      <c r="A17" s="428"/>
      <c r="B17" s="631" t="s">
        <v>2697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1"/>
      <c r="Q17" s="1809" t="str">
        <f>B17</f>
        <v>交通便捷度</v>
      </c>
      <c r="R17" s="774" t="s">
        <v>17</v>
      </c>
      <c r="S17" s="775">
        <f>F17</f>
        <v>100</v>
      </c>
      <c r="T17" s="774" t="s">
        <v>17</v>
      </c>
      <c r="U17" s="775">
        <f>H17</f>
        <v>100</v>
      </c>
      <c r="V17" s="774" t="s">
        <v>17</v>
      </c>
      <c r="W17" s="775">
        <f>J17</f>
        <v>100</v>
      </c>
      <c r="X17" s="1812"/>
      <c r="Y17" s="3241"/>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41"/>
      <c r="Q18" s="1809"/>
      <c r="R18" s="774"/>
      <c r="S18" s="775"/>
      <c r="T18" s="774"/>
      <c r="U18" s="775"/>
      <c r="V18" s="774"/>
      <c r="W18" s="775"/>
      <c r="X18" s="1812"/>
      <c r="Y18" s="3241"/>
      <c r="Z18" s="1813"/>
      <c r="AA18" s="1810">
        <v>1</v>
      </c>
      <c r="AB18" s="1810">
        <v>1</v>
      </c>
      <c r="AC18" s="1810">
        <v>1</v>
      </c>
    </row>
    <row r="19" spans="1:29" ht="15">
      <c r="A19" s="428"/>
      <c r="B19" s="631" t="s">
        <v>2735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1"/>
      <c r="Q19" s="1809" t="str">
        <f t="shared" ref="Q19:Q33" si="8">B19</f>
        <v>区域土地利用方向</v>
      </c>
      <c r="R19" s="774" t="s">
        <v>17</v>
      </c>
      <c r="S19" s="775">
        <f>F19</f>
        <v>100</v>
      </c>
      <c r="T19" s="774" t="s">
        <v>17</v>
      </c>
      <c r="U19" s="775">
        <f>H19</f>
        <v>100</v>
      </c>
      <c r="V19" s="774" t="s">
        <v>17</v>
      </c>
      <c r="W19" s="775">
        <f>J19</f>
        <v>100</v>
      </c>
      <c r="X19" s="1812"/>
      <c r="Y19" s="3241"/>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41"/>
      <c r="Q20" s="1809"/>
      <c r="R20" s="774"/>
      <c r="S20" s="775"/>
      <c r="T20" s="774"/>
      <c r="U20" s="775"/>
      <c r="V20" s="774"/>
      <c r="W20" s="775"/>
      <c r="X20" s="1812"/>
      <c r="Y20" s="3241"/>
      <c r="Z20" s="1813"/>
      <c r="AA20" s="1810"/>
      <c r="AB20" s="1810"/>
      <c r="AC20" s="1810"/>
    </row>
    <row r="21" spans="1:29" ht="71.25">
      <c r="A21" s="404"/>
      <c r="B21" s="631" t="s">
        <v>2786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1"/>
      <c r="Q21" s="1809" t="str">
        <f t="shared" si="8"/>
        <v>环境状况</v>
      </c>
      <c r="R21" s="774" t="s">
        <v>17</v>
      </c>
      <c r="S21" s="775">
        <f>F21</f>
        <v>100</v>
      </c>
      <c r="T21" s="774" t="s">
        <v>17</v>
      </c>
      <c r="U21" s="775">
        <f>H21</f>
        <v>100</v>
      </c>
      <c r="V21" s="774" t="s">
        <v>17</v>
      </c>
      <c r="W21" s="775">
        <f>J21</f>
        <v>100</v>
      </c>
      <c r="X21" s="1812"/>
      <c r="Y21" s="3241"/>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41"/>
      <c r="Q22" s="1809"/>
      <c r="R22" s="774"/>
      <c r="S22" s="775"/>
      <c r="T22" s="774"/>
      <c r="U22" s="775"/>
      <c r="V22" s="774"/>
      <c r="W22" s="775"/>
      <c r="X22" s="1812"/>
      <c r="Y22" s="3241"/>
      <c r="Z22" s="1813"/>
      <c r="AA22" s="1810">
        <v>1</v>
      </c>
      <c r="AB22" s="1810">
        <v>1</v>
      </c>
      <c r="AC22" s="1810">
        <v>1</v>
      </c>
    </row>
    <row r="23" spans="1:29" s="117" customFormat="1" ht="42.75">
      <c r="A23" s="649"/>
      <c r="B23" s="633" t="s">
        <v>2642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1"/>
      <c r="Q23" s="1794" t="str">
        <f t="shared" si="8"/>
        <v>公共配套设施</v>
      </c>
      <c r="R23" s="770" t="s">
        <v>17</v>
      </c>
      <c r="S23" s="771">
        <f>F23</f>
        <v>100</v>
      </c>
      <c r="T23" s="770" t="s">
        <v>17</v>
      </c>
      <c r="U23" s="771">
        <f>H23</f>
        <v>100</v>
      </c>
      <c r="V23" s="770" t="s">
        <v>17</v>
      </c>
      <c r="W23" s="771">
        <f>J23</f>
        <v>100</v>
      </c>
      <c r="X23" s="772"/>
      <c r="Y23" s="3241"/>
      <c r="Z23" s="55" t="str">
        <f>Q23</f>
        <v>公共配套设施</v>
      </c>
      <c r="AA23" s="1810">
        <f>D23/F23</f>
        <v>1</v>
      </c>
      <c r="AB23" s="1810">
        <f>D23/H23</f>
        <v>1</v>
      </c>
      <c r="AC23" s="1810">
        <f>D23/J23</f>
        <v>1</v>
      </c>
    </row>
    <row r="24" spans="1:29" s="117" customFormat="1" ht="15">
      <c r="A24" s="649"/>
      <c r="B24" s="632"/>
      <c r="C24" s="2696"/>
      <c r="D24" s="448"/>
      <c r="E24" s="2609"/>
      <c r="F24" s="448"/>
      <c r="G24" s="2609"/>
      <c r="H24" s="448"/>
      <c r="I24" s="447"/>
      <c r="J24" s="448"/>
      <c r="K24" s="672"/>
      <c r="L24" s="1132"/>
      <c r="M24" s="1133"/>
      <c r="N24" s="1133"/>
      <c r="O24" s="1134"/>
      <c r="P24" s="3241"/>
      <c r="Q24" s="1794"/>
      <c r="R24" s="770"/>
      <c r="S24" s="771"/>
      <c r="T24" s="770"/>
      <c r="U24" s="771"/>
      <c r="V24" s="770"/>
      <c r="W24" s="771"/>
      <c r="X24" s="772"/>
      <c r="Y24" s="3241"/>
      <c r="Z24" s="55"/>
      <c r="AA24" s="773">
        <v>1</v>
      </c>
      <c r="AB24" s="773">
        <v>1</v>
      </c>
      <c r="AC24" s="773">
        <v>1</v>
      </c>
    </row>
    <row r="25" spans="1:29" s="117" customFormat="1" ht="28.5">
      <c r="A25" s="649"/>
      <c r="B25" s="633" t="s">
        <v>2643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1"/>
      <c r="Q25" s="1794" t="str">
        <f t="shared" ref="Q25" si="9">B25</f>
        <v>基础设施水平</v>
      </c>
      <c r="R25" s="770" t="s">
        <v>17</v>
      </c>
      <c r="S25" s="771">
        <f>F25</f>
        <v>100</v>
      </c>
      <c r="T25" s="770" t="s">
        <v>17</v>
      </c>
      <c r="U25" s="771">
        <f>H25</f>
        <v>100</v>
      </c>
      <c r="V25" s="770" t="s">
        <v>17</v>
      </c>
      <c r="W25" s="771">
        <f>J25</f>
        <v>100</v>
      </c>
      <c r="X25" s="772"/>
      <c r="Y25" s="3241"/>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241"/>
      <c r="Q26" s="1794"/>
      <c r="R26" s="770"/>
      <c r="S26" s="771"/>
      <c r="T26" s="770"/>
      <c r="U26" s="771"/>
      <c r="V26" s="770"/>
      <c r="W26" s="771"/>
      <c r="X26" s="772"/>
      <c r="Y26" s="3241"/>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41"/>
      <c r="Z27" s="1813" t="str">
        <f t="shared" ref="Z27:Z40" si="13">Q27</f>
        <v>临街状况</v>
      </c>
      <c r="AA27" s="1810">
        <f t="shared" si="3"/>
        <v>1</v>
      </c>
      <c r="AB27" s="1810">
        <f t="shared" si="4"/>
        <v>1</v>
      </c>
      <c r="AC27" s="1810">
        <f t="shared" si="5"/>
        <v>1</v>
      </c>
    </row>
    <row r="28" spans="1:29" ht="27">
      <c r="A28" s="428"/>
      <c r="B28" s="633" t="s">
        <v>2679</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1"/>
      <c r="Q28" s="1809" t="str">
        <f t="shared" si="8"/>
        <v>毗邻道路的类型与等级</v>
      </c>
      <c r="R28" s="774" t="s">
        <v>17</v>
      </c>
      <c r="S28" s="775">
        <f t="shared" si="10"/>
        <v>100</v>
      </c>
      <c r="T28" s="774" t="s">
        <v>17</v>
      </c>
      <c r="U28" s="775">
        <f t="shared" si="11"/>
        <v>100</v>
      </c>
      <c r="V28" s="774" t="s">
        <v>17</v>
      </c>
      <c r="W28" s="775">
        <f t="shared" si="12"/>
        <v>100</v>
      </c>
      <c r="X28" s="1812"/>
      <c r="Y28" s="3241"/>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41"/>
      <c r="Q29" s="1809"/>
      <c r="R29" s="774"/>
      <c r="S29" s="775"/>
      <c r="T29" s="774"/>
      <c r="U29" s="775"/>
      <c r="V29" s="774"/>
      <c r="W29" s="775"/>
      <c r="X29" s="1812"/>
      <c r="Y29" s="3241"/>
      <c r="Z29" s="1813"/>
      <c r="AA29" s="1810">
        <v>1</v>
      </c>
      <c r="AB29" s="1810">
        <v>1</v>
      </c>
      <c r="AC29" s="1810">
        <v>1</v>
      </c>
    </row>
    <row r="30" spans="1:29" ht="15">
      <c r="A30" s="428"/>
      <c r="B30" s="654" t="s">
        <v>2737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1"/>
      <c r="Q30" s="1809" t="str">
        <f t="shared" si="8"/>
        <v>土地级别</v>
      </c>
      <c r="R30" s="774" t="s">
        <v>17</v>
      </c>
      <c r="S30" s="775">
        <f t="shared" si="10"/>
        <v>100</v>
      </c>
      <c r="T30" s="774" t="s">
        <v>17</v>
      </c>
      <c r="U30" s="775">
        <f t="shared" si="11"/>
        <v>100</v>
      </c>
      <c r="V30" s="774" t="s">
        <v>17</v>
      </c>
      <c r="W30" s="775">
        <f t="shared" si="12"/>
        <v>100</v>
      </c>
      <c r="X30" s="1812"/>
      <c r="Y30" s="3241"/>
      <c r="Z30" s="1813" t="str">
        <f t="shared" si="13"/>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1"/>
      <c r="Q31" s="1809">
        <f t="shared" si="8"/>
        <v>111</v>
      </c>
      <c r="R31" s="774" t="s">
        <v>17</v>
      </c>
      <c r="S31" s="775">
        <f t="shared" si="10"/>
        <v>100</v>
      </c>
      <c r="T31" s="774" t="s">
        <v>17</v>
      </c>
      <c r="U31" s="775">
        <f t="shared" si="11"/>
        <v>100</v>
      </c>
      <c r="V31" s="774" t="s">
        <v>17</v>
      </c>
      <c r="W31" s="775">
        <f t="shared" si="12"/>
        <v>100</v>
      </c>
      <c r="X31" s="1812"/>
      <c r="Y31" s="3241"/>
      <c r="Z31" s="1813">
        <f t="shared" si="13"/>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2" t="s">
        <v>2553</v>
      </c>
      <c r="Q32" s="1809">
        <f t="shared" si="8"/>
        <v>111</v>
      </c>
      <c r="R32" s="774" t="s">
        <v>17</v>
      </c>
      <c r="S32" s="775">
        <f t="shared" si="10"/>
        <v>100</v>
      </c>
      <c r="T32" s="774" t="s">
        <v>17</v>
      </c>
      <c r="U32" s="775">
        <f t="shared" si="11"/>
        <v>100</v>
      </c>
      <c r="V32" s="774" t="s">
        <v>17</v>
      </c>
      <c r="W32" s="775">
        <f t="shared" si="12"/>
        <v>100</v>
      </c>
      <c r="X32" s="1812"/>
      <c r="Y32" s="3243" t="s">
        <v>2553</v>
      </c>
      <c r="Z32" s="1813">
        <f t="shared" si="13"/>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3"/>
      <c r="Q33" s="1809">
        <f t="shared" si="8"/>
        <v>111</v>
      </c>
      <c r="R33" s="777" t="s">
        <v>17</v>
      </c>
      <c r="S33" s="778">
        <f t="shared" si="10"/>
        <v>100</v>
      </c>
      <c r="T33" s="777" t="s">
        <v>17</v>
      </c>
      <c r="U33" s="778">
        <f t="shared" si="11"/>
        <v>100</v>
      </c>
      <c r="V33" s="777" t="s">
        <v>17</v>
      </c>
      <c r="W33" s="778">
        <f t="shared" si="12"/>
        <v>100</v>
      </c>
      <c r="X33" s="779"/>
      <c r="Y33" s="3243"/>
      <c r="Z33" s="780">
        <f t="shared" si="13"/>
        <v>111</v>
      </c>
      <c r="AA33" s="1810">
        <f t="shared" si="3"/>
        <v>1</v>
      </c>
      <c r="AB33" s="1810">
        <f t="shared" si="4"/>
        <v>1</v>
      </c>
      <c r="AC33" s="1810">
        <f t="shared" si="5"/>
        <v>1</v>
      </c>
    </row>
    <row r="34" spans="1:29" ht="15">
      <c r="A34" s="440" t="s">
        <v>2551</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3"/>
      <c r="Q34" s="1809" t="str">
        <f>B34</f>
        <v>宗地面积</v>
      </c>
      <c r="R34" s="774" t="s">
        <v>17</v>
      </c>
      <c r="S34" s="775" t="e">
        <f t="shared" si="10"/>
        <v>#N/A</v>
      </c>
      <c r="T34" s="774" t="s">
        <v>17</v>
      </c>
      <c r="U34" s="775" t="e">
        <f t="shared" si="11"/>
        <v>#N/A</v>
      </c>
      <c r="V34" s="774" t="s">
        <v>17</v>
      </c>
      <c r="W34" s="775" t="e">
        <f t="shared" si="12"/>
        <v>#N/A</v>
      </c>
      <c r="X34" s="1812"/>
      <c r="Y34" s="3243"/>
      <c r="Z34" s="1813" t="str">
        <f t="shared" si="13"/>
        <v>宗地面积</v>
      </c>
      <c r="AA34" s="1810" t="e">
        <f t="shared" si="3"/>
        <v>#N/A</v>
      </c>
      <c r="AB34" s="1810" t="e">
        <f t="shared" si="4"/>
        <v>#N/A</v>
      </c>
      <c r="AC34" s="1810" t="e">
        <f t="shared" si="5"/>
        <v>#N/A</v>
      </c>
    </row>
    <row r="35" spans="1:29" ht="15">
      <c r="A35" s="472"/>
      <c r="B35" s="422" t="s">
        <v>2739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43"/>
      <c r="Q35" s="1809" t="str">
        <f t="shared" ref="Q35:Q40" si="14">B35</f>
        <v>宗地形状</v>
      </c>
      <c r="R35" s="774" t="s">
        <v>17</v>
      </c>
      <c r="S35" s="775">
        <f t="shared" si="10"/>
        <v>100</v>
      </c>
      <c r="T35" s="774" t="s">
        <v>17</v>
      </c>
      <c r="U35" s="775">
        <f t="shared" si="11"/>
        <v>100</v>
      </c>
      <c r="V35" s="774" t="s">
        <v>17</v>
      </c>
      <c r="W35" s="775">
        <f t="shared" si="12"/>
        <v>100</v>
      </c>
      <c r="X35" s="1812"/>
      <c r="Y35" s="3243"/>
      <c r="Z35" s="1813" t="str">
        <f t="shared" si="13"/>
        <v>宗地形状</v>
      </c>
      <c r="AA35" s="1810">
        <f t="shared" si="3"/>
        <v>1</v>
      </c>
      <c r="AB35" s="1810">
        <f t="shared" si="4"/>
        <v>1</v>
      </c>
      <c r="AC35" s="1810">
        <f t="shared" si="5"/>
        <v>1</v>
      </c>
    </row>
    <row r="36" spans="1:29" s="117" customFormat="1" ht="15">
      <c r="A36" s="473"/>
      <c r="B36" s="422" t="s">
        <v>2741</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43"/>
      <c r="Q36" s="1809" t="str">
        <f t="shared" si="14"/>
        <v>宗地开发程度</v>
      </c>
      <c r="R36" s="770" t="s">
        <v>17</v>
      </c>
      <c r="S36" s="771">
        <f t="shared" si="10"/>
        <v>100</v>
      </c>
      <c r="T36" s="770" t="s">
        <v>17</v>
      </c>
      <c r="U36" s="771">
        <f t="shared" si="11"/>
        <v>100</v>
      </c>
      <c r="V36" s="770" t="s">
        <v>17</v>
      </c>
      <c r="W36" s="771">
        <f t="shared" si="12"/>
        <v>100</v>
      </c>
      <c r="X36" s="772"/>
      <c r="Y36" s="3243"/>
      <c r="Z36" s="55" t="str">
        <f t="shared" si="13"/>
        <v>宗地开发程度</v>
      </c>
      <c r="AA36" s="773">
        <f t="shared" si="3"/>
        <v>1</v>
      </c>
      <c r="AB36" s="773">
        <f t="shared" si="4"/>
        <v>1</v>
      </c>
      <c r="AC36" s="773">
        <f t="shared" si="5"/>
        <v>1</v>
      </c>
    </row>
    <row r="37" spans="1:29" ht="15">
      <c r="A37" s="472"/>
      <c r="B37" s="422" t="s">
        <v>2742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43" t="s">
        <v>2553</v>
      </c>
      <c r="Q37" s="1809" t="str">
        <f t="shared" si="14"/>
        <v>工程地质条件</v>
      </c>
      <c r="R37" s="774" t="s">
        <v>17</v>
      </c>
      <c r="S37" s="775">
        <f t="shared" si="10"/>
        <v>100</v>
      </c>
      <c r="T37" s="774" t="s">
        <v>17</v>
      </c>
      <c r="U37" s="775">
        <f t="shared" si="11"/>
        <v>100</v>
      </c>
      <c r="V37" s="774" t="s">
        <v>17</v>
      </c>
      <c r="W37" s="775">
        <f t="shared" si="12"/>
        <v>100</v>
      </c>
      <c r="X37" s="1812"/>
      <c r="Y37" s="3243" t="s">
        <v>2553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3"/>
      <c r="Q38" s="1809">
        <f t="shared" si="14"/>
        <v>111</v>
      </c>
      <c r="R38" s="774" t="s">
        <v>17</v>
      </c>
      <c r="S38" s="775">
        <f t="shared" si="10"/>
        <v>100</v>
      </c>
      <c r="T38" s="774" t="s">
        <v>17</v>
      </c>
      <c r="U38" s="775">
        <f t="shared" si="11"/>
        <v>100</v>
      </c>
      <c r="V38" s="774" t="s">
        <v>17</v>
      </c>
      <c r="W38" s="775">
        <f t="shared" si="12"/>
        <v>100</v>
      </c>
      <c r="X38" s="1812"/>
      <c r="Y38" s="324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3"/>
      <c r="Q39" s="1809">
        <f t="shared" si="14"/>
        <v>111</v>
      </c>
      <c r="R39" s="774" t="s">
        <v>17</v>
      </c>
      <c r="S39" s="775">
        <f t="shared" si="10"/>
        <v>100</v>
      </c>
      <c r="T39" s="774" t="s">
        <v>17</v>
      </c>
      <c r="U39" s="775">
        <f t="shared" si="11"/>
        <v>100</v>
      </c>
      <c r="V39" s="774" t="s">
        <v>17</v>
      </c>
      <c r="W39" s="775">
        <f t="shared" si="12"/>
        <v>100</v>
      </c>
      <c r="X39" s="1812"/>
      <c r="Y39" s="3243"/>
      <c r="Z39" s="1813">
        <f t="shared" si="13"/>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3"/>
      <c r="Q40" s="1809">
        <f t="shared" si="14"/>
        <v>111</v>
      </c>
      <c r="R40" s="777" t="s">
        <v>17</v>
      </c>
      <c r="S40" s="778">
        <f t="shared" si="10"/>
        <v>100</v>
      </c>
      <c r="T40" s="777" t="s">
        <v>17</v>
      </c>
      <c r="U40" s="778">
        <f t="shared" si="11"/>
        <v>100</v>
      </c>
      <c r="V40" s="777" t="s">
        <v>17</v>
      </c>
      <c r="W40" s="778">
        <f t="shared" si="12"/>
        <v>100</v>
      </c>
      <c r="X40" s="779"/>
      <c r="Y40" s="3243"/>
      <c r="Z40" s="780">
        <f t="shared" si="13"/>
        <v>111</v>
      </c>
      <c r="AA40" s="1810">
        <f t="shared" si="3"/>
        <v>1</v>
      </c>
      <c r="AB40" s="1810">
        <f t="shared" si="4"/>
        <v>1</v>
      </c>
      <c r="AC40" s="1810">
        <f t="shared" si="5"/>
        <v>1</v>
      </c>
    </row>
    <row r="41" spans="1:29" ht="15">
      <c r="A41" s="479" t="s">
        <v>2708</v>
      </c>
      <c r="B41" s="2700" t="s">
        <v>2787</v>
      </c>
      <c r="C41" s="682" t="s">
        <v>1</v>
      </c>
      <c r="D41" s="481"/>
      <c r="E41" s="482"/>
      <c r="F41" s="483"/>
      <c r="G41" s="484"/>
      <c r="H41" s="485"/>
      <c r="I41" s="482"/>
      <c r="J41" s="485"/>
      <c r="K41" s="783"/>
      <c r="L41" s="1143"/>
      <c r="M41" s="1131"/>
      <c r="N41" s="1131"/>
      <c r="O41" s="1144"/>
      <c r="P41" s="3238" t="str">
        <f>A41</f>
        <v>成交单价</v>
      </c>
      <c r="Q41" s="3238"/>
      <c r="R41" s="3244">
        <f>E41</f>
        <v>0</v>
      </c>
      <c r="S41" s="3244"/>
      <c r="T41" s="3244">
        <f>G41</f>
        <v>0</v>
      </c>
      <c r="U41" s="3244"/>
      <c r="V41" s="3244">
        <f>I41</f>
        <v>0</v>
      </c>
      <c r="W41" s="3244"/>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3"/>
      <c r="M42" s="1131"/>
      <c r="N42" s="1131"/>
      <c r="O42" s="1144"/>
      <c r="P42" s="3238" t="str">
        <f>A42</f>
        <v>比较价值（元/平方米）</v>
      </c>
      <c r="Q42" s="3238"/>
      <c r="R42" s="3231" t="e">
        <f>ROUND(PRODUCT(R41,AA7:AA40),0)</f>
        <v>#DIV/0!</v>
      </c>
      <c r="S42" s="3231"/>
      <c r="T42" s="3231" t="e">
        <f>ROUND(PRODUCT(T41,AB7:AB40),0)</f>
        <v>#DIV/0!</v>
      </c>
      <c r="U42" s="3231"/>
      <c r="V42" s="3231" t="e">
        <f>ROUND(PRODUCT(V41,AC7:AC40),0)</f>
        <v>#DIV/0!</v>
      </c>
      <c r="W42" s="3231"/>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3"/>
      <c r="M43" s="1131"/>
      <c r="N43" s="1131"/>
      <c r="O43" s="1144"/>
      <c r="P43" s="3232" t="str">
        <f>A43</f>
        <v>估价对象XX用房的比较价值（楼面单价，元/平方米）</v>
      </c>
      <c r="Q43" s="3233"/>
      <c r="R43" s="3234" t="e">
        <f>ROUND(AVERAGE(R42:V42),0)</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2745</v>
      </c>
      <c r="B50" s="685" t="s">
        <v>2746</v>
      </c>
      <c r="C50" s="2701" t="s">
        <v>2747</v>
      </c>
      <c r="D50" s="2702" t="s">
        <v>2748</v>
      </c>
      <c r="E50" s="686" t="s">
        <v>2749</v>
      </c>
      <c r="F50" s="687" t="s">
        <v>2750</v>
      </c>
      <c r="G50" s="3235" t="s">
        <v>2751</v>
      </c>
      <c r="H50" s="3236"/>
      <c r="I50" s="1813" t="s">
        <v>2788</v>
      </c>
      <c r="J50" s="1813" t="str">
        <f>项目基本情况!F35</f>
        <v>四川省</v>
      </c>
      <c r="K50" s="2704" t="s">
        <v>2753</v>
      </c>
      <c r="L50" s="1106"/>
      <c r="M50" s="1144"/>
      <c r="N50" s="1144"/>
      <c r="O50" s="1144"/>
    </row>
    <row r="51" spans="1:17" s="692" customFormat="1">
      <c r="A51" s="688" t="s">
        <v>2754</v>
      </c>
      <c r="B51" s="689" t="e">
        <f>C43</f>
        <v>#DIV/0!</v>
      </c>
      <c r="C51" s="690">
        <v>1</v>
      </c>
      <c r="D51" s="1163">
        <v>1</v>
      </c>
      <c r="E51" s="690">
        <f>'数据-汇总表'!E8+'数据-汇总表'!E9</f>
        <v>253115.13999999998</v>
      </c>
      <c r="F51" s="691" t="e">
        <f t="shared" ref="F51:F60" si="15">ROUND(B51*E51/10000,0)</f>
        <v>#DIV/0!</v>
      </c>
      <c r="G51" s="3237"/>
      <c r="H51" s="3238"/>
      <c r="I51" s="942">
        <v>1</v>
      </c>
      <c r="J51" s="942">
        <v>1</v>
      </c>
      <c r="K51" s="1145"/>
      <c r="L51" s="941"/>
      <c r="M51" s="941"/>
      <c r="N51" s="941"/>
      <c r="O51" s="941"/>
    </row>
    <row r="52" spans="1:17" s="692" customFormat="1">
      <c r="A52" s="693" t="s">
        <v>2755</v>
      </c>
      <c r="B52" s="262" t="e">
        <f>ROUND($C$43*C52*D52,0)</f>
        <v>#DIV/0!</v>
      </c>
      <c r="C52" s="200">
        <f t="shared" ref="C52:C60" si="16">IF($C$50="北京市系数",I52,J52)</f>
        <v>0</v>
      </c>
      <c r="D52" s="1164">
        <v>0.25</v>
      </c>
      <c r="E52" s="694"/>
      <c r="F52" s="691" t="e">
        <f t="shared" si="15"/>
        <v>#DIV/0!</v>
      </c>
      <c r="G52" s="3239" t="s">
        <v>2756</v>
      </c>
      <c r="H52" s="1104">
        <f>项目基本情况!B37</f>
        <v>0</v>
      </c>
      <c r="I52" s="942">
        <f>SUMIF(修正!A45:A56,H52,修正!B45:B56)</f>
        <v>0</v>
      </c>
      <c r="J52" s="943"/>
      <c r="K52" s="1144"/>
      <c r="L52" s="941"/>
      <c r="M52" s="941"/>
      <c r="N52" s="941"/>
      <c r="O52" s="941"/>
    </row>
    <row r="53" spans="1:17" s="692" customFormat="1">
      <c r="A53" s="693" t="s">
        <v>2757</v>
      </c>
      <c r="B53" s="262" t="e">
        <f t="shared" ref="B53:B60" si="17">ROUND($C$43*C53*D53,0)</f>
        <v>#DIV/0!</v>
      </c>
      <c r="C53" s="200">
        <f t="shared" si="16"/>
        <v>0</v>
      </c>
      <c r="D53" s="1164">
        <v>0.25</v>
      </c>
      <c r="E53" s="694"/>
      <c r="F53" s="691" t="e">
        <f t="shared" si="15"/>
        <v>#DIV/0!</v>
      </c>
      <c r="G53" s="3239"/>
      <c r="H53" s="1104">
        <f>项目基本情况!B37</f>
        <v>0</v>
      </c>
      <c r="I53" s="942">
        <f>SUMIF(修正!A45:A56,H53,修正!C45:C56)</f>
        <v>0</v>
      </c>
      <c r="J53" s="943"/>
      <c r="K53" s="1145"/>
      <c r="L53" s="941"/>
      <c r="M53" s="941"/>
      <c r="N53" s="941"/>
      <c r="O53" s="941"/>
    </row>
    <row r="54" spans="1:17" s="692" customFormat="1">
      <c r="A54" s="693" t="s">
        <v>2758</v>
      </c>
      <c r="B54" s="262" t="e">
        <f t="shared" si="17"/>
        <v>#DIV/0!</v>
      </c>
      <c r="C54" s="200">
        <f t="shared" si="16"/>
        <v>0</v>
      </c>
      <c r="D54" s="1164">
        <v>0.25</v>
      </c>
      <c r="E54" s="694"/>
      <c r="F54" s="691" t="e">
        <f t="shared" si="15"/>
        <v>#DIV/0!</v>
      </c>
      <c r="G54" s="3239"/>
      <c r="H54" s="1104">
        <f>项目基本情况!B37</f>
        <v>0</v>
      </c>
      <c r="I54" s="942">
        <f>SUMIF(修正!A45:A56,H54,修正!D45:D56)</f>
        <v>0</v>
      </c>
      <c r="J54" s="943"/>
      <c r="K54" s="1144"/>
      <c r="L54" s="941"/>
      <c r="M54" s="941"/>
      <c r="N54" s="941"/>
      <c r="O54" s="941"/>
    </row>
    <row r="55" spans="1:17" s="692" customFormat="1">
      <c r="A55" s="693" t="s">
        <v>2759</v>
      </c>
      <c r="B55" s="262" t="e">
        <f t="shared" si="17"/>
        <v>#DIV/0!</v>
      </c>
      <c r="C55" s="200">
        <f t="shared" si="16"/>
        <v>0</v>
      </c>
      <c r="D55" s="1164">
        <v>0.25</v>
      </c>
      <c r="E55" s="694"/>
      <c r="F55" s="691" t="e">
        <f t="shared" si="15"/>
        <v>#DIV/0!</v>
      </c>
      <c r="G55" s="3239"/>
      <c r="H55" s="1104">
        <f>项目基本情况!B37</f>
        <v>0</v>
      </c>
      <c r="I55" s="942">
        <f>SUMIF(修正!A45:A56,H55,修正!E45:E56)</f>
        <v>0</v>
      </c>
      <c r="J55" s="943"/>
      <c r="K55" s="1145"/>
      <c r="L55" s="941"/>
      <c r="M55" s="941"/>
      <c r="N55" s="941"/>
      <c r="O55" s="941"/>
    </row>
    <row r="56" spans="1:17" s="692" customFormat="1">
      <c r="A56" s="693" t="s">
        <v>2760</v>
      </c>
      <c r="B56" s="262" t="e">
        <f t="shared" si="17"/>
        <v>#DIV/0!</v>
      </c>
      <c r="C56" s="200">
        <f t="shared" si="16"/>
        <v>0</v>
      </c>
      <c r="D56" s="1164">
        <v>0.25</v>
      </c>
      <c r="E56" s="261">
        <f>'数据-汇总表'!E11</f>
        <v>0</v>
      </c>
      <c r="F56" s="691" t="e">
        <f t="shared" si="15"/>
        <v>#DIV/0!</v>
      </c>
      <c r="G56" s="2705" t="s">
        <v>2761</v>
      </c>
      <c r="H56" s="1104">
        <f>项目基本情况!C37</f>
        <v>0</v>
      </c>
      <c r="I56" s="942">
        <f>SUMIF(修正!A45:A56,H56,修正!F45:F56)</f>
        <v>0</v>
      </c>
      <c r="J56" s="943"/>
      <c r="K56" s="1144"/>
      <c r="L56" s="941"/>
      <c r="M56" s="941"/>
      <c r="N56" s="941"/>
      <c r="O56" s="941"/>
    </row>
    <row r="57" spans="1:17" s="692" customFormat="1">
      <c r="A57" s="693" t="s">
        <v>2762</v>
      </c>
      <c r="B57" s="262" t="e">
        <f t="shared" si="17"/>
        <v>#DIV/0!</v>
      </c>
      <c r="C57" s="200">
        <f t="shared" si="16"/>
        <v>0</v>
      </c>
      <c r="D57" s="1164">
        <v>0.25</v>
      </c>
      <c r="E57" s="261">
        <f>'数据-汇总表'!E12</f>
        <v>0</v>
      </c>
      <c r="F57" s="691" t="e">
        <f t="shared" si="15"/>
        <v>#DIV/0!</v>
      </c>
      <c r="G57" s="1109" t="s">
        <v>2763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2764</v>
      </c>
      <c r="B58" s="262" t="e">
        <f t="shared" si="17"/>
        <v>#DIV/0!</v>
      </c>
      <c r="C58" s="200">
        <f t="shared" si="16"/>
        <v>0</v>
      </c>
      <c r="D58" s="1164">
        <v>0.25</v>
      </c>
      <c r="E58" s="261">
        <f>'数据-汇总表'!E13</f>
        <v>89683.34</v>
      </c>
      <c r="F58" s="691" t="e">
        <f t="shared" si="15"/>
        <v>#DIV/0!</v>
      </c>
      <c r="G58" s="1109" t="s">
        <v>2765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2766</v>
      </c>
      <c r="B59" s="262" t="e">
        <f t="shared" si="17"/>
        <v>#DIV/0!</v>
      </c>
      <c r="C59" s="200">
        <f t="shared" si="16"/>
        <v>0</v>
      </c>
      <c r="D59" s="1164">
        <v>0.25</v>
      </c>
      <c r="E59" s="261">
        <f>'数据-汇总表'!E14</f>
        <v>0</v>
      </c>
      <c r="F59" s="691" t="e">
        <f t="shared" si="15"/>
        <v>#DIV/0!</v>
      </c>
      <c r="G59" s="2705" t="s">
        <v>2756</v>
      </c>
      <c r="H59" s="1104">
        <f>项目基本情况!B37</f>
        <v>0</v>
      </c>
      <c r="I59" s="942">
        <f>SUMIF(修正!A45:A56,H59,修正!H45:H56)</f>
        <v>0</v>
      </c>
      <c r="J59" s="943"/>
      <c r="K59" s="1145"/>
      <c r="L59" s="941"/>
      <c r="M59" s="941"/>
      <c r="N59" s="941"/>
      <c r="O59" s="941"/>
    </row>
    <row r="60" spans="1:17" s="692" customFormat="1" ht="15" thickBot="1">
      <c r="A60" s="693" t="s">
        <v>2767</v>
      </c>
      <c r="B60" s="262" t="e">
        <f t="shared" si="17"/>
        <v>#DIV/0!</v>
      </c>
      <c r="C60" s="200">
        <f t="shared" si="16"/>
        <v>0</v>
      </c>
      <c r="D60" s="1164">
        <v>0.25</v>
      </c>
      <c r="E60" s="261">
        <f>'数据-汇总表'!E15</f>
        <v>0</v>
      </c>
      <c r="F60" s="691" t="e">
        <f t="shared" si="15"/>
        <v>#DIV/0!</v>
      </c>
      <c r="G60" s="2706" t="s">
        <v>2761</v>
      </c>
      <c r="H60" s="1114">
        <f>项目基本情况!C37</f>
        <v>0</v>
      </c>
      <c r="I60" s="942">
        <f>SUMIF(修正!A45:A56,H60,修正!H45:H56)</f>
        <v>0</v>
      </c>
      <c r="J60" s="943"/>
      <c r="K60" s="1144"/>
      <c r="L60" s="941"/>
      <c r="M60" s="941"/>
      <c r="N60" s="941"/>
      <c r="O60" s="941"/>
    </row>
    <row r="61" spans="1:17" s="692" customFormat="1" ht="15" thickBot="1">
      <c r="A61" s="695" t="s">
        <v>2768</v>
      </c>
      <c r="B61" s="696" t="s">
        <v>28</v>
      </c>
      <c r="C61" s="696" t="s">
        <v>29</v>
      </c>
      <c r="D61" s="696" t="s">
        <v>1026</v>
      </c>
      <c r="E61" s="696">
        <f>IF(B41="楼面地价",SUM(E51:E60),'数据-汇总表'!D3)</f>
        <v>72072.02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2662</v>
      </c>
      <c r="B64" s="759"/>
      <c r="C64" s="764"/>
      <c r="D64" s="764"/>
      <c r="E64" s="764"/>
      <c r="F64" s="765"/>
      <c r="G64" s="765"/>
      <c r="H64" s="764"/>
      <c r="I64" s="764"/>
      <c r="J64" s="764"/>
      <c r="K64" s="766"/>
      <c r="L64" s="767"/>
      <c r="M64" s="764"/>
      <c r="N64" s="764"/>
      <c r="O64" s="1159"/>
      <c r="P64" s="503"/>
      <c r="Q64" s="504"/>
    </row>
    <row r="65" spans="1:17" s="508" customFormat="1" ht="15">
      <c r="A65" s="2707" t="s">
        <v>2769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2" t="s">
        <v>2789</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2576</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2772</v>
      </c>
      <c r="C87" s="573" t="s">
        <v>2585</v>
      </c>
      <c r="D87" s="573" t="s">
        <v>2586</v>
      </c>
      <c r="E87" s="573" t="s">
        <v>2587</v>
      </c>
      <c r="F87" s="573" t="s">
        <v>2588</v>
      </c>
      <c r="G87" s="573" t="s">
        <v>2589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2773</v>
      </c>
      <c r="C89" s="573" t="s">
        <v>2585</v>
      </c>
      <c r="D89" s="573" t="s">
        <v>2586</v>
      </c>
      <c r="E89" s="573" t="s">
        <v>2587</v>
      </c>
      <c r="F89" s="573" t="s">
        <v>2588</v>
      </c>
      <c r="G89" s="573" t="s">
        <v>2589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2790</v>
      </c>
      <c r="C93" s="660" t="s">
        <v>2663</v>
      </c>
      <c r="D93" s="660" t="s">
        <v>2664</v>
      </c>
      <c r="E93" s="660" t="s">
        <v>2665</v>
      </c>
      <c r="F93" s="660" t="s">
        <v>2666</v>
      </c>
      <c r="G93" s="660" t="s">
        <v>2667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sqref="A1:XFD1048576"/>
    </sheetView>
  </sheetViews>
  <sheetFormatPr defaultColWidth="12" defaultRowHeight="12.75"/>
  <cols>
    <col min="1" max="1" width="9.875" style="2784" customWidth="1"/>
    <col min="2" max="2" width="19.125" style="2890" customWidth="1"/>
    <col min="3" max="4" width="12" style="2716"/>
    <col min="5" max="5" width="14.625" style="2716" customWidth="1"/>
    <col min="6" max="8" width="12" style="2716"/>
    <col min="9" max="9" width="12.125" style="2716" bestFit="1" customWidth="1"/>
    <col min="10" max="10" width="12" style="2716"/>
    <col min="11" max="11" width="8.125" style="2779" customWidth="1"/>
    <col min="12" max="12" width="12" style="2716"/>
    <col min="13" max="13" width="8.5" style="2716" customWidth="1"/>
    <col min="14" max="14" width="9.8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2791</v>
      </c>
      <c r="B1" s="241"/>
      <c r="C1" s="245" t="s">
        <v>2792</v>
      </c>
      <c r="D1" s="388">
        <f>SUM(D29:D30,D33:D39)</f>
        <v>0</v>
      </c>
      <c r="E1" s="2713"/>
      <c r="F1" s="2713"/>
      <c r="G1" s="2713"/>
      <c r="H1" s="2713"/>
      <c r="I1" s="2713"/>
      <c r="J1" s="2713"/>
      <c r="K1" s="1370"/>
      <c r="L1" s="2714" t="s">
        <v>2793</v>
      </c>
      <c r="M1" s="1080">
        <f>SUMPRODUCT((区片价!B5:B9=I2)*(区片价!C3:F3=E2)*(区片价!C5:F9))</f>
        <v>0</v>
      </c>
      <c r="N1" s="1083">
        <f>SUMPRODUCT((因素修正幅度!B5:B9=I2)*(因素修正幅度!C3:F3=E2)*(因素修正幅度!C5:F9))</f>
        <v>0</v>
      </c>
      <c r="O1" s="2715"/>
      <c r="P1" s="2715"/>
      <c r="Q1" s="1370"/>
      <c r="R1" s="1601" t="s">
        <v>2794</v>
      </c>
      <c r="S1" s="1601" t="s">
        <v>2795</v>
      </c>
      <c r="T1" s="1601" t="s">
        <v>2796</v>
      </c>
      <c r="U1" s="1601" t="s">
        <v>2797</v>
      </c>
      <c r="V1" s="1601" t="s">
        <v>2798</v>
      </c>
      <c r="W1" s="1605"/>
      <c r="X1" s="1605"/>
      <c r="Y1" s="1605"/>
      <c r="Z1" s="1605"/>
      <c r="AA1" s="1605"/>
      <c r="AB1" s="1605"/>
      <c r="AC1" s="1606"/>
      <c r="AD1" s="1607"/>
      <c r="AE1" s="1607"/>
      <c r="AF1" s="1607"/>
      <c r="AG1" s="1607"/>
      <c r="AH1" s="1607"/>
      <c r="AI1" s="1607"/>
      <c r="AJ1" s="1608"/>
    </row>
    <row r="2" spans="1:36" ht="15.75">
      <c r="A2" s="245" t="s">
        <v>2799</v>
      </c>
      <c r="B2" s="248" t="e">
        <f>C26</f>
        <v>#DIV/0!</v>
      </c>
      <c r="C2" s="2717" t="s">
        <v>2800</v>
      </c>
      <c r="D2" s="2718" t="s">
        <v>2801</v>
      </c>
      <c r="E2" s="2719"/>
      <c r="F2" s="2718" t="s">
        <v>2802</v>
      </c>
      <c r="G2" s="2720">
        <f>IF(E2="商业",项目基本情况!B37,IF(E2="办公",项目基本情况!C37,IF(E2="住宅",项目基本情况!D37,项目基本情况!E37)))</f>
        <v>0</v>
      </c>
      <c r="H2" s="2718" t="s">
        <v>2803</v>
      </c>
      <c r="I2" s="2720">
        <f>IF(E2="商业",项目基本情况!B38,IF(E2="办公",项目基本情况!C38,IF(E2="住宅",项目基本情况!D38,项目基本情况!E38)))</f>
        <v>0</v>
      </c>
      <c r="J2" s="2721"/>
      <c r="K2" s="1370"/>
      <c r="L2" s="2722" t="s">
        <v>2804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2805</v>
      </c>
      <c r="B3" s="248" t="e">
        <f>ROUND(B2*10000/D1,0)</f>
        <v>#DIV/0!</v>
      </c>
      <c r="C3" s="2717" t="s">
        <v>2806</v>
      </c>
      <c r="D3" s="2718" t="s">
        <v>2807</v>
      </c>
      <c r="E3" s="2723"/>
      <c r="F3" s="2724" t="s">
        <v>2808</v>
      </c>
      <c r="G3" s="916">
        <f>IF(F3="宗地容积率",'数据-汇总表'!I4,IF(F3="估价对象容积率",'数据-汇总表'!I6,'数据-汇总表'!I7))</f>
        <v>3.74</v>
      </c>
      <c r="H3" s="198" t="s">
        <v>2809</v>
      </c>
      <c r="I3" s="944"/>
      <c r="J3" s="2721" t="s">
        <v>2810</v>
      </c>
      <c r="K3" s="1370"/>
      <c r="L3" s="2722" t="s">
        <v>2811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41"/>
      <c r="B4" s="3342"/>
      <c r="C4" s="3342"/>
      <c r="D4" s="3343"/>
      <c r="E4" s="3343"/>
      <c r="F4" s="3343"/>
      <c r="G4" s="3343"/>
      <c r="H4" s="3343"/>
      <c r="I4" s="3343"/>
      <c r="J4" s="3344"/>
      <c r="K4" s="1370"/>
      <c r="L4" s="2722" t="s">
        <v>2812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2813</v>
      </c>
      <c r="C5" s="917" t="e">
        <f>ROUND(IF(E2="商业",C6*C7+C16,(IF(E2="住宅",C6*C12+C16,C6+C16))),0)</f>
        <v>#DIV/0!</v>
      </c>
      <c r="D5" s="1786" t="e">
        <f>ROUND(IF(F17="增加",C6+C16,C6-C16),0)</f>
        <v>#DIV/0!</v>
      </c>
      <c r="E5" s="1786"/>
      <c r="F5" s="2727"/>
      <c r="G5" s="2728"/>
      <c r="H5" s="2728"/>
      <c r="I5" s="2728"/>
      <c r="J5" s="2729"/>
      <c r="K5" s="2730"/>
      <c r="L5" s="2722" t="s">
        <v>2814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2815</v>
      </c>
      <c r="B6" s="2736" t="s">
        <v>2816</v>
      </c>
      <c r="C6" s="918">
        <f>SUMIF(L1:L12,G2,M1:M12)</f>
        <v>0</v>
      </c>
      <c r="D6" s="2737" t="s">
        <v>2817</v>
      </c>
      <c r="E6" s="2738"/>
      <c r="F6" s="2738"/>
      <c r="G6" s="2739"/>
      <c r="H6" s="2739"/>
      <c r="I6" s="2739"/>
      <c r="J6" s="2740"/>
      <c r="K6" s="1841"/>
      <c r="L6" s="2722" t="s">
        <v>2818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345" t="str">
        <f>IF(E2="商业",IF(C8="不临58条商业街","",2),"")</f>
        <v/>
      </c>
      <c r="B7" s="2741" t="s">
        <v>2819</v>
      </c>
      <c r="C7" s="919" t="e">
        <f>IF(C8="不临58条商业街",1,ROUND(1+(1.6*E8+1.2*E9+0.8*E10+0.4*E11)*C9,4))</f>
        <v>#DIV/0!</v>
      </c>
      <c r="D7" s="2742" t="s">
        <v>2820</v>
      </c>
      <c r="E7" s="945"/>
      <c r="F7" s="2743"/>
      <c r="G7" s="2744"/>
      <c r="H7" s="2744"/>
      <c r="I7" s="2744"/>
      <c r="J7" s="2745"/>
      <c r="K7" s="1841"/>
      <c r="L7" s="2722" t="s">
        <v>2821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2822</v>
      </c>
      <c r="X7" s="1603">
        <f>G2</f>
        <v>0</v>
      </c>
      <c r="Y7" s="1603" t="s">
        <v>2823</v>
      </c>
      <c r="Z7" s="1604">
        <f>G3</f>
        <v>3.74</v>
      </c>
      <c r="AA7" s="1605"/>
      <c r="AB7" s="1605"/>
      <c r="AC7" s="1606"/>
      <c r="AD7" s="1607"/>
      <c r="AE7" s="1607"/>
      <c r="AF7" s="1607"/>
      <c r="AG7" s="1607"/>
      <c r="AH7" s="1607"/>
      <c r="AI7" s="1607"/>
      <c r="AJ7" s="1608"/>
    </row>
    <row r="8" spans="1:36" ht="15">
      <c r="A8" s="3346"/>
      <c r="B8" s="198" t="s">
        <v>2824</v>
      </c>
      <c r="C8" s="2746"/>
      <c r="D8" s="920" t="s">
        <v>139</v>
      </c>
      <c r="E8" s="921" t="e">
        <f>ROUND(C11/E7,4)</f>
        <v>#DIV/0!</v>
      </c>
      <c r="F8" s="2747" t="s">
        <v>2825</v>
      </c>
      <c r="G8" s="2748"/>
      <c r="H8" s="2748"/>
      <c r="I8" s="2748"/>
      <c r="J8" s="2749"/>
      <c r="K8" s="1370"/>
      <c r="L8" s="2722" t="s">
        <v>2826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38" t="s">
        <v>2827</v>
      </c>
      <c r="X8" s="3339"/>
      <c r="Y8" s="1609" t="s">
        <v>2828</v>
      </c>
      <c r="Z8" s="1609" t="s">
        <v>2829</v>
      </c>
      <c r="AA8" s="1609" t="s">
        <v>2830</v>
      </c>
      <c r="AB8" s="1609" t="s">
        <v>2831</v>
      </c>
      <c r="AC8" s="1609" t="s">
        <v>2832</v>
      </c>
      <c r="AD8" s="1609" t="s">
        <v>2833</v>
      </c>
      <c r="AE8" s="1609" t="s">
        <v>2834</v>
      </c>
      <c r="AF8" s="1609" t="s">
        <v>2835</v>
      </c>
      <c r="AG8" s="1609" t="s">
        <v>2836</v>
      </c>
      <c r="AH8" s="1609" t="s">
        <v>2837</v>
      </c>
      <c r="AI8" s="1609" t="s">
        <v>2838</v>
      </c>
      <c r="AJ8" s="1609" t="s">
        <v>2839</v>
      </c>
    </row>
    <row r="9" spans="1:36" ht="15">
      <c r="A9" s="3346"/>
      <c r="B9" s="198" t="s">
        <v>2840</v>
      </c>
      <c r="C9" s="922">
        <f>SUMIF(修正!C59:C119,C8,修正!E59:E119)</f>
        <v>0</v>
      </c>
      <c r="D9" s="200" t="s">
        <v>140</v>
      </c>
      <c r="E9" s="200" t="e">
        <f>ROUND(C11/E7,4)</f>
        <v>#DIV/0!</v>
      </c>
      <c r="F9" s="2747" t="s">
        <v>2841</v>
      </c>
      <c r="G9" s="2748"/>
      <c r="H9" s="2748"/>
      <c r="I9" s="2748"/>
      <c r="J9" s="2749"/>
      <c r="K9" s="1370"/>
      <c r="L9" s="2722" t="s">
        <v>2842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40" t="s">
        <v>2843</v>
      </c>
      <c r="X9" s="1610" t="s">
        <v>2844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46"/>
      <c r="B10" s="198" t="s">
        <v>2845</v>
      </c>
      <c r="C10" s="200">
        <f>SUMIF(修正!C59:C119,C8,修正!F59:F119)</f>
        <v>0</v>
      </c>
      <c r="D10" s="200" t="s">
        <v>141</v>
      </c>
      <c r="E10" s="200" t="e">
        <f>ROUND(C11/E7,4)</f>
        <v>#DIV/0!</v>
      </c>
      <c r="F10" s="2747" t="s">
        <v>2846</v>
      </c>
      <c r="G10" s="2748"/>
      <c r="H10" s="2748"/>
      <c r="I10" s="2748"/>
      <c r="J10" s="2749"/>
      <c r="K10" s="1370"/>
      <c r="L10" s="2722" t="s">
        <v>2847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4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46"/>
      <c r="B11" s="2750" t="s">
        <v>2848</v>
      </c>
      <c r="C11" s="923">
        <f>C10/4</f>
        <v>0</v>
      </c>
      <c r="D11" s="923" t="s">
        <v>142</v>
      </c>
      <c r="E11" s="923" t="e">
        <f>ROUND(C11/E7,4)</f>
        <v>#DIV/0!</v>
      </c>
      <c r="F11" s="2751" t="s">
        <v>2849</v>
      </c>
      <c r="G11" s="2752"/>
      <c r="H11" s="2752"/>
      <c r="I11" s="2752"/>
      <c r="J11" s="2753"/>
      <c r="K11" s="1370"/>
      <c r="L11" s="2722" t="s">
        <v>2850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40" t="s">
        <v>2851</v>
      </c>
      <c r="X11" s="1613" t="s">
        <v>2852</v>
      </c>
      <c r="Y11" s="1614">
        <f>$G$3</f>
        <v>3.74</v>
      </c>
      <c r="Z11" s="1614">
        <f t="shared" ref="Z11:AJ11" si="3">$G$3</f>
        <v>3.74</v>
      </c>
      <c r="AA11" s="1614">
        <f t="shared" si="3"/>
        <v>3.74</v>
      </c>
      <c r="AB11" s="1614">
        <f t="shared" si="3"/>
        <v>3.74</v>
      </c>
      <c r="AC11" s="1614">
        <f t="shared" si="3"/>
        <v>3.74</v>
      </c>
      <c r="AD11" s="1614">
        <f t="shared" si="3"/>
        <v>3.74</v>
      </c>
      <c r="AE11" s="1614">
        <f t="shared" si="3"/>
        <v>3.74</v>
      </c>
      <c r="AF11" s="1614">
        <f t="shared" si="3"/>
        <v>3.74</v>
      </c>
      <c r="AG11" s="1614">
        <f t="shared" si="3"/>
        <v>3.74</v>
      </c>
      <c r="AH11" s="1614">
        <f t="shared" si="3"/>
        <v>3.74</v>
      </c>
      <c r="AI11" s="1614">
        <f t="shared" si="3"/>
        <v>3.74</v>
      </c>
      <c r="AJ11" s="1614">
        <f t="shared" si="3"/>
        <v>3.74</v>
      </c>
    </row>
    <row r="12" spans="1:36" ht="25.5" thickBot="1">
      <c r="A12" s="3345" t="s">
        <v>2853</v>
      </c>
      <c r="B12" s="2754" t="s">
        <v>2854</v>
      </c>
      <c r="C12" s="919">
        <f>ROUND(C15*D15*E15*F15*G15*H15*I15*J15,4)</f>
        <v>1</v>
      </c>
      <c r="D12" s="2755" t="s">
        <v>2855</v>
      </c>
      <c r="E12" s="2756"/>
      <c r="F12" s="2756"/>
      <c r="G12" s="2757"/>
      <c r="H12" s="2757"/>
      <c r="I12" s="2757"/>
      <c r="J12" s="2758"/>
      <c r="K12" s="1370"/>
      <c r="L12" s="2759" t="s">
        <v>2856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40"/>
      <c r="X12" s="1615" t="s">
        <v>2857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47"/>
      <c r="B13" s="2760" t="s">
        <v>2858</v>
      </c>
      <c r="C13" s="2761" t="s">
        <v>2859</v>
      </c>
      <c r="D13" s="1807" t="s">
        <v>2860</v>
      </c>
      <c r="E13" s="1807" t="s">
        <v>2861</v>
      </c>
      <c r="F13" s="30" t="s">
        <v>2862</v>
      </c>
      <c r="G13" s="2762" t="s">
        <v>2863</v>
      </c>
      <c r="H13" s="2762" t="s">
        <v>2863</v>
      </c>
      <c r="I13" s="2762" t="s">
        <v>2863</v>
      </c>
      <c r="J13" s="2763" t="s">
        <v>2863</v>
      </c>
      <c r="K13" s="1370"/>
      <c r="L13" s="1370"/>
      <c r="M13" s="1370"/>
      <c r="N13" s="1370"/>
      <c r="O13" s="1370"/>
      <c r="P13" s="1370"/>
      <c r="Q13" s="1370"/>
      <c r="R13" s="1601">
        <v>12</v>
      </c>
      <c r="S13" s="1602"/>
      <c r="T13" s="1601" t="e">
        <f t="shared" si="0"/>
        <v>#DIV/0!</v>
      </c>
      <c r="U13" s="1602"/>
      <c r="V13" s="1601" t="e">
        <f t="shared" si="1"/>
        <v>#DIV/0!</v>
      </c>
      <c r="W13" s="3340"/>
      <c r="X13" s="1615"/>
      <c r="Y13" s="1612">
        <f>(-0.163*(Y12^2)-0.59*Y12+7617)*(10^(-4))/Y11</f>
        <v>0.20366310160427809</v>
      </c>
      <c r="Z13" s="1612">
        <f t="shared" ref="Z13:AJ13" si="5">(-0.163*(Z12^2)-0.59*Z12+7617)*(10^(-4))/Z11</f>
        <v>0.20366310160427809</v>
      </c>
      <c r="AA13" s="1612">
        <f t="shared" si="5"/>
        <v>0.20366310160427809</v>
      </c>
      <c r="AB13" s="1612">
        <f t="shared" si="5"/>
        <v>0.20366310160427809</v>
      </c>
      <c r="AC13" s="1612">
        <f t="shared" si="5"/>
        <v>0.20366310160427809</v>
      </c>
      <c r="AD13" s="1612">
        <f t="shared" si="5"/>
        <v>0.20366310160427809</v>
      </c>
      <c r="AE13" s="1612">
        <f t="shared" si="5"/>
        <v>0.20366310160427809</v>
      </c>
      <c r="AF13" s="1612">
        <f t="shared" si="5"/>
        <v>0.20366310160427809</v>
      </c>
      <c r="AG13" s="1612">
        <f t="shared" si="5"/>
        <v>0.20366310160427809</v>
      </c>
      <c r="AH13" s="1612">
        <f t="shared" si="5"/>
        <v>0.20366310160427809</v>
      </c>
      <c r="AI13" s="1612">
        <f t="shared" si="5"/>
        <v>0.20366310160427809</v>
      </c>
      <c r="AJ13" s="1612">
        <f t="shared" si="5"/>
        <v>0.20366310160427809</v>
      </c>
    </row>
    <row r="14" spans="1:36" ht="15">
      <c r="A14" s="3347"/>
      <c r="B14" s="2764"/>
      <c r="C14" s="2765"/>
      <c r="D14" s="2766"/>
      <c r="E14" s="2766"/>
      <c r="F14" s="2767"/>
      <c r="G14" s="2768" t="s">
        <v>2864</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48"/>
      <c r="B15" s="2772" t="s">
        <v>2865</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45" t="s">
        <v>2870</v>
      </c>
      <c r="B16" s="2741" t="s">
        <v>2871</v>
      </c>
      <c r="C16" s="2931" t="e">
        <f>ROUND(IF(F17="与级别开发程度一致",0,(G17-E17)/C17),0)</f>
        <v>#DIV/0!</v>
      </c>
      <c r="D16" s="3359" t="s">
        <v>2875</v>
      </c>
      <c r="E16" s="3360"/>
      <c r="F16" s="3359" t="s">
        <v>2872</v>
      </c>
      <c r="G16" s="3360"/>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49"/>
      <c r="B17" s="2942" t="s">
        <v>2874</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2877</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2878</v>
      </c>
      <c r="C19" s="924" t="e">
        <f>ROUND(IF(H19="按公示增长率计算",SUMPRODUCT((地价!A3:A26=YEAR(G19)&amp;"-"&amp;ROUNDUP(MONTH(G19)/3,0))*(地价!X2:AB2=E2)*(地价!X3:AB26)),IF(H19="地价指数",M20/M19,(1+I19)^O19)),4)</f>
        <v>#DIV/0!</v>
      </c>
      <c r="D19" s="2785" t="s">
        <v>2879</v>
      </c>
      <c r="E19" s="925">
        <v>41640</v>
      </c>
      <c r="F19" s="2785" t="s">
        <v>2880</v>
      </c>
      <c r="G19" s="926">
        <f>'数据-取费表'!B2</f>
        <v>43630</v>
      </c>
      <c r="H19" s="2786" t="s">
        <v>2881</v>
      </c>
      <c r="I19" s="927" t="str">
        <f>IF(H19="季度增幅（自定义）",SUMIF(N21:N24,E2,O21:O24),"")</f>
        <v/>
      </c>
      <c r="J19" s="2783"/>
      <c r="K19" s="1377"/>
      <c r="L19" s="2787" t="s">
        <v>2882</v>
      </c>
      <c r="M19" s="1733">
        <f>ROUND(SUMIF(地价!B2:F2,E2,地价!B26:F26),0)</f>
        <v>0</v>
      </c>
      <c r="N19" s="2788" t="s">
        <v>2883</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2884</v>
      </c>
      <c r="C20" s="929" t="e">
        <f>ROUND(POWER(1+G20,J20-I20)*(POWER(1+G20,I20)-1)/(POWER(1+G20,J20)-1),4)</f>
        <v>#DIV/0!</v>
      </c>
      <c r="D20" s="2794" t="s">
        <v>2885</v>
      </c>
      <c r="E20" s="1767">
        <f ca="1">存贷款利率!D4/100</f>
        <v>4.3499999999999997E-2</v>
      </c>
      <c r="F20" s="2794" t="s">
        <v>2876</v>
      </c>
      <c r="G20" s="934">
        <f>SUMIF(M26:P26,E2,M28:P28)</f>
        <v>0</v>
      </c>
      <c r="H20" s="2794" t="s">
        <v>2886</v>
      </c>
      <c r="I20" s="935" t="e">
        <f>SUMIF('数据-取费表'!C6:C15,E2,'数据-取费表'!F6:F15)/COUNTIF('数据-取费表'!C6:C15,E2)</f>
        <v>#DIV/0!</v>
      </c>
      <c r="J20" s="936">
        <f>IF(E2="住宅",70,IF(E2="商业",40,50))</f>
        <v>50</v>
      </c>
      <c r="K20" s="1377"/>
      <c r="L20" s="2795" t="s">
        <v>2887</v>
      </c>
      <c r="M20" s="1734">
        <f>ROUND(SUMPRODUCT((地价!A4:A26=YEAR(G19)&amp;"-"&amp;ROUNDUP(MONTH(G19)/3,0))*(地价!B2:F2=E2)*(地价!B4:F26)),0)</f>
        <v>0</v>
      </c>
      <c r="N20" s="2796" t="s">
        <v>2888</v>
      </c>
      <c r="O20" s="2797" t="s">
        <v>2889</v>
      </c>
      <c r="P20" s="2798" t="s">
        <v>2890</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2891</v>
      </c>
      <c r="C21" s="937">
        <f>IF(B21="容积率修正",IF(G3&lt;=10,D22,J22),C23)</f>
        <v>0</v>
      </c>
      <c r="D21" s="2801"/>
      <c r="E21" s="2801"/>
      <c r="F21" s="2801"/>
      <c r="G21" s="2801"/>
      <c r="H21" s="2801"/>
      <c r="I21" s="2801"/>
      <c r="J21" s="2802"/>
      <c r="K21" s="1377"/>
      <c r="N21" s="2803" t="s">
        <v>2892</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2893</v>
      </c>
      <c r="B22" s="2804" t="s">
        <v>2894</v>
      </c>
      <c r="C22" s="1809" t="s">
        <v>2895</v>
      </c>
      <c r="D22" s="1809">
        <f>IF(E22=G22,F22,IF(G3&lt;=10,ROUND(F22+(H22-F22)*(G3-E22)/(G22-E22),4),"——"))</f>
        <v>0</v>
      </c>
      <c r="E22" s="916">
        <f>ROUNDDOWN(G3,1)</f>
        <v>3.7</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3.8000000000000003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2896</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2897</v>
      </c>
      <c r="B23" s="2805" t="s">
        <v>2898</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2899</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2900</v>
      </c>
      <c r="C24" s="924">
        <f>SUMIF(A45:A88,E2,B45:B88)</f>
        <v>0</v>
      </c>
      <c r="D24" s="2782"/>
      <c r="E24" s="2811"/>
      <c r="F24" s="2811"/>
      <c r="G24" s="2811"/>
      <c r="H24" s="2811"/>
      <c r="I24" s="2811"/>
      <c r="J24" s="2812"/>
      <c r="K24" s="1377"/>
      <c r="N24" s="2813" t="s">
        <v>2901</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2902</v>
      </c>
      <c r="C25" s="930"/>
      <c r="D25" s="2744"/>
      <c r="E25" s="2744"/>
      <c r="F25" s="2815"/>
      <c r="G25" s="2744"/>
      <c r="H25" s="2744"/>
      <c r="I25" s="2744"/>
      <c r="J25" s="2745"/>
      <c r="K25" s="1370"/>
      <c r="N25" s="2816" t="s">
        <v>2903</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2904</v>
      </c>
      <c r="C26" s="206" t="e">
        <f>E29+SUM(E33:E39)</f>
        <v>#DIV/0!</v>
      </c>
      <c r="D26" s="2818"/>
      <c r="E26" s="2769"/>
      <c r="F26" s="2819"/>
      <c r="G26" s="2769"/>
      <c r="H26" s="2769"/>
      <c r="I26" s="2769"/>
      <c r="J26" s="2820"/>
      <c r="K26" s="1370"/>
      <c r="L26" s="2773" t="s">
        <v>2801</v>
      </c>
      <c r="M26" s="920" t="s">
        <v>2866</v>
      </c>
      <c r="N26" s="920" t="s">
        <v>2867</v>
      </c>
      <c r="O26" s="920" t="s">
        <v>2868</v>
      </c>
      <c r="P26" s="2774" t="s">
        <v>2869</v>
      </c>
      <c r="R26" s="1376"/>
      <c r="S26" s="1376"/>
      <c r="T26" s="1371"/>
      <c r="U26" s="1371"/>
      <c r="V26" s="1371"/>
      <c r="W26" s="1370"/>
      <c r="X26" s="1370"/>
      <c r="Y26" s="1370"/>
      <c r="Z26" s="1377"/>
      <c r="AA26" s="1378"/>
      <c r="AB26" s="1378"/>
      <c r="AC26" s="1378"/>
      <c r="AD26" s="1378"/>
    </row>
    <row r="27" spans="1:37" ht="15.75" thickBot="1">
      <c r="A27" s="2817"/>
      <c r="B27" s="2821" t="s">
        <v>2905</v>
      </c>
      <c r="C27" s="931" t="e">
        <f>E30+SUM(I33:I39)</f>
        <v>#DIV/0!</v>
      </c>
      <c r="D27" s="2822"/>
      <c r="E27" s="2823"/>
      <c r="F27" s="2824"/>
      <c r="G27" s="2823"/>
      <c r="H27" s="2823"/>
      <c r="I27" s="2823"/>
      <c r="J27" s="2825"/>
      <c r="K27" s="1370"/>
      <c r="L27" s="2777" t="s">
        <v>2873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2906</v>
      </c>
      <c r="C28" s="2828" t="s">
        <v>2907</v>
      </c>
      <c r="D28" s="2828" t="s">
        <v>2908</v>
      </c>
      <c r="E28" s="2829" t="s">
        <v>2909</v>
      </c>
      <c r="F28" s="2830"/>
      <c r="G28" s="2757"/>
      <c r="H28" s="2757"/>
      <c r="I28" s="2757"/>
      <c r="J28" s="2758"/>
      <c r="K28" s="1370"/>
      <c r="L28" s="2778" t="s">
        <v>2876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2910</v>
      </c>
      <c r="C29" s="206" t="e">
        <f>ROUND(C5*C18*C19*C20*C21*C24,0)</f>
        <v>#DIV/0!</v>
      </c>
      <c r="D29" s="2833"/>
      <c r="E29" s="942" t="e">
        <f>ROUND(C29*D29/10000,0)</f>
        <v>#DIV/0!</v>
      </c>
      <c r="F29" s="2834" t="s">
        <v>2911</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2912</v>
      </c>
      <c r="C30" s="229" t="e">
        <f>ROUND(IF(E2="工业",C29*M39,C29*M38),0)</f>
        <v>#DIV/0!</v>
      </c>
      <c r="D30" s="2839"/>
      <c r="E30" s="942" t="e">
        <f>ROUND(C30*D30/10000,0)</f>
        <v>#DIV/0!</v>
      </c>
      <c r="F30" s="2840" t="s">
        <v>2913</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2907</v>
      </c>
      <c r="D32" s="498" t="s">
        <v>2908</v>
      </c>
      <c r="E32" s="498" t="s">
        <v>2909</v>
      </c>
      <c r="F32" s="388" t="s">
        <v>2917</v>
      </c>
      <c r="G32" s="2848" t="s">
        <v>2907</v>
      </c>
      <c r="H32" s="2848" t="s">
        <v>2908</v>
      </c>
      <c r="I32" s="2848"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56" t="s">
        <v>2918</v>
      </c>
      <c r="B33" s="2849" t="s">
        <v>2919</v>
      </c>
      <c r="C33" s="206" t="e">
        <f>ROUND(D5*C19*C20*C24*F33,0)</f>
        <v>#DIV/0!</v>
      </c>
      <c r="D33" s="2833"/>
      <c r="E33" s="200" t="e">
        <f>ROUND(C33*D33/10000,0)</f>
        <v>#DIV/0!</v>
      </c>
      <c r="F33" s="200">
        <f>SUMIF(修正!A45:A56,G2,修正!B45:B56)</f>
        <v>0</v>
      </c>
      <c r="G33" s="200" t="e">
        <f t="shared" ref="G33" si="6">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7"/>
      <c r="B34" s="2761" t="s">
        <v>2920</v>
      </c>
      <c r="C34" s="206" t="e">
        <f>ROUND(D5*C19*C20*C24*F34,0)</f>
        <v>#DIV/0!</v>
      </c>
      <c r="D34" s="283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7"/>
      <c r="B35" s="2761" t="s">
        <v>2921</v>
      </c>
      <c r="C35" s="206" t="e">
        <f>ROUND(D5*C19*C20*C24*F35,0)</f>
        <v>#DIV/0!</v>
      </c>
      <c r="D35" s="2833"/>
      <c r="E35" s="200" t="e">
        <f t="shared" si="7"/>
        <v>#DIV/0!</v>
      </c>
      <c r="F35" s="200">
        <f>SUMIF(修正!A45:A56,G2,修正!D45:D56)</f>
        <v>0</v>
      </c>
      <c r="G35" s="200" t="e">
        <f>ROUND(IF(E2="工业",C35*$M$39,C35*$M$38),0)</f>
        <v>#DIV/0!</v>
      </c>
      <c r="H35" s="200">
        <f t="shared" si="8"/>
        <v>0</v>
      </c>
      <c r="I35" s="200" t="e">
        <f t="shared" si="9"/>
        <v>#DIV/0!</v>
      </c>
      <c r="J35" s="2850"/>
      <c r="K35" s="1370"/>
      <c r="L35" s="1370"/>
      <c r="M35" s="1370"/>
      <c r="N35" s="1370"/>
      <c r="O35" s="1370"/>
      <c r="P35" s="1370"/>
      <c r="Q35" s="1370"/>
      <c r="R35" s="1370"/>
      <c r="S35" s="1370"/>
      <c r="T35" s="1370"/>
      <c r="U35" s="1370"/>
      <c r="V35" s="1370"/>
      <c r="W35" s="1370"/>
      <c r="X35" s="1370"/>
      <c r="Y35" s="1370"/>
      <c r="Z35" s="1371"/>
    </row>
    <row r="36" spans="1:37" ht="13.5" thickBot="1">
      <c r="A36" s="3358"/>
      <c r="B36" s="2761" t="s">
        <v>2922</v>
      </c>
      <c r="C36" s="206" t="e">
        <f>ROUND(D5*C19*C20*C24*F36,0)</f>
        <v>#DIV/0!</v>
      </c>
      <c r="D36" s="2833"/>
      <c r="E36" s="200" t="e">
        <f t="shared" si="7"/>
        <v>#DIV/0!</v>
      </c>
      <c r="F36" s="200">
        <f>SUMIF(修正!A45:A56,G2,修正!E45:E56)</f>
        <v>0</v>
      </c>
      <c r="G36" s="200" t="e">
        <f>ROUND(IF(E2="工业",C36*$M$39,C36*$M$38),0)</f>
        <v>#DIV/0!</v>
      </c>
      <c r="H36" s="200">
        <f t="shared" si="8"/>
        <v>0</v>
      </c>
      <c r="I36" s="200" t="e">
        <f t="shared" si="9"/>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2923</v>
      </c>
      <c r="C37" s="200" t="e">
        <f>ROUND(D5*C19*C20*C24*F37,0)</f>
        <v>#DIV/0!</v>
      </c>
      <c r="D37" s="2833"/>
      <c r="E37" s="200" t="e">
        <f t="shared" si="7"/>
        <v>#DIV/0!</v>
      </c>
      <c r="F37" s="206">
        <f>SUMIF(修正!A45:A56,G2,修正!F45:F56)</f>
        <v>0</v>
      </c>
      <c r="G37" s="200" t="e">
        <f>ROUND(IF(E2="工业",C37*$M$39,C37*$M$38),0)</f>
        <v>#DIV/0!</v>
      </c>
      <c r="H37" s="200">
        <f t="shared" si="8"/>
        <v>0</v>
      </c>
      <c r="I37" s="200" t="e">
        <f t="shared" si="9"/>
        <v>#DIV/0!</v>
      </c>
      <c r="J37" s="2850"/>
      <c r="K37" s="1370"/>
      <c r="L37" s="2852" t="s">
        <v>2924</v>
      </c>
      <c r="M37" s="2853"/>
      <c r="N37" s="1370"/>
      <c r="O37" s="1370"/>
      <c r="P37" s="1370"/>
      <c r="Q37" s="1370"/>
      <c r="R37" s="1370"/>
      <c r="S37" s="1370"/>
      <c r="T37" s="1370"/>
      <c r="U37" s="1370"/>
      <c r="V37" s="1370"/>
      <c r="W37" s="1370"/>
      <c r="X37" s="1370"/>
      <c r="Y37" s="1370"/>
      <c r="Z37" s="1371"/>
    </row>
    <row r="38" spans="1:37">
      <c r="A38" s="2851"/>
      <c r="B38" s="2761" t="s">
        <v>2925</v>
      </c>
      <c r="C38" s="200" t="e">
        <f>ROUND(D5*C19*C41*C24*F38,0)</f>
        <v>#DIV/0!</v>
      </c>
      <c r="D38" s="2833"/>
      <c r="E38" s="200" t="e">
        <f t="shared" si="7"/>
        <v>#DIV/0!</v>
      </c>
      <c r="F38" s="206">
        <f>SUMIF(修正!A45:A56,G2,修正!G45:G56)</f>
        <v>0</v>
      </c>
      <c r="G38" s="200" t="e">
        <f>ROUND(IF(E2="工业",C38*$M$39,C38*$M$38),0)</f>
        <v>#DIV/0!</v>
      </c>
      <c r="H38" s="200">
        <f t="shared" si="8"/>
        <v>0</v>
      </c>
      <c r="I38" s="200" t="e">
        <f t="shared" si="9"/>
        <v>#DIV/0!</v>
      </c>
      <c r="J38" s="2850"/>
      <c r="K38" s="1370"/>
      <c r="L38" s="1886" t="s">
        <v>2926</v>
      </c>
      <c r="M38" s="2854">
        <v>0.25</v>
      </c>
      <c r="N38" s="1370"/>
      <c r="O38" s="1370"/>
      <c r="P38" s="1370"/>
      <c r="Q38" s="1370"/>
      <c r="R38" s="1370"/>
      <c r="S38" s="1370"/>
      <c r="T38" s="1370"/>
      <c r="U38" s="1370"/>
      <c r="V38" s="1370"/>
      <c r="W38" s="1370"/>
      <c r="X38" s="1370"/>
      <c r="Y38" s="1370"/>
      <c r="Z38" s="1371"/>
    </row>
    <row r="39" spans="1:37" ht="13.5" thickBot="1">
      <c r="A39" s="2837"/>
      <c r="B39" s="2855" t="s">
        <v>2927</v>
      </c>
      <c r="C39" s="229" t="e">
        <f>ROUND(D5*C19*C41*C24*F39,0)</f>
        <v>#DIV/0!</v>
      </c>
      <c r="D39" s="2839"/>
      <c r="E39" s="229" t="e">
        <f t="shared" si="7"/>
        <v>#DIV/0!</v>
      </c>
      <c r="F39" s="932">
        <f>SUMIF(修正!A45:A56,G2,修正!H45:H56)</f>
        <v>0</v>
      </c>
      <c r="G39" s="229" t="e">
        <f>ROUND(IF(E2="工业",C39*$M$39,C39*$M$38),0)</f>
        <v>#DIV/0!</v>
      </c>
      <c r="H39" s="229">
        <f t="shared" si="8"/>
        <v>0</v>
      </c>
      <c r="I39" s="229" t="e">
        <f t="shared" si="9"/>
        <v>#DIV/0!</v>
      </c>
      <c r="J39" s="2856"/>
      <c r="K39" s="1370"/>
      <c r="L39" s="2857" t="s">
        <v>2869</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3038</v>
      </c>
      <c r="C41" s="388" t="e">
        <f>ROUND(POWER(1+E41,H41-G41)*(POWER(1+E41,G41)-1)/(POWER(1+E41,H41)-1),4)</f>
        <v>#DIV/0!</v>
      </c>
      <c r="D41" s="200" t="s">
        <v>2876</v>
      </c>
      <c r="E41" s="2925">
        <f>G20</f>
        <v>0</v>
      </c>
      <c r="F41" s="200" t="s">
        <v>2886</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2928</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2929</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2930</v>
      </c>
      <c r="B47" s="1808" t="s">
        <v>2931</v>
      </c>
      <c r="C47" s="1808" t="s">
        <v>2932</v>
      </c>
      <c r="D47" s="1808" t="s">
        <v>2933</v>
      </c>
      <c r="E47" s="819" t="s">
        <v>2934</v>
      </c>
      <c r="F47" s="2867" t="s">
        <v>2935</v>
      </c>
      <c r="G47" s="1808" t="s">
        <v>754</v>
      </c>
      <c r="H47" s="2868" t="s">
        <v>2936</v>
      </c>
      <c r="I47" s="1808" t="s">
        <v>2937</v>
      </c>
      <c r="J47" s="603" t="s">
        <v>2585</v>
      </c>
      <c r="K47" s="603" t="s">
        <v>2586</v>
      </c>
      <c r="L47" s="603" t="s">
        <v>2587</v>
      </c>
      <c r="M47" s="603" t="s">
        <v>2588</v>
      </c>
      <c r="N47" s="603" t="s">
        <v>2589</v>
      </c>
      <c r="AA47" s="1371"/>
      <c r="AB47" s="1371"/>
      <c r="AC47" s="1371"/>
      <c r="AD47" s="1371"/>
      <c r="AE47" s="1371"/>
      <c r="AF47" s="1371"/>
      <c r="AG47" s="1371"/>
      <c r="AH47" s="1371"/>
      <c r="AI47" s="1371"/>
      <c r="AJ47" s="1371"/>
      <c r="AK47" s="1371"/>
    </row>
    <row r="48" spans="1:37" s="1370" customFormat="1" ht="38.25">
      <c r="A48" s="2866" t="s">
        <v>2938</v>
      </c>
      <c r="B48" s="2869" t="str">
        <f>估价对象房地状况!C4</f>
        <v>估价对象位于XX商圈，周边商业氛围成熟，人流量大，商业繁华度好</v>
      </c>
      <c r="C48" s="2766"/>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6" t="s">
        <v>2939</v>
      </c>
      <c r="B49" s="2870" t="str">
        <f>估价对象房地状况!C18</f>
        <v>估价对象周边道路状况、公共交通通达情况、停车便捷程度，综合评价交通便捷度较好</v>
      </c>
      <c r="C49" s="2766"/>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2940</v>
      </c>
      <c r="B50" s="2870">
        <f>估价对象房地状况!C19</f>
        <v>0</v>
      </c>
      <c r="C50" s="2766"/>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6" t="s">
        <v>2941</v>
      </c>
      <c r="B51" s="2871" t="s">
        <v>2942</v>
      </c>
      <c r="C51" s="2766"/>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2943</v>
      </c>
      <c r="B52" s="2870">
        <f>估价对象房地状况!C24</f>
        <v>0</v>
      </c>
      <c r="C52" s="2766"/>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6" t="s">
        <v>2944</v>
      </c>
      <c r="B53" s="2872" t="s">
        <v>2945</v>
      </c>
      <c r="C53" s="2766"/>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3" t="s">
        <v>2946</v>
      </c>
      <c r="B54" s="1724" t="str">
        <f>估价对象房地状况!C21</f>
        <v>估价对象所在区域公共配套设施齐备情况</v>
      </c>
      <c r="C54" s="2766"/>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3" t="s">
        <v>2947</v>
      </c>
      <c r="B55" s="2870" t="str">
        <f>估价对象房地状况!C22</f>
        <v>估价对象所在区域基础设施水平</v>
      </c>
      <c r="C55" s="2766"/>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4" t="s">
        <v>2948</v>
      </c>
      <c r="B56" s="2875" t="str">
        <f>估价对象房地状况!C20</f>
        <v>区域自然环境：；人文环境；综合评价环境状况一般</v>
      </c>
      <c r="C56" s="2766"/>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2" t="s">
        <v>2949</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2930</v>
      </c>
      <c r="B58" s="1808"/>
      <c r="C58" s="1808" t="s">
        <v>2932</v>
      </c>
      <c r="D58" s="1808" t="s">
        <v>2933</v>
      </c>
      <c r="E58" s="819" t="s">
        <v>2934</v>
      </c>
      <c r="F58" s="2867" t="s">
        <v>2950</v>
      </c>
      <c r="G58" s="1808" t="s">
        <v>754</v>
      </c>
      <c r="H58" s="2868" t="s">
        <v>2936</v>
      </c>
      <c r="I58" s="1808" t="s">
        <v>2937</v>
      </c>
      <c r="J58" s="603" t="s">
        <v>2585</v>
      </c>
      <c r="K58" s="603" t="s">
        <v>2586</v>
      </c>
      <c r="L58" s="603" t="s">
        <v>2587</v>
      </c>
      <c r="M58" s="603" t="s">
        <v>2588</v>
      </c>
      <c r="N58" s="603" t="s">
        <v>2589</v>
      </c>
      <c r="AA58" s="1371"/>
      <c r="AB58" s="1371"/>
      <c r="AC58" s="1371"/>
      <c r="AD58" s="1371"/>
      <c r="AE58" s="1371"/>
      <c r="AF58" s="1371"/>
      <c r="AG58" s="1371"/>
      <c r="AH58" s="1371"/>
      <c r="AI58" s="1371"/>
      <c r="AJ58" s="1371"/>
      <c r="AK58" s="1371"/>
    </row>
    <row r="59" spans="1:37" s="1370" customFormat="1" ht="38.25">
      <c r="A59" s="2866" t="s">
        <v>2951</v>
      </c>
      <c r="B59" s="2869" t="str">
        <f>估价对象房地状况!C17</f>
        <v>估价对象位于XX商圈，周边办公楼项目较多，入驻率高，办公集聚程度较好</v>
      </c>
      <c r="C59" s="2766"/>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6" t="s">
        <v>2939</v>
      </c>
      <c r="B60" s="2870" t="str">
        <f>估价对象房地状况!C18</f>
        <v>估价对象周边道路状况、公共交通通达情况、停车便捷程度，综合评价交通便捷度较好</v>
      </c>
      <c r="C60" s="2766"/>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2940</v>
      </c>
      <c r="B61" s="2870">
        <f>估价对象房地状况!C19</f>
        <v>0</v>
      </c>
      <c r="C61" s="2766"/>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6" t="s">
        <v>2941</v>
      </c>
      <c r="B62" s="2871" t="s">
        <v>2942</v>
      </c>
      <c r="C62" s="2766"/>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2943</v>
      </c>
      <c r="B63" s="2870">
        <f>估价对象房地状况!C24</f>
        <v>0</v>
      </c>
      <c r="C63" s="2766"/>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6" t="s">
        <v>2944</v>
      </c>
      <c r="B64" s="2872" t="s">
        <v>2945</v>
      </c>
      <c r="C64" s="2766"/>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6" t="s">
        <v>2946</v>
      </c>
      <c r="B65" s="1724" t="str">
        <f>估价对象房地状况!C21</f>
        <v>估价对象所在区域公共配套设施齐备情况</v>
      </c>
      <c r="C65" s="2766"/>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6" t="s">
        <v>2947</v>
      </c>
      <c r="B66" s="1724" t="str">
        <f>估价对象房地状况!C22</f>
        <v>估价对象所在区域基础设施水平</v>
      </c>
      <c r="C66" s="2766"/>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4" t="s">
        <v>2948</v>
      </c>
      <c r="B67" s="2876" t="str">
        <f>估价对象房地状况!C20</f>
        <v>区域自然环境：；人文环境；综合评价环境状况一般</v>
      </c>
      <c r="C67" s="2766"/>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2" t="s">
        <v>2952</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2930</v>
      </c>
      <c r="B69" s="1808"/>
      <c r="C69" s="1808" t="s">
        <v>2932</v>
      </c>
      <c r="D69" s="1808" t="s">
        <v>2933</v>
      </c>
      <c r="E69" s="819" t="s">
        <v>2934</v>
      </c>
      <c r="F69" s="2867" t="s">
        <v>2950</v>
      </c>
      <c r="G69" s="1808" t="s">
        <v>754</v>
      </c>
      <c r="H69" s="2868" t="s">
        <v>2936</v>
      </c>
      <c r="I69" s="1808" t="s">
        <v>2937</v>
      </c>
      <c r="J69" s="603" t="s">
        <v>2585</v>
      </c>
      <c r="K69" s="603" t="s">
        <v>2586</v>
      </c>
      <c r="L69" s="603" t="s">
        <v>2587</v>
      </c>
      <c r="M69" s="603" t="s">
        <v>2588</v>
      </c>
      <c r="N69" s="603" t="s">
        <v>2589</v>
      </c>
      <c r="AA69" s="1371"/>
      <c r="AB69" s="1371"/>
      <c r="AC69" s="1371"/>
      <c r="AD69" s="1371"/>
      <c r="AE69" s="1371"/>
      <c r="AF69" s="1371"/>
      <c r="AG69" s="1371"/>
      <c r="AH69" s="1371"/>
      <c r="AI69" s="1371"/>
      <c r="AJ69" s="1371"/>
      <c r="AK69" s="1371"/>
    </row>
    <row r="70" spans="1:37" s="1370" customFormat="1" ht="51">
      <c r="A70" s="2866" t="s">
        <v>2953</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6" t="s">
        <v>2939</v>
      </c>
      <c r="B71" s="2870" t="str">
        <f>估价对象房地状况!C18</f>
        <v>估价对象周边道路状况、公共交通通达情况、停车便捷程度，综合评价交通便捷度较好</v>
      </c>
      <c r="C71" s="2766"/>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2940</v>
      </c>
      <c r="B72" s="2870">
        <f>估价对象房地状况!C19</f>
        <v>0</v>
      </c>
      <c r="C72" s="2766"/>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6" t="s">
        <v>2954</v>
      </c>
      <c r="B73" s="2870">
        <f>估价对象房地状况!C24</f>
        <v>0</v>
      </c>
      <c r="C73" s="2766"/>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6" t="s">
        <v>2946</v>
      </c>
      <c r="B74" s="1724" t="str">
        <f>估价对象房地状况!C21</f>
        <v>估价对象所在区域公共配套设施齐备情况</v>
      </c>
      <c r="C74" s="2766"/>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6" t="s">
        <v>2947</v>
      </c>
      <c r="B75" s="1724" t="str">
        <f>估价对象房地状况!C22</f>
        <v>估价对象所在区域基础设施水平</v>
      </c>
      <c r="C75" s="2766"/>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66" t="s">
        <v>2944</v>
      </c>
      <c r="B76" s="2872" t="s">
        <v>2945</v>
      </c>
      <c r="C76" s="2766"/>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38.25">
      <c r="A77" s="2866" t="s">
        <v>2948</v>
      </c>
      <c r="B77" s="2869" t="str">
        <f>估价对象房地状况!C20</f>
        <v>区域自然环境：；人文环境；综合评价环境状况一般</v>
      </c>
      <c r="C77" s="2766"/>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thickBot="1">
      <c r="A78" s="2874" t="s">
        <v>2955</v>
      </c>
      <c r="B78" s="2878"/>
      <c r="C78" s="2766"/>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2956</v>
      </c>
      <c r="B79" s="2863">
        <f>1+E81</f>
        <v>1</v>
      </c>
      <c r="C79" s="814"/>
      <c r="D79" s="814"/>
      <c r="E79" s="815"/>
      <c r="F79" s="2865"/>
      <c r="G79" s="6"/>
      <c r="H79" s="6"/>
      <c r="I79" s="6"/>
      <c r="J79" s="7"/>
      <c r="K79" s="7"/>
      <c r="L79" s="7"/>
      <c r="M79" s="7"/>
      <c r="N79" s="7"/>
      <c r="Z79" s="2716"/>
      <c r="AA79" s="2784"/>
      <c r="AG79" s="1372"/>
      <c r="AK79" s="2784"/>
    </row>
    <row r="80" spans="1:37" ht="24.75">
      <c r="A80" s="2866" t="s">
        <v>2930</v>
      </c>
      <c r="B80" s="1808"/>
      <c r="C80" s="1808" t="s">
        <v>2932</v>
      </c>
      <c r="D80" s="1808" t="s">
        <v>2933</v>
      </c>
      <c r="E80" s="819" t="s">
        <v>2934</v>
      </c>
      <c r="F80" s="2867" t="s">
        <v>2950</v>
      </c>
      <c r="G80" s="1808" t="s">
        <v>754</v>
      </c>
      <c r="H80" s="2868" t="s">
        <v>2936</v>
      </c>
      <c r="I80" s="1808" t="s">
        <v>2937</v>
      </c>
      <c r="J80" s="603" t="s">
        <v>2585</v>
      </c>
      <c r="K80" s="603" t="s">
        <v>2586</v>
      </c>
      <c r="L80" s="603" t="s">
        <v>2587</v>
      </c>
      <c r="M80" s="603" t="s">
        <v>2588</v>
      </c>
      <c r="N80" s="603" t="s">
        <v>2589</v>
      </c>
      <c r="Z80" s="2716"/>
      <c r="AA80" s="2784"/>
      <c r="AG80" s="1372"/>
      <c r="AK80" s="2784"/>
    </row>
    <row r="81" spans="1:37" ht="38.25">
      <c r="A81" s="2866" t="s">
        <v>2957</v>
      </c>
      <c r="B81" s="2870" t="str">
        <f>估价对象房地状况!G15</f>
        <v>估价对象位于XX开发区，园区建设成熟度XX，产业集聚程度XX</v>
      </c>
      <c r="C81" s="2766"/>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6"/>
      <c r="AA81" s="2784"/>
      <c r="AG81" s="1372"/>
      <c r="AK81" s="2784"/>
    </row>
    <row r="82" spans="1:37" ht="51">
      <c r="A82" s="2866" t="s">
        <v>2939</v>
      </c>
      <c r="B82" s="2870" t="str">
        <f>估价对象房地状况!G16</f>
        <v>估价对象周边道路状况、公共交通通达情况、停车便捷程度，综合评价交通便捷度较好</v>
      </c>
      <c r="C82" s="2766"/>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6"/>
      <c r="AA82" s="2784"/>
      <c r="AG82" s="1372"/>
      <c r="AK82" s="2784"/>
    </row>
    <row r="83" spans="1:37" ht="24">
      <c r="A83" s="2866" t="s">
        <v>2940</v>
      </c>
      <c r="B83" s="2870">
        <f>估价对象房地状况!G17</f>
        <v>0</v>
      </c>
      <c r="C83" s="2766"/>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6"/>
      <c r="AA83" s="2784"/>
      <c r="AG83" s="1372"/>
      <c r="AK83" s="2784"/>
    </row>
    <row r="84" spans="1:37" ht="14.25">
      <c r="A84" s="2866" t="s">
        <v>2954</v>
      </c>
      <c r="B84" s="2870">
        <f>估价对象房地状况!G22</f>
        <v>0</v>
      </c>
      <c r="C84" s="2766"/>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6"/>
      <c r="AA84" s="2784"/>
      <c r="AG84" s="1372"/>
      <c r="AK84" s="2784"/>
    </row>
    <row r="85" spans="1:37" ht="25.5">
      <c r="A85" s="2866" t="s">
        <v>2946</v>
      </c>
      <c r="B85" s="1724" t="str">
        <f>估价对象房地状况!G19</f>
        <v>估价对象所在区域公共配套设施齐备情况</v>
      </c>
      <c r="C85" s="2766"/>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6"/>
      <c r="AA85" s="2784"/>
      <c r="AG85" s="1372"/>
      <c r="AK85" s="2784"/>
    </row>
    <row r="86" spans="1:37" ht="25.5">
      <c r="A86" s="2866" t="s">
        <v>2947</v>
      </c>
      <c r="B86" s="1724" t="str">
        <f>估价对象房地状况!G20</f>
        <v>估价对象所在区域基础设施水平</v>
      </c>
      <c r="C86" s="2766"/>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6"/>
      <c r="AA86" s="2784"/>
      <c r="AG86" s="1372"/>
      <c r="AK86" s="2784"/>
    </row>
    <row r="87" spans="1:37" ht="24">
      <c r="A87" s="2866" t="s">
        <v>2944</v>
      </c>
      <c r="B87" s="2872" t="s">
        <v>2958</v>
      </c>
      <c r="C87" s="2766"/>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6"/>
      <c r="AA87" s="2784"/>
      <c r="AG87" s="1372"/>
      <c r="AK87" s="2784"/>
    </row>
    <row r="88" spans="1:37" ht="39" thickBot="1">
      <c r="A88" s="2874" t="s">
        <v>2959</v>
      </c>
      <c r="B88" s="2879" t="str">
        <f>估价对象房地状况!G18</f>
        <v>该园区内是否有污染型企业，绿化情况，卫生条件，整体环境状况判断</v>
      </c>
      <c r="C88" s="2766"/>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6"/>
      <c r="AA88" s="2784"/>
      <c r="AG88" s="1372"/>
      <c r="AK88" s="2784"/>
    </row>
    <row r="90" spans="1:37">
      <c r="A90" s="3350" t="s">
        <v>2960</v>
      </c>
      <c r="B90" s="3350"/>
      <c r="C90" s="3350"/>
      <c r="D90" s="3350"/>
      <c r="E90" s="3350"/>
      <c r="F90" s="3350"/>
      <c r="G90" s="3350"/>
      <c r="H90" s="3350"/>
      <c r="I90" s="3350"/>
      <c r="J90" s="3350"/>
      <c r="K90" s="2880"/>
      <c r="L90" s="2880"/>
      <c r="M90" s="2880"/>
      <c r="N90" s="2880"/>
    </row>
    <row r="91" spans="1:37">
      <c r="A91" s="3352" t="s">
        <v>2961</v>
      </c>
      <c r="B91" s="3352" t="s">
        <v>2962</v>
      </c>
      <c r="C91" s="2834" t="s">
        <v>2963</v>
      </c>
      <c r="D91" s="2835"/>
      <c r="E91" s="2835"/>
      <c r="F91" s="2835"/>
      <c r="G91" s="2835"/>
      <c r="H91" s="2835"/>
      <c r="I91" s="2835"/>
      <c r="J91" s="2881"/>
      <c r="K91" s="2882"/>
      <c r="L91" s="2882"/>
      <c r="M91" s="2882"/>
      <c r="N91" s="2882"/>
    </row>
    <row r="92" spans="1:37">
      <c r="A92" s="3352"/>
      <c r="B92" s="3352"/>
      <c r="C92" s="942" t="s">
        <v>2828</v>
      </c>
      <c r="D92" s="942" t="s">
        <v>2829</v>
      </c>
      <c r="E92" s="942" t="s">
        <v>2830</v>
      </c>
      <c r="F92" s="942" t="s">
        <v>2831</v>
      </c>
      <c r="G92" s="942" t="s">
        <v>2832</v>
      </c>
      <c r="H92" s="942" t="s">
        <v>2833</v>
      </c>
      <c r="I92" s="942" t="s">
        <v>2834</v>
      </c>
      <c r="J92" s="942" t="s">
        <v>2835</v>
      </c>
      <c r="K92" s="942" t="s">
        <v>2836</v>
      </c>
      <c r="L92" s="942" t="s">
        <v>2837</v>
      </c>
      <c r="M92" s="942" t="s">
        <v>2838</v>
      </c>
      <c r="N92" s="942" t="s">
        <v>2839</v>
      </c>
    </row>
    <row r="93" spans="1:37">
      <c r="A93" s="3353"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5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5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5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5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5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54"/>
      <c r="B99" s="2883" t="s">
        <v>2844</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55"/>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53" t="s">
        <v>2965</v>
      </c>
      <c r="B101" s="2887" t="s">
        <v>2966</v>
      </c>
      <c r="C101" s="2888">
        <f>$G$3</f>
        <v>3.74</v>
      </c>
      <c r="D101" s="2888">
        <f t="shared" ref="D101:N101" si="31">$G$3</f>
        <v>3.74</v>
      </c>
      <c r="E101" s="2888">
        <f t="shared" si="31"/>
        <v>3.74</v>
      </c>
      <c r="F101" s="2888">
        <f t="shared" si="31"/>
        <v>3.74</v>
      </c>
      <c r="G101" s="2888">
        <f t="shared" si="31"/>
        <v>3.74</v>
      </c>
      <c r="H101" s="2888">
        <f t="shared" si="31"/>
        <v>3.74</v>
      </c>
      <c r="I101" s="2888">
        <f t="shared" si="31"/>
        <v>3.74</v>
      </c>
      <c r="J101" s="2888">
        <f t="shared" si="31"/>
        <v>3.74</v>
      </c>
      <c r="K101" s="2888">
        <f t="shared" si="31"/>
        <v>3.74</v>
      </c>
      <c r="L101" s="2888">
        <f t="shared" si="31"/>
        <v>3.74</v>
      </c>
      <c r="M101" s="2888">
        <f t="shared" si="31"/>
        <v>3.74</v>
      </c>
      <c r="N101" s="2888">
        <f t="shared" si="31"/>
        <v>3.74</v>
      </c>
    </row>
    <row r="102" spans="1:14">
      <c r="A102" s="3354"/>
      <c r="B102" s="2883">
        <v>1</v>
      </c>
      <c r="C102" s="2884">
        <f>1.9362/C101</f>
        <v>0.51770053475935829</v>
      </c>
      <c r="D102" s="2884">
        <f>1.9362/D101</f>
        <v>0.51770053475935829</v>
      </c>
      <c r="E102" s="2884">
        <f>1.8629/E101</f>
        <v>0.49810160427807482</v>
      </c>
      <c r="F102" s="2884">
        <f>1.8629/F101</f>
        <v>0.49810160427807482</v>
      </c>
      <c r="G102" s="2884">
        <f>1.8629/G101</f>
        <v>0.49810160427807482</v>
      </c>
      <c r="H102" s="2884">
        <f>1.8629/H101</f>
        <v>0.49810160427807482</v>
      </c>
      <c r="I102" s="2884">
        <f>1.8629/I101</f>
        <v>0.49810160427807482</v>
      </c>
      <c r="J102" s="2884">
        <f>1.942/J101</f>
        <v>0.51925133689839564</v>
      </c>
      <c r="K102" s="2884">
        <f>1.942/K101</f>
        <v>0.51925133689839564</v>
      </c>
      <c r="L102" s="2884">
        <f>1.942/L101</f>
        <v>0.51925133689839564</v>
      </c>
      <c r="M102" s="2884">
        <f>1.942/M101</f>
        <v>0.51925133689839564</v>
      </c>
      <c r="N102" s="2884">
        <f>1.942/N101</f>
        <v>0.51925133689839564</v>
      </c>
    </row>
    <row r="103" spans="1:14">
      <c r="A103" s="3354"/>
      <c r="B103" s="2883">
        <v>2</v>
      </c>
      <c r="C103" s="2884">
        <f>1.4198/C101</f>
        <v>0.37962566844919782</v>
      </c>
      <c r="D103" s="2884">
        <f>1.4198/D101</f>
        <v>0.37962566844919782</v>
      </c>
      <c r="E103" s="2884">
        <f>1.3372/E101</f>
        <v>0.35754010695187161</v>
      </c>
      <c r="F103" s="2884">
        <f>1.3372/F101</f>
        <v>0.35754010695187161</v>
      </c>
      <c r="G103" s="2884">
        <f>1.3372/G101</f>
        <v>0.35754010695187161</v>
      </c>
      <c r="H103" s="2884">
        <f>1.3372/H101</f>
        <v>0.35754010695187161</v>
      </c>
      <c r="I103" s="2884">
        <f>1.3372/I101</f>
        <v>0.35754010695187161</v>
      </c>
      <c r="J103" s="2884">
        <f>1.2799/J101</f>
        <v>0.3422192513368984</v>
      </c>
      <c r="K103" s="2884">
        <f>1.2799/K101</f>
        <v>0.3422192513368984</v>
      </c>
      <c r="L103" s="2884">
        <f>1.2799/L101</f>
        <v>0.3422192513368984</v>
      </c>
      <c r="M103" s="2884">
        <f>1.2799/M101</f>
        <v>0.3422192513368984</v>
      </c>
      <c r="N103" s="2884">
        <f>1.2799/N101</f>
        <v>0.3422192513368984</v>
      </c>
    </row>
    <row r="104" spans="1:14">
      <c r="A104" s="3354"/>
      <c r="B104" s="2883">
        <v>3</v>
      </c>
      <c r="C104" s="2884">
        <f>1.1594/C101</f>
        <v>0.31</v>
      </c>
      <c r="D104" s="2884">
        <f>1.1594/D101</f>
        <v>0.31</v>
      </c>
      <c r="E104" s="2884">
        <f>1.0788/E101</f>
        <v>0.28844919786096257</v>
      </c>
      <c r="F104" s="2884">
        <f>1.0788/F101</f>
        <v>0.28844919786096257</v>
      </c>
      <c r="G104" s="2884">
        <f>1.0788/G101</f>
        <v>0.28844919786096257</v>
      </c>
      <c r="H104" s="2884">
        <f>1.0788/H101</f>
        <v>0.28844919786096257</v>
      </c>
      <c r="I104" s="2884">
        <f>1.0788/I101</f>
        <v>0.28844919786096257</v>
      </c>
      <c r="J104" s="2884">
        <f>1.0072/J101</f>
        <v>0.26930481283422458</v>
      </c>
      <c r="K104" s="2884">
        <f>1.0072/K101</f>
        <v>0.26930481283422458</v>
      </c>
      <c r="L104" s="2884">
        <f>1.0072/L101</f>
        <v>0.26930481283422458</v>
      </c>
      <c r="M104" s="2884">
        <f>1.0072/M101</f>
        <v>0.26930481283422458</v>
      </c>
      <c r="N104" s="2884">
        <f>1.0072/N101</f>
        <v>0.26930481283422458</v>
      </c>
    </row>
    <row r="105" spans="1:14">
      <c r="A105" s="3354"/>
      <c r="B105" s="2883">
        <v>4</v>
      </c>
      <c r="C105" s="2884">
        <f>0.9622/C101</f>
        <v>0.25727272727272726</v>
      </c>
      <c r="D105" s="2884">
        <f>0.9622/D101</f>
        <v>0.25727272727272726</v>
      </c>
      <c r="E105" s="2884">
        <f>0.8656/E101</f>
        <v>0.23144385026737968</v>
      </c>
      <c r="F105" s="2884">
        <f>0.8656/F101</f>
        <v>0.23144385026737968</v>
      </c>
      <c r="G105" s="2884">
        <f>0.8656/G101</f>
        <v>0.23144385026737968</v>
      </c>
      <c r="H105" s="2884">
        <f>0.8656/H101</f>
        <v>0.23144385026737968</v>
      </c>
      <c r="I105" s="2884">
        <f>0.8656/I101</f>
        <v>0.23144385026737968</v>
      </c>
      <c r="J105" s="2884">
        <f>0.7525/J101</f>
        <v>0.2012032085561497</v>
      </c>
      <c r="K105" s="2884">
        <f>0.7525/K101</f>
        <v>0.2012032085561497</v>
      </c>
      <c r="L105" s="2884">
        <f>0.7525/L101</f>
        <v>0.2012032085561497</v>
      </c>
      <c r="M105" s="2884">
        <f>0.7525/M101</f>
        <v>0.2012032085561497</v>
      </c>
      <c r="N105" s="2884">
        <f>0.7525/N101</f>
        <v>0.2012032085561497</v>
      </c>
    </row>
    <row r="106" spans="1:14">
      <c r="A106" s="3354"/>
      <c r="B106" s="2883">
        <v>5</v>
      </c>
      <c r="C106" s="2884">
        <f>0.8417/C101</f>
        <v>0.22505347593582886</v>
      </c>
      <c r="D106" s="2884">
        <f>0.8417/D101</f>
        <v>0.22505347593582886</v>
      </c>
      <c r="E106" s="2884">
        <f>0.7371/E101</f>
        <v>0.19708556149732617</v>
      </c>
      <c r="F106" s="2884">
        <f>0.7371/F101</f>
        <v>0.19708556149732617</v>
      </c>
      <c r="G106" s="2884">
        <f>0.7371/G101</f>
        <v>0.19708556149732617</v>
      </c>
      <c r="H106" s="2884">
        <f>0.7371/H101</f>
        <v>0.19708556149732617</v>
      </c>
      <c r="I106" s="2884">
        <f>0.7371/I101</f>
        <v>0.19708556149732617</v>
      </c>
      <c r="J106" s="2884">
        <f>0.5659/J101</f>
        <v>0.15131016042780746</v>
      </c>
      <c r="K106" s="2884">
        <f>0.5659/K101</f>
        <v>0.15131016042780746</v>
      </c>
      <c r="L106" s="2884">
        <f>0.5659/L101</f>
        <v>0.15131016042780746</v>
      </c>
      <c r="M106" s="2884">
        <f>0.5659/M101</f>
        <v>0.15131016042780746</v>
      </c>
      <c r="N106" s="2884">
        <f>0.5659/N101</f>
        <v>0.15131016042780746</v>
      </c>
    </row>
    <row r="107" spans="1:14">
      <c r="A107" s="3354"/>
      <c r="B107" s="2883">
        <v>6</v>
      </c>
      <c r="C107" s="2884">
        <f>0.7608/C101</f>
        <v>0.20342245989304814</v>
      </c>
      <c r="D107" s="2884">
        <f>0.7608/D101</f>
        <v>0.20342245989304814</v>
      </c>
      <c r="E107" s="2884">
        <f>0.6482/E101</f>
        <v>0.17331550802139037</v>
      </c>
      <c r="F107" s="2884">
        <f>0.6482/F101</f>
        <v>0.17331550802139037</v>
      </c>
      <c r="G107" s="2884">
        <f>0.6482/G101</f>
        <v>0.17331550802139037</v>
      </c>
      <c r="H107" s="2884">
        <f>0.6482/H101</f>
        <v>0.17331550802139037</v>
      </c>
      <c r="I107" s="2884">
        <f>0.6482/I101</f>
        <v>0.17331550802139037</v>
      </c>
      <c r="J107" s="2884">
        <f>0.4525/J101</f>
        <v>0.12098930481283422</v>
      </c>
      <c r="K107" s="2884">
        <f>0.4525/K101</f>
        <v>0.12098930481283422</v>
      </c>
      <c r="L107" s="2884">
        <f>0.4525/L101</f>
        <v>0.12098930481283422</v>
      </c>
      <c r="M107" s="2884">
        <f>0.4525/M101</f>
        <v>0.12098930481283422</v>
      </c>
      <c r="N107" s="2884">
        <f>0.4525/N101</f>
        <v>0.12098930481283422</v>
      </c>
    </row>
    <row r="108" spans="1:14">
      <c r="A108" s="3354"/>
      <c r="B108" s="3201" t="s">
        <v>2967</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55"/>
      <c r="B109" s="3202"/>
      <c r="C109" s="2886">
        <f>(-0.163*(C108^2)-0.59*C108+7617)*(10^(-4))/C101</f>
        <v>0.20366310160427809</v>
      </c>
      <c r="D109" s="2886">
        <f>(-0.163*(D108^2)-0.59*D108+7617)*(10^(-4))/D101</f>
        <v>0.20366310160427809</v>
      </c>
      <c r="E109" s="2886">
        <f>(-0.161*(E108^2)-7.509*E108+6533)*(10^(-4))/E101</f>
        <v>0.17467914438502671</v>
      </c>
      <c r="F109" s="2886">
        <f>(-0.161*(F108^2)-7.509*F108+6533)*(10^(-4))/F101</f>
        <v>0.17467914438502671</v>
      </c>
      <c r="G109" s="2886">
        <f>(-0.161*(G108^2)-7.509*G108+6533)*(10^(-4))/G101</f>
        <v>0.17467914438502671</v>
      </c>
      <c r="H109" s="2886">
        <f>(-0.161*(H108^2)-7.509*H108+6533)*(10^(-4))/H101</f>
        <v>0.17467914438502671</v>
      </c>
      <c r="I109" s="2886">
        <f>(-0.161*(I108^2)-7.509*I108+6533)*(10^(-4))/I101</f>
        <v>0.17467914438502671</v>
      </c>
      <c r="J109" s="2886">
        <f>(-0.214*(J108^2)-21.991*J108+4665)*(10^(-4))/J101</f>
        <v>0.12473262032085561</v>
      </c>
      <c r="K109" s="2886">
        <f>(-0.214*(K108^2)-21.991*K108+4665)*(10^(-4))/K101</f>
        <v>0.12473262032085561</v>
      </c>
      <c r="L109" s="2886">
        <f>(-0.214*(L108^2)-21.991*L108+4665)*(10^(-4))/L101</f>
        <v>0.12473262032085561</v>
      </c>
      <c r="M109" s="2886">
        <f>(-0.214*(M108^2)-21.991*M108+4665)*(10^(-4))/M101</f>
        <v>0.12473262032085561</v>
      </c>
      <c r="N109" s="2886">
        <f>(-0.214*(N108^2)-21.991*N108+4665)*(10^(-4))/N101</f>
        <v>0.12473262032085561</v>
      </c>
    </row>
    <row r="110" spans="1:14">
      <c r="A110" s="3351" t="s">
        <v>2968</v>
      </c>
      <c r="B110" s="3351"/>
      <c r="C110" s="3351"/>
      <c r="D110" s="3351"/>
      <c r="E110" s="3351"/>
      <c r="F110" s="3351"/>
      <c r="G110" s="3351"/>
      <c r="H110" s="3351"/>
      <c r="I110" s="3351"/>
      <c r="J110" s="3351"/>
      <c r="K110" s="2889"/>
      <c r="L110" s="2889"/>
      <c r="M110" s="2889"/>
      <c r="N110" s="2889"/>
    </row>
    <row r="112" spans="1:14" ht="13.5" thickBot="1"/>
    <row r="113" spans="1:13" ht="15.75" thickBot="1">
      <c r="A113" s="903" t="s">
        <v>2969</v>
      </c>
      <c r="B113" s="1287">
        <f>G3</f>
        <v>3.74</v>
      </c>
      <c r="C113" s="904" t="s">
        <v>2970</v>
      </c>
      <c r="D113" s="905">
        <f>SUMPRODUCT((A115:A118=F113)*(B114:M114=H113)*B115:M118)</f>
        <v>0</v>
      </c>
      <c r="E113" s="2720" t="s">
        <v>2801</v>
      </c>
      <c r="F113" s="2891">
        <f>E2</f>
        <v>0</v>
      </c>
      <c r="G113" s="2720" t="s">
        <v>2802</v>
      </c>
      <c r="H113" s="2891">
        <f>G2</f>
        <v>0</v>
      </c>
      <c r="I113" s="2720"/>
      <c r="J113" s="2892"/>
      <c r="K113" s="2892"/>
      <c r="L113" s="2892"/>
      <c r="M113" s="2892"/>
    </row>
    <row r="114" spans="1:13">
      <c r="A114" s="908"/>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9" t="s">
        <v>2866</v>
      </c>
      <c r="B115" s="910">
        <f>ROUND(0.9335-0.0094*B113,4)</f>
        <v>0.89829999999999999</v>
      </c>
      <c r="C115" s="910">
        <f>B115</f>
        <v>0.89829999999999999</v>
      </c>
      <c r="D115" s="910">
        <f>ROUND(0.8331-0.0109*B113,4)</f>
        <v>0.7923</v>
      </c>
      <c r="E115" s="910">
        <f>D115</f>
        <v>0.7923</v>
      </c>
      <c r="F115" s="910">
        <f>E115</f>
        <v>0.7923</v>
      </c>
      <c r="G115" s="910">
        <f>F115</f>
        <v>0.7923</v>
      </c>
      <c r="H115" s="910">
        <f>G115</f>
        <v>0.7923</v>
      </c>
      <c r="I115" s="910">
        <f>ROUND(0.689-0.0155*B113,4)</f>
        <v>0.63100000000000001</v>
      </c>
      <c r="J115" s="910">
        <f t="shared" ref="J115:M118" si="33">I115</f>
        <v>0.63100000000000001</v>
      </c>
      <c r="K115" s="910">
        <f t="shared" si="33"/>
        <v>0.63100000000000001</v>
      </c>
      <c r="L115" s="910">
        <f t="shared" si="33"/>
        <v>0.63100000000000001</v>
      </c>
      <c r="M115" s="911">
        <f t="shared" si="33"/>
        <v>0.63100000000000001</v>
      </c>
    </row>
    <row r="116" spans="1:13">
      <c r="A116" s="909" t="s">
        <v>2867</v>
      </c>
      <c r="B116" s="910">
        <f>ROUND(0.949-0.012*B113,4)</f>
        <v>0.90410000000000001</v>
      </c>
      <c r="C116" s="910">
        <f>B116</f>
        <v>0.90410000000000001</v>
      </c>
      <c r="D116" s="910">
        <f>ROUND(0.8567-0.013*B113,4)</f>
        <v>0.80810000000000004</v>
      </c>
      <c r="E116" s="910">
        <f t="shared" ref="E116:H117" si="34">D116</f>
        <v>0.80810000000000004</v>
      </c>
      <c r="F116" s="910">
        <f t="shared" si="34"/>
        <v>0.80810000000000004</v>
      </c>
      <c r="G116" s="910">
        <f t="shared" si="34"/>
        <v>0.80810000000000004</v>
      </c>
      <c r="H116" s="910">
        <f t="shared" si="34"/>
        <v>0.80810000000000004</v>
      </c>
      <c r="I116" s="910">
        <f>ROUND(0.7694-0.014*B113,4)</f>
        <v>0.71699999999999997</v>
      </c>
      <c r="J116" s="910">
        <f t="shared" si="33"/>
        <v>0.71699999999999997</v>
      </c>
      <c r="K116" s="910">
        <f t="shared" si="33"/>
        <v>0.71699999999999997</v>
      </c>
      <c r="L116" s="910">
        <f t="shared" si="33"/>
        <v>0.71699999999999997</v>
      </c>
      <c r="M116" s="911">
        <f t="shared" si="33"/>
        <v>0.71699999999999997</v>
      </c>
    </row>
    <row r="117" spans="1:13">
      <c r="A117" s="909" t="s">
        <v>2868</v>
      </c>
      <c r="B117" s="910">
        <f>ROUND(0.8808-0.006*B113,4)</f>
        <v>0.85840000000000005</v>
      </c>
      <c r="C117" s="910">
        <f>B117</f>
        <v>0.85840000000000005</v>
      </c>
      <c r="D117" s="910">
        <f>ROUND(0.8748-0.008*B113,4)</f>
        <v>0.84489999999999998</v>
      </c>
      <c r="E117" s="910">
        <f t="shared" si="34"/>
        <v>0.84489999999999998</v>
      </c>
      <c r="F117" s="910">
        <f t="shared" si="34"/>
        <v>0.84489999999999998</v>
      </c>
      <c r="G117" s="910">
        <f t="shared" si="34"/>
        <v>0.84489999999999998</v>
      </c>
      <c r="H117" s="910">
        <f t="shared" si="34"/>
        <v>0.84489999999999998</v>
      </c>
      <c r="I117" s="910">
        <f>ROUND(0.7412-0.0095*B113,4)</f>
        <v>0.70569999999999999</v>
      </c>
      <c r="J117" s="910">
        <f t="shared" si="33"/>
        <v>0.70569999999999999</v>
      </c>
      <c r="K117" s="910">
        <f t="shared" si="33"/>
        <v>0.70569999999999999</v>
      </c>
      <c r="L117" s="910">
        <f t="shared" si="33"/>
        <v>0.70569999999999999</v>
      </c>
      <c r="M117" s="911">
        <f t="shared" si="33"/>
        <v>0.70569999999999999</v>
      </c>
    </row>
    <row r="118" spans="1:13" ht="13.5" thickBot="1">
      <c r="A118" s="714" t="s">
        <v>2869</v>
      </c>
      <c r="B118" s="912">
        <f>ROUND(0.7275-0.01*B113,4)</f>
        <v>0.69010000000000005</v>
      </c>
      <c r="C118" s="912">
        <f>B118</f>
        <v>0.69010000000000005</v>
      </c>
      <c r="D118" s="912">
        <f>ROUND(0.7043-0.012*B113,4)</f>
        <v>0.65939999999999999</v>
      </c>
      <c r="E118" s="912">
        <f>D118</f>
        <v>0.65939999999999999</v>
      </c>
      <c r="F118" s="912">
        <f>E118</f>
        <v>0.65939999999999999</v>
      </c>
      <c r="G118" s="912">
        <f>ROUND(0.6299-0.0122*B113,4)</f>
        <v>0.58430000000000004</v>
      </c>
      <c r="H118" s="912">
        <f>G118</f>
        <v>0.58430000000000004</v>
      </c>
      <c r="I118" s="912">
        <f>ROUND(0.5667-0.0136*B113,4)</f>
        <v>0.51580000000000004</v>
      </c>
      <c r="J118" s="912">
        <f t="shared" si="33"/>
        <v>0.51580000000000004</v>
      </c>
      <c r="K118" s="912">
        <f t="shared" si="33"/>
        <v>0.51580000000000004</v>
      </c>
      <c r="L118" s="912">
        <f t="shared" si="33"/>
        <v>0.51580000000000004</v>
      </c>
      <c r="M118" s="913">
        <f t="shared" si="33"/>
        <v>0.51580000000000004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61" t="s">
        <v>183</v>
      </c>
      <c r="B18" s="882" t="s">
        <v>560</v>
      </c>
      <c r="C18" s="883" t="s">
        <v>561</v>
      </c>
      <c r="D18" s="884"/>
      <c r="E18" s="882">
        <v>1</v>
      </c>
      <c r="F18" s="885" t="s">
        <v>562</v>
      </c>
      <c r="G18" s="886"/>
      <c r="H18" s="878"/>
      <c r="I18" s="878"/>
    </row>
    <row r="19" spans="1:9" s="887" customFormat="1" ht="19.5" customHeight="1">
      <c r="A19" s="3361"/>
      <c r="B19" s="3361" t="s">
        <v>563</v>
      </c>
      <c r="C19" s="883" t="s">
        <v>564</v>
      </c>
      <c r="D19" s="884"/>
      <c r="E19" s="882">
        <v>0.9</v>
      </c>
      <c r="F19" s="885" t="s">
        <v>565</v>
      </c>
      <c r="G19" s="886"/>
      <c r="H19" s="878"/>
      <c r="I19" s="878"/>
    </row>
    <row r="20" spans="1:9" s="887" customFormat="1" ht="19.5" customHeight="1">
      <c r="A20" s="3361"/>
      <c r="B20" s="3361"/>
      <c r="C20" s="883" t="s">
        <v>566</v>
      </c>
      <c r="D20" s="884"/>
      <c r="E20" s="882">
        <v>1.1000000000000001</v>
      </c>
      <c r="F20" s="885" t="s">
        <v>567</v>
      </c>
      <c r="G20" s="886"/>
      <c r="H20" s="878"/>
      <c r="I20" s="878"/>
    </row>
    <row r="21" spans="1:9" s="887" customFormat="1" ht="19.5" customHeight="1">
      <c r="A21" s="3361"/>
      <c r="B21" s="3361"/>
      <c r="C21" s="883" t="s">
        <v>568</v>
      </c>
      <c r="D21" s="884"/>
      <c r="E21" s="882">
        <v>0.8</v>
      </c>
      <c r="F21" s="885" t="s">
        <v>569</v>
      </c>
      <c r="G21" s="886"/>
      <c r="H21" s="878"/>
      <c r="I21" s="878"/>
    </row>
    <row r="22" spans="1:9" s="887" customFormat="1" ht="19.5" customHeight="1">
      <c r="A22" s="3361"/>
      <c r="B22" s="3361"/>
      <c r="C22" s="883" t="s">
        <v>570</v>
      </c>
      <c r="D22" s="884"/>
      <c r="E22" s="882">
        <v>0.5</v>
      </c>
      <c r="F22" s="885"/>
      <c r="G22" s="886"/>
      <c r="H22" s="878"/>
      <c r="I22" s="878"/>
    </row>
    <row r="23" spans="1:9" s="887" customFormat="1" ht="19.5" customHeight="1">
      <c r="A23" s="3361" t="s">
        <v>184</v>
      </c>
      <c r="B23" s="882" t="s">
        <v>560</v>
      </c>
      <c r="C23" s="883" t="s">
        <v>571</v>
      </c>
      <c r="D23" s="884"/>
      <c r="E23" s="882">
        <v>1</v>
      </c>
      <c r="F23" s="885" t="s">
        <v>572</v>
      </c>
      <c r="G23" s="886"/>
      <c r="H23" s="878"/>
      <c r="I23" s="878"/>
    </row>
    <row r="24" spans="1:9" s="887" customFormat="1" ht="19.5" customHeight="1">
      <c r="A24" s="3361"/>
      <c r="B24" s="3361" t="s">
        <v>563</v>
      </c>
      <c r="C24" s="883" t="s">
        <v>573</v>
      </c>
      <c r="D24" s="884"/>
      <c r="E24" s="882">
        <v>0.5</v>
      </c>
      <c r="F24" s="885"/>
      <c r="G24" s="886"/>
      <c r="H24" s="878"/>
      <c r="I24" s="878"/>
    </row>
    <row r="25" spans="1:9" s="887" customFormat="1" ht="19.5" customHeight="1">
      <c r="A25" s="3361"/>
      <c r="B25" s="3361"/>
      <c r="C25" s="883" t="s">
        <v>574</v>
      </c>
      <c r="D25" s="884"/>
      <c r="E25" s="882">
        <v>1.1000000000000001</v>
      </c>
      <c r="F25" s="885"/>
      <c r="G25" s="886"/>
      <c r="H25" s="878"/>
      <c r="I25" s="878"/>
    </row>
    <row r="26" spans="1:9" s="887" customFormat="1" ht="19.5" customHeight="1">
      <c r="A26" s="3361"/>
      <c r="B26" s="3361"/>
      <c r="C26" s="883" t="s">
        <v>575</v>
      </c>
      <c r="D26" s="884"/>
      <c r="E26" s="882">
        <v>1.1000000000000001</v>
      </c>
      <c r="F26" s="885"/>
      <c r="G26" s="886"/>
      <c r="H26" s="878"/>
      <c r="I26" s="878"/>
    </row>
    <row r="27" spans="1:9" s="887" customFormat="1" ht="19.5" customHeight="1">
      <c r="A27" s="3361"/>
      <c r="B27" s="3361"/>
      <c r="C27" s="883" t="s">
        <v>576</v>
      </c>
      <c r="D27" s="884"/>
      <c r="E27" s="882">
        <v>0.9</v>
      </c>
      <c r="F27" s="885" t="s">
        <v>577</v>
      </c>
      <c r="G27" s="886"/>
      <c r="H27" s="878"/>
      <c r="I27" s="878"/>
    </row>
    <row r="28" spans="1:9" s="887" customFormat="1" ht="19.5" customHeight="1">
      <c r="A28" s="3361"/>
      <c r="B28" s="3361"/>
      <c r="C28" s="883" t="s">
        <v>578</v>
      </c>
      <c r="D28" s="884"/>
      <c r="E28" s="882">
        <v>0.9</v>
      </c>
      <c r="F28" s="885" t="s">
        <v>579</v>
      </c>
      <c r="G28" s="886"/>
      <c r="H28" s="878"/>
      <c r="I28" s="878"/>
    </row>
    <row r="29" spans="1:9" s="887" customFormat="1" ht="19.5" customHeight="1">
      <c r="A29" s="3361"/>
      <c r="B29" s="3361"/>
      <c r="C29" s="883" t="s">
        <v>580</v>
      </c>
      <c r="D29" s="884"/>
      <c r="E29" s="882">
        <v>0.9</v>
      </c>
      <c r="F29" s="885" t="s">
        <v>581</v>
      </c>
      <c r="G29" s="886"/>
      <c r="H29" s="878"/>
      <c r="I29" s="878"/>
    </row>
    <row r="30" spans="1:9" s="887" customFormat="1" ht="19.5" customHeight="1">
      <c r="A30" s="3361"/>
      <c r="B30" s="3361"/>
      <c r="C30" s="883" t="s">
        <v>582</v>
      </c>
      <c r="D30" s="884"/>
      <c r="E30" s="882">
        <v>0.9</v>
      </c>
      <c r="F30" s="885" t="s">
        <v>583</v>
      </c>
      <c r="G30" s="886"/>
      <c r="H30" s="878"/>
      <c r="I30" s="878"/>
    </row>
    <row r="31" spans="1:9" s="887" customFormat="1" ht="19.5" customHeight="1">
      <c r="A31" s="3361"/>
      <c r="B31" s="3361"/>
      <c r="C31" s="883" t="s">
        <v>584</v>
      </c>
      <c r="D31" s="884"/>
      <c r="E31" s="882">
        <v>0.8</v>
      </c>
      <c r="F31" s="885" t="s">
        <v>585</v>
      </c>
      <c r="G31" s="886"/>
      <c r="H31" s="878"/>
      <c r="I31" s="878"/>
    </row>
    <row r="32" spans="1:9" s="887" customFormat="1" ht="19.5" customHeight="1">
      <c r="A32" s="3361"/>
      <c r="B32" s="3361"/>
      <c r="C32" s="883" t="s">
        <v>586</v>
      </c>
      <c r="D32" s="884"/>
      <c r="E32" s="882">
        <v>0.8</v>
      </c>
      <c r="F32" s="885" t="s">
        <v>587</v>
      </c>
      <c r="G32" s="886"/>
      <c r="H32" s="878"/>
      <c r="I32" s="878"/>
    </row>
    <row r="33" spans="1:9" s="887" customFormat="1" ht="19.5" customHeight="1">
      <c r="A33" s="3361" t="s">
        <v>185</v>
      </c>
      <c r="B33" s="882" t="s">
        <v>560</v>
      </c>
      <c r="C33" s="883" t="s">
        <v>588</v>
      </c>
      <c r="D33" s="884"/>
      <c r="E33" s="882">
        <v>1</v>
      </c>
      <c r="F33" s="885" t="s">
        <v>589</v>
      </c>
      <c r="G33" s="886"/>
      <c r="H33" s="878"/>
      <c r="I33" s="878"/>
    </row>
    <row r="34" spans="1:9" s="887" customFormat="1" ht="19.5" customHeight="1">
      <c r="A34" s="3361"/>
      <c r="B34" s="882" t="s">
        <v>563</v>
      </c>
      <c r="C34" s="883" t="s">
        <v>590</v>
      </c>
      <c r="D34" s="884"/>
      <c r="E34" s="882">
        <v>1.5</v>
      </c>
      <c r="F34" s="885" t="s">
        <v>591</v>
      </c>
      <c r="G34" s="886"/>
      <c r="H34" s="878"/>
      <c r="I34" s="878"/>
    </row>
    <row r="35" spans="1:9" s="887" customFormat="1" ht="19.5" customHeight="1">
      <c r="A35" s="3361" t="s">
        <v>186</v>
      </c>
      <c r="B35" s="882" t="s">
        <v>560</v>
      </c>
      <c r="C35" s="883" t="s">
        <v>592</v>
      </c>
      <c r="D35" s="884"/>
      <c r="E35" s="882">
        <v>1</v>
      </c>
      <c r="F35" s="885" t="s">
        <v>593</v>
      </c>
      <c r="G35" s="886"/>
      <c r="H35" s="878"/>
      <c r="I35" s="878"/>
    </row>
    <row r="36" spans="1:9" s="887" customFormat="1" ht="19.5" customHeight="1">
      <c r="A36" s="3361"/>
      <c r="B36" s="3361" t="s">
        <v>563</v>
      </c>
      <c r="C36" s="883" t="s">
        <v>594</v>
      </c>
      <c r="D36" s="884"/>
      <c r="E36" s="882">
        <v>1</v>
      </c>
      <c r="F36" s="885" t="s">
        <v>595</v>
      </c>
      <c r="G36" s="886"/>
      <c r="H36" s="878"/>
      <c r="I36" s="878"/>
    </row>
    <row r="37" spans="1:9" s="887" customFormat="1" ht="19.5" customHeight="1">
      <c r="A37" s="3361"/>
      <c r="B37" s="3361"/>
      <c r="C37" s="883" t="s">
        <v>596</v>
      </c>
      <c r="D37" s="884"/>
      <c r="E37" s="882">
        <v>1.5</v>
      </c>
      <c r="F37" s="885" t="s">
        <v>597</v>
      </c>
      <c r="G37" s="886"/>
      <c r="H37" s="878"/>
      <c r="I37" s="878"/>
    </row>
    <row r="38" spans="1:9" s="887" customFormat="1" ht="19.5" customHeight="1">
      <c r="A38" s="3361"/>
      <c r="B38" s="3361"/>
      <c r="C38" s="883" t="s">
        <v>598</v>
      </c>
      <c r="D38" s="884"/>
      <c r="E38" s="882">
        <v>1</v>
      </c>
      <c r="F38" s="885" t="s">
        <v>599</v>
      </c>
      <c r="G38" s="886"/>
      <c r="H38" s="878"/>
      <c r="I38" s="878"/>
    </row>
    <row r="39" spans="1:9" s="887" customFormat="1" ht="19.5" customHeight="1">
      <c r="A39" s="3361"/>
      <c r="B39" s="33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61" t="s">
        <v>614</v>
      </c>
      <c r="C61" s="818" t="s">
        <v>615</v>
      </c>
      <c r="D61" s="818" t="s">
        <v>616</v>
      </c>
      <c r="E61" s="895">
        <v>0.5</v>
      </c>
      <c r="F61" s="882">
        <v>80</v>
      </c>
    </row>
    <row r="62" spans="1:8" s="878" customFormat="1" ht="24">
      <c r="A62" s="882">
        <v>2</v>
      </c>
      <c r="B62" s="3361"/>
      <c r="C62" s="818" t="s">
        <v>617</v>
      </c>
      <c r="D62" s="818" t="s">
        <v>618</v>
      </c>
      <c r="E62" s="895">
        <v>0.5</v>
      </c>
      <c r="F62" s="882">
        <v>80</v>
      </c>
    </row>
    <row r="63" spans="1:8" s="878" customFormat="1" ht="36">
      <c r="A63" s="882">
        <v>3</v>
      </c>
      <c r="B63" s="3361"/>
      <c r="C63" s="818" t="s">
        <v>619</v>
      </c>
      <c r="D63" s="818" t="s">
        <v>620</v>
      </c>
      <c r="E63" s="895">
        <v>0.5</v>
      </c>
      <c r="F63" s="882">
        <v>80</v>
      </c>
    </row>
    <row r="64" spans="1:8" s="878" customFormat="1" ht="36">
      <c r="A64" s="882">
        <v>4</v>
      </c>
      <c r="B64" s="3361"/>
      <c r="C64" s="818" t="s">
        <v>621</v>
      </c>
      <c r="D64" s="818" t="s">
        <v>622</v>
      </c>
      <c r="E64" s="895">
        <v>0.4</v>
      </c>
      <c r="F64" s="882">
        <v>60</v>
      </c>
    </row>
    <row r="65" spans="1:6" s="878" customFormat="1" ht="36">
      <c r="A65" s="882">
        <v>5</v>
      </c>
      <c r="B65" s="3361"/>
      <c r="C65" s="818" t="s">
        <v>623</v>
      </c>
      <c r="D65" s="818" t="s">
        <v>624</v>
      </c>
      <c r="E65" s="895">
        <v>0.2</v>
      </c>
      <c r="F65" s="882">
        <v>30</v>
      </c>
    </row>
    <row r="66" spans="1:6" s="878" customFormat="1" ht="36">
      <c r="A66" s="882">
        <v>6</v>
      </c>
      <c r="B66" s="3361"/>
      <c r="C66" s="818" t="s">
        <v>625</v>
      </c>
      <c r="D66" s="818" t="s">
        <v>626</v>
      </c>
      <c r="E66" s="895">
        <v>0.3</v>
      </c>
      <c r="F66" s="882">
        <v>50</v>
      </c>
    </row>
    <row r="67" spans="1:6" s="878" customFormat="1" ht="36">
      <c r="A67" s="882">
        <v>7</v>
      </c>
      <c r="B67" s="3361"/>
      <c r="C67" s="818" t="s">
        <v>627</v>
      </c>
      <c r="D67" s="818" t="s">
        <v>628</v>
      </c>
      <c r="E67" s="895">
        <v>0.2</v>
      </c>
      <c r="F67" s="882">
        <v>30</v>
      </c>
    </row>
    <row r="68" spans="1:6" s="878" customFormat="1" ht="36">
      <c r="A68" s="882">
        <v>8</v>
      </c>
      <c r="B68" s="3361"/>
      <c r="C68" s="818" t="s">
        <v>629</v>
      </c>
      <c r="D68" s="818" t="s">
        <v>630</v>
      </c>
      <c r="E68" s="895">
        <v>0.2</v>
      </c>
      <c r="F68" s="882">
        <v>30</v>
      </c>
    </row>
    <row r="69" spans="1:6" s="878" customFormat="1" ht="36">
      <c r="A69" s="882">
        <v>9</v>
      </c>
      <c r="B69" s="3361"/>
      <c r="C69" s="818" t="s">
        <v>631</v>
      </c>
      <c r="D69" s="818" t="s">
        <v>632</v>
      </c>
      <c r="E69" s="895">
        <v>0.2</v>
      </c>
      <c r="F69" s="882">
        <v>30</v>
      </c>
    </row>
    <row r="70" spans="1:6" s="878" customFormat="1" ht="48">
      <c r="A70" s="882">
        <v>10</v>
      </c>
      <c r="B70" s="3361"/>
      <c r="C70" s="818" t="s">
        <v>633</v>
      </c>
      <c r="D70" s="818" t="s">
        <v>634</v>
      </c>
      <c r="E70" s="895">
        <v>0.2</v>
      </c>
      <c r="F70" s="882">
        <v>30</v>
      </c>
    </row>
    <row r="71" spans="1:6" s="878" customFormat="1" ht="48">
      <c r="A71" s="882">
        <v>11</v>
      </c>
      <c r="B71" s="3361"/>
      <c r="C71" s="818" t="s">
        <v>635</v>
      </c>
      <c r="D71" s="818" t="s">
        <v>636</v>
      </c>
      <c r="E71" s="895">
        <v>0.2</v>
      </c>
      <c r="F71" s="882">
        <v>30</v>
      </c>
    </row>
    <row r="72" spans="1:6" s="878" customFormat="1" ht="36">
      <c r="A72" s="882">
        <v>12</v>
      </c>
      <c r="B72" s="3361"/>
      <c r="C72" s="818" t="s">
        <v>637</v>
      </c>
      <c r="D72" s="818" t="s">
        <v>638</v>
      </c>
      <c r="E72" s="895">
        <v>0.5</v>
      </c>
      <c r="F72" s="882">
        <v>80</v>
      </c>
    </row>
    <row r="73" spans="1:6" s="878" customFormat="1" ht="24">
      <c r="A73" s="882">
        <v>13</v>
      </c>
      <c r="B73" s="3361"/>
      <c r="C73" s="818" t="s">
        <v>639</v>
      </c>
      <c r="D73" s="818" t="s">
        <v>640</v>
      </c>
      <c r="E73" s="895">
        <v>0.4</v>
      </c>
      <c r="F73" s="882">
        <v>60</v>
      </c>
    </row>
    <row r="74" spans="1:6" s="878" customFormat="1" ht="24">
      <c r="A74" s="882">
        <v>14</v>
      </c>
      <c r="B74" s="3361"/>
      <c r="C74" s="818" t="s">
        <v>641</v>
      </c>
      <c r="D74" s="818" t="s">
        <v>642</v>
      </c>
      <c r="E74" s="895">
        <v>0.2</v>
      </c>
      <c r="F74" s="882">
        <v>30</v>
      </c>
    </row>
    <row r="75" spans="1:6" s="878" customFormat="1" ht="24">
      <c r="A75" s="882">
        <v>15</v>
      </c>
      <c r="B75" s="3361"/>
      <c r="C75" s="818" t="s">
        <v>643</v>
      </c>
      <c r="D75" s="818" t="s">
        <v>644</v>
      </c>
      <c r="E75" s="895">
        <v>0.2</v>
      </c>
      <c r="F75" s="882">
        <v>30</v>
      </c>
    </row>
    <row r="76" spans="1:6" s="878" customFormat="1" ht="24">
      <c r="A76" s="882">
        <v>16</v>
      </c>
      <c r="B76" s="3361" t="s">
        <v>645</v>
      </c>
      <c r="C76" s="818" t="s">
        <v>646</v>
      </c>
      <c r="D76" s="818" t="s">
        <v>647</v>
      </c>
      <c r="E76" s="895">
        <v>0.5</v>
      </c>
      <c r="F76" s="882">
        <v>80</v>
      </c>
    </row>
    <row r="77" spans="1:6" s="878" customFormat="1" ht="24">
      <c r="A77" s="882">
        <v>17</v>
      </c>
      <c r="B77" s="3361"/>
      <c r="C77" s="818" t="s">
        <v>648</v>
      </c>
      <c r="D77" s="818" t="s">
        <v>649</v>
      </c>
      <c r="E77" s="895">
        <v>0.5</v>
      </c>
      <c r="F77" s="882">
        <v>80</v>
      </c>
    </row>
    <row r="78" spans="1:6" s="878" customFormat="1" ht="24">
      <c r="A78" s="882">
        <v>18</v>
      </c>
      <c r="B78" s="3361"/>
      <c r="C78" s="818" t="s">
        <v>650</v>
      </c>
      <c r="D78" s="818" t="s">
        <v>651</v>
      </c>
      <c r="E78" s="895">
        <v>0.2</v>
      </c>
      <c r="F78" s="882">
        <v>30</v>
      </c>
    </row>
    <row r="79" spans="1:6" s="878" customFormat="1" ht="24">
      <c r="A79" s="882">
        <v>19</v>
      </c>
      <c r="B79" s="3361"/>
      <c r="C79" s="818" t="s">
        <v>652</v>
      </c>
      <c r="D79" s="818" t="s">
        <v>653</v>
      </c>
      <c r="E79" s="895">
        <v>0.5</v>
      </c>
      <c r="F79" s="882">
        <v>80</v>
      </c>
    </row>
    <row r="80" spans="1:6" s="878" customFormat="1" ht="36">
      <c r="A80" s="882">
        <v>20</v>
      </c>
      <c r="B80" s="3361"/>
      <c r="C80" s="818" t="s">
        <v>654</v>
      </c>
      <c r="D80" s="818" t="s">
        <v>655</v>
      </c>
      <c r="E80" s="895">
        <v>0.2</v>
      </c>
      <c r="F80" s="882">
        <v>30</v>
      </c>
    </row>
    <row r="81" spans="1:6" s="878" customFormat="1" ht="36">
      <c r="A81" s="882">
        <v>21</v>
      </c>
      <c r="B81" s="3361"/>
      <c r="C81" s="818" t="s">
        <v>656</v>
      </c>
      <c r="D81" s="818" t="s">
        <v>657</v>
      </c>
      <c r="E81" s="895">
        <v>0.2</v>
      </c>
      <c r="F81" s="882">
        <v>30</v>
      </c>
    </row>
    <row r="82" spans="1:6" s="878" customFormat="1" ht="48">
      <c r="A82" s="882">
        <v>22</v>
      </c>
      <c r="B82" s="3361"/>
      <c r="C82" s="818" t="s">
        <v>658</v>
      </c>
      <c r="D82" s="818" t="s">
        <v>659</v>
      </c>
      <c r="E82" s="895">
        <v>0.2</v>
      </c>
      <c r="F82" s="882">
        <v>30</v>
      </c>
    </row>
    <row r="83" spans="1:6" s="878" customFormat="1" ht="48">
      <c r="A83" s="882">
        <v>23</v>
      </c>
      <c r="B83" s="3361"/>
      <c r="C83" s="818" t="s">
        <v>660</v>
      </c>
      <c r="D83" s="818" t="s">
        <v>661</v>
      </c>
      <c r="E83" s="895">
        <v>0.2</v>
      </c>
      <c r="F83" s="882">
        <v>30</v>
      </c>
    </row>
    <row r="84" spans="1:6" s="878" customFormat="1" ht="36">
      <c r="A84" s="882">
        <v>24</v>
      </c>
      <c r="B84" s="3361"/>
      <c r="C84" s="818" t="s">
        <v>662</v>
      </c>
      <c r="D84" s="818" t="s">
        <v>663</v>
      </c>
      <c r="E84" s="895">
        <v>0.2</v>
      </c>
      <c r="F84" s="882">
        <v>30</v>
      </c>
    </row>
    <row r="85" spans="1:6" s="878" customFormat="1" ht="36">
      <c r="A85" s="882">
        <v>25</v>
      </c>
      <c r="B85" s="3361"/>
      <c r="C85" s="818" t="s">
        <v>664</v>
      </c>
      <c r="D85" s="818" t="s">
        <v>665</v>
      </c>
      <c r="E85" s="895">
        <v>0.5</v>
      </c>
      <c r="F85" s="882">
        <v>80</v>
      </c>
    </row>
    <row r="86" spans="1:6" s="878" customFormat="1" ht="36">
      <c r="A86" s="882">
        <v>26</v>
      </c>
      <c r="B86" s="3361"/>
      <c r="C86" s="818" t="s">
        <v>666</v>
      </c>
      <c r="D86" s="818" t="s">
        <v>667</v>
      </c>
      <c r="E86" s="895">
        <v>0.2</v>
      </c>
      <c r="F86" s="882">
        <v>30</v>
      </c>
    </row>
    <row r="87" spans="1:6" s="878" customFormat="1" ht="36">
      <c r="A87" s="882">
        <v>27</v>
      </c>
      <c r="B87" s="3361"/>
      <c r="C87" s="818" t="s">
        <v>668</v>
      </c>
      <c r="D87" s="818" t="s">
        <v>669</v>
      </c>
      <c r="E87" s="895">
        <v>0.2</v>
      </c>
      <c r="F87" s="882">
        <v>30</v>
      </c>
    </row>
    <row r="88" spans="1:6" s="878" customFormat="1" ht="36">
      <c r="A88" s="882">
        <v>28</v>
      </c>
      <c r="B88" s="3361"/>
      <c r="C88" s="818" t="s">
        <v>670</v>
      </c>
      <c r="D88" s="818" t="s">
        <v>671</v>
      </c>
      <c r="E88" s="895">
        <v>0.2</v>
      </c>
      <c r="F88" s="882">
        <v>30</v>
      </c>
    </row>
    <row r="89" spans="1:6" s="878" customFormat="1" ht="24">
      <c r="A89" s="882">
        <v>29</v>
      </c>
      <c r="B89" s="3361"/>
      <c r="C89" s="818" t="s">
        <v>672</v>
      </c>
      <c r="D89" s="818" t="s">
        <v>673</v>
      </c>
      <c r="E89" s="895">
        <v>0.2</v>
      </c>
      <c r="F89" s="882">
        <v>30</v>
      </c>
    </row>
    <row r="90" spans="1:6" s="878" customFormat="1" ht="24">
      <c r="A90" s="882">
        <v>30</v>
      </c>
      <c r="B90" s="3361"/>
      <c r="C90" s="818" t="s">
        <v>674</v>
      </c>
      <c r="D90" s="818" t="s">
        <v>675</v>
      </c>
      <c r="E90" s="895">
        <v>0.2</v>
      </c>
      <c r="F90" s="882">
        <v>30</v>
      </c>
    </row>
    <row r="91" spans="1:6" s="878" customFormat="1" ht="36">
      <c r="A91" s="882">
        <v>31</v>
      </c>
      <c r="B91" s="3361"/>
      <c r="C91" s="818" t="s">
        <v>676</v>
      </c>
      <c r="D91" s="818" t="s">
        <v>677</v>
      </c>
      <c r="E91" s="895">
        <v>0.2</v>
      </c>
      <c r="F91" s="882">
        <v>30</v>
      </c>
    </row>
    <row r="92" spans="1:6" s="878" customFormat="1" ht="24">
      <c r="A92" s="882">
        <v>32</v>
      </c>
      <c r="B92" s="3361" t="s">
        <v>678</v>
      </c>
      <c r="C92" s="882" t="s">
        <v>679</v>
      </c>
      <c r="D92" s="818" t="s">
        <v>680</v>
      </c>
      <c r="E92" s="895">
        <v>0.2</v>
      </c>
      <c r="F92" s="882">
        <v>30</v>
      </c>
    </row>
    <row r="93" spans="1:6" s="878" customFormat="1" ht="36">
      <c r="A93" s="882">
        <v>33</v>
      </c>
      <c r="B93" s="3361"/>
      <c r="C93" s="882" t="s">
        <v>681</v>
      </c>
      <c r="D93" s="818" t="s">
        <v>682</v>
      </c>
      <c r="E93" s="895">
        <v>0.2</v>
      </c>
      <c r="F93" s="882">
        <v>30</v>
      </c>
    </row>
    <row r="94" spans="1:6" s="878" customFormat="1" ht="48">
      <c r="A94" s="882">
        <v>34</v>
      </c>
      <c r="B94" s="3361"/>
      <c r="C94" s="882" t="s">
        <v>683</v>
      </c>
      <c r="D94" s="818" t="s">
        <v>684</v>
      </c>
      <c r="E94" s="895">
        <v>0.2</v>
      </c>
      <c r="F94" s="882">
        <v>30</v>
      </c>
    </row>
    <row r="95" spans="1:6" s="878" customFormat="1" ht="36">
      <c r="A95" s="882">
        <v>35</v>
      </c>
      <c r="B95" s="3361"/>
      <c r="C95" s="882" t="s">
        <v>685</v>
      </c>
      <c r="D95" s="818" t="s">
        <v>686</v>
      </c>
      <c r="E95" s="895">
        <v>0.2</v>
      </c>
      <c r="F95" s="882">
        <v>30</v>
      </c>
    </row>
    <row r="96" spans="1:6" s="878" customFormat="1" ht="48">
      <c r="A96" s="882">
        <v>36</v>
      </c>
      <c r="B96" s="3361"/>
      <c r="C96" s="818" t="s">
        <v>687</v>
      </c>
      <c r="D96" s="818" t="s">
        <v>688</v>
      </c>
      <c r="E96" s="895">
        <v>0.2</v>
      </c>
      <c r="F96" s="882">
        <v>30</v>
      </c>
    </row>
    <row r="97" spans="1:6" s="878" customFormat="1" ht="36">
      <c r="A97" s="882">
        <v>37</v>
      </c>
      <c r="B97" s="3361"/>
      <c r="C97" s="882" t="s">
        <v>689</v>
      </c>
      <c r="D97" s="818" t="s">
        <v>690</v>
      </c>
      <c r="E97" s="895">
        <v>0.2</v>
      </c>
      <c r="F97" s="882">
        <v>30</v>
      </c>
    </row>
    <row r="98" spans="1:6" s="878" customFormat="1" ht="36">
      <c r="A98" s="882">
        <v>38</v>
      </c>
      <c r="B98" s="3361"/>
      <c r="C98" s="882" t="s">
        <v>691</v>
      </c>
      <c r="D98" s="818" t="s">
        <v>692</v>
      </c>
      <c r="E98" s="895">
        <v>0.2</v>
      </c>
      <c r="F98" s="882">
        <v>30</v>
      </c>
    </row>
    <row r="99" spans="1:6" s="878" customFormat="1" ht="36">
      <c r="A99" s="882">
        <v>39</v>
      </c>
      <c r="B99" s="3361" t="s">
        <v>693</v>
      </c>
      <c r="C99" s="882" t="s">
        <v>694</v>
      </c>
      <c r="D99" s="818" t="s">
        <v>695</v>
      </c>
      <c r="E99" s="895">
        <v>0.3</v>
      </c>
      <c r="F99" s="882">
        <v>50</v>
      </c>
    </row>
    <row r="100" spans="1:6" s="878" customFormat="1" ht="24">
      <c r="A100" s="882">
        <v>40</v>
      </c>
      <c r="B100" s="3361"/>
      <c r="C100" s="882" t="s">
        <v>696</v>
      </c>
      <c r="D100" s="818" t="s">
        <v>697</v>
      </c>
      <c r="E100" s="895">
        <v>0.2</v>
      </c>
      <c r="F100" s="882">
        <v>30</v>
      </c>
    </row>
    <row r="101" spans="1:6" s="878" customFormat="1" ht="36">
      <c r="A101" s="882">
        <v>41</v>
      </c>
      <c r="B101" s="33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61" t="s">
        <v>708</v>
      </c>
      <c r="C105" s="882" t="s">
        <v>709</v>
      </c>
      <c r="D105" s="818" t="s">
        <v>710</v>
      </c>
      <c r="E105" s="895">
        <v>0.2</v>
      </c>
      <c r="F105" s="882">
        <v>30</v>
      </c>
    </row>
    <row r="106" spans="1:6" s="878" customFormat="1" ht="36">
      <c r="A106" s="882">
        <v>46</v>
      </c>
      <c r="B106" s="3361"/>
      <c r="C106" s="882" t="s">
        <v>711</v>
      </c>
      <c r="D106" s="818" t="s">
        <v>712</v>
      </c>
      <c r="E106" s="895">
        <v>0.2</v>
      </c>
      <c r="F106" s="882">
        <v>30</v>
      </c>
    </row>
    <row r="107" spans="1:6" s="878" customFormat="1" ht="36">
      <c r="A107" s="882">
        <v>47</v>
      </c>
      <c r="B107" s="3361" t="s">
        <v>713</v>
      </c>
      <c r="C107" s="882" t="s">
        <v>714</v>
      </c>
      <c r="D107" s="818" t="s">
        <v>715</v>
      </c>
      <c r="E107" s="895">
        <v>0.3</v>
      </c>
      <c r="F107" s="882">
        <v>50</v>
      </c>
    </row>
    <row r="108" spans="1:6" s="878" customFormat="1" ht="36">
      <c r="A108" s="882">
        <v>48</v>
      </c>
      <c r="B108" s="33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61" t="s">
        <v>724</v>
      </c>
      <c r="C111" s="882" t="s">
        <v>725</v>
      </c>
      <c r="D111" s="818" t="s">
        <v>726</v>
      </c>
      <c r="E111" s="895">
        <v>0.2</v>
      </c>
      <c r="F111" s="882">
        <v>30</v>
      </c>
    </row>
    <row r="112" spans="1:6" s="878" customFormat="1" ht="24">
      <c r="A112" s="882">
        <v>52</v>
      </c>
      <c r="B112" s="3361"/>
      <c r="C112" s="882" t="s">
        <v>727</v>
      </c>
      <c r="D112" s="818" t="s">
        <v>728</v>
      </c>
      <c r="E112" s="895">
        <v>0.2</v>
      </c>
      <c r="F112" s="882">
        <v>30</v>
      </c>
    </row>
    <row r="113" spans="1:6" s="878" customFormat="1" ht="24">
      <c r="A113" s="882">
        <v>53</v>
      </c>
      <c r="B113" s="33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61" t="s">
        <v>737</v>
      </c>
      <c r="C116" s="882" t="s">
        <v>738</v>
      </c>
      <c r="D116" s="818" t="s">
        <v>739</v>
      </c>
      <c r="E116" s="895">
        <v>0.2</v>
      </c>
      <c r="F116" s="882">
        <v>30</v>
      </c>
    </row>
    <row r="117" spans="1:6" ht="36">
      <c r="A117" s="882">
        <v>57</v>
      </c>
      <c r="B117" s="33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2991</v>
      </c>
    </row>
    <row r="2" spans="1:5" ht="15.75">
      <c r="A2" s="2898" t="s">
        <v>2983</v>
      </c>
      <c r="B2" s="2899" t="e">
        <f ca="1">SUMIF(B6:B13,"&lt;&gt;#ref!",B6:B13)</f>
        <v>#DIV/0!</v>
      </c>
      <c r="C2" s="2898" t="s">
        <v>2984</v>
      </c>
      <c r="D2" s="2898" t="s">
        <v>2985</v>
      </c>
      <c r="E2" s="2899">
        <f ca="1">SUMIF(E6:E13,"&lt;&gt;#ref!",E6:E13)</f>
        <v>0</v>
      </c>
    </row>
    <row r="3" spans="1:5" ht="15.75">
      <c r="A3" s="2898" t="s">
        <v>2986</v>
      </c>
      <c r="B3" s="2899" t="e">
        <f ca="1">ROUND(B2*10000/E2,0)</f>
        <v>#DIV/0!</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t="e">
        <f ca="1">SUMIF(INDIRECT("'"&amp;A6&amp;"'"&amp;"!A:A"),"总价",INDIRECT("'"&amp;A6&amp;"'"&amp;"!B:B"))</f>
        <v>#DIV/0!</v>
      </c>
      <c r="C6" s="2898" t="s">
        <v>2984</v>
      </c>
      <c r="D6" s="2900"/>
      <c r="E6" s="2573">
        <f ca="1">SUMIF(INDIRECT("'"&amp;A6&amp;"'"&amp;"!C:C"),"建筑面积",INDIRECT("'"&amp;A6&amp;"'"&amp;"!D:D"))</f>
        <v>0</v>
      </c>
    </row>
    <row r="7" spans="1:5" ht="15.75">
      <c r="A7" s="2903"/>
      <c r="B7" s="2899" t="e">
        <f ca="1">SUMIF(INDIRECT("'"&amp;A7&amp;"'"&amp;"!A:A"),"总价",INDIRECT("'"&amp;A7&amp;"'"&amp;"!B:B"))</f>
        <v>#REF!</v>
      </c>
      <c r="C7" s="2898" t="s">
        <v>2984</v>
      </c>
      <c r="D7" s="2900"/>
      <c r="E7" s="2573"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3" t="e">
        <f t="shared" ca="1" si="0"/>
        <v>#REF!</v>
      </c>
    </row>
    <row r="9" spans="1:5" ht="15.75">
      <c r="A9" s="2903"/>
      <c r="B9" s="2899" t="e">
        <f t="shared" ca="1" si="1"/>
        <v>#REF!</v>
      </c>
      <c r="C9" s="2898" t="s">
        <v>2984</v>
      </c>
      <c r="D9" s="2900"/>
      <c r="E9" s="2573" t="e">
        <f t="shared" ca="1" si="0"/>
        <v>#REF!</v>
      </c>
    </row>
    <row r="10" spans="1:5" ht="15.75">
      <c r="A10" s="2903"/>
      <c r="B10" s="2899" t="e">
        <f t="shared" ca="1" si="1"/>
        <v>#REF!</v>
      </c>
      <c r="C10" s="2898" t="s">
        <v>2984</v>
      </c>
      <c r="D10" s="2900"/>
      <c r="E10" s="2573" t="e">
        <f t="shared" ca="1" si="0"/>
        <v>#REF!</v>
      </c>
    </row>
    <row r="11" spans="1:5" ht="15.75">
      <c r="A11" s="2903"/>
      <c r="B11" s="2899" t="e">
        <f t="shared" ca="1" si="1"/>
        <v>#REF!</v>
      </c>
      <c r="C11" s="2898" t="s">
        <v>2984</v>
      </c>
      <c r="D11" s="2900"/>
      <c r="E11" s="2573" t="e">
        <f t="shared" ca="1" si="0"/>
        <v>#REF!</v>
      </c>
    </row>
    <row r="12" spans="1:5" ht="15.75">
      <c r="A12" s="2903"/>
      <c r="B12" s="2899" t="e">
        <f t="shared" ca="1" si="1"/>
        <v>#REF!</v>
      </c>
      <c r="C12" s="2898" t="s">
        <v>2984</v>
      </c>
      <c r="D12" s="2900"/>
      <c r="E12" s="2573" t="e">
        <f t="shared" ca="1" si="0"/>
        <v>#REF!</v>
      </c>
    </row>
    <row r="13" spans="1:5" ht="15.75">
      <c r="A13" s="2903"/>
      <c r="B13" s="2899" t="e">
        <f t="shared" ca="1" si="1"/>
        <v>#REF!</v>
      </c>
      <c r="C13" s="2898" t="s">
        <v>2984</v>
      </c>
      <c r="D13" s="2900"/>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9"/>
  <sheetViews>
    <sheetView zoomScale="80" zoomScaleNormal="80" zoomScalePageLayoutView="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7" t="s">
        <v>1146</v>
      </c>
      <c r="C1" s="3367"/>
      <c r="D1" s="3367"/>
      <c r="E1" s="3367"/>
      <c r="F1" s="3367"/>
      <c r="G1" s="3366" t="s">
        <v>1147</v>
      </c>
      <c r="H1" s="3366"/>
      <c r="I1" s="3366"/>
      <c r="J1" s="3366"/>
      <c r="K1" s="3366"/>
      <c r="L1" s="3366"/>
      <c r="N1" s="3366" t="s">
        <v>1148</v>
      </c>
      <c r="O1" s="3366"/>
      <c r="P1" s="3366"/>
      <c r="Q1" s="3366"/>
      <c r="R1" s="1446"/>
      <c r="S1" s="3366" t="s">
        <v>1149</v>
      </c>
      <c r="T1" s="3366"/>
      <c r="U1" s="3366"/>
      <c r="V1" s="3366"/>
      <c r="X1" s="3365" t="s">
        <v>1150</v>
      </c>
      <c r="Y1" s="3366"/>
      <c r="Z1" s="3366"/>
      <c r="AA1" s="3366"/>
      <c r="AB1" s="3366"/>
      <c r="AD1" s="3365" t="s">
        <v>1151</v>
      </c>
      <c r="AE1" s="3366"/>
      <c r="AF1" s="3366"/>
      <c r="AG1" s="3366"/>
      <c r="AH1" s="3366"/>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3026</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28">
        <v>2019</v>
      </c>
      <c r="H5" s="1729">
        <v>2</v>
      </c>
      <c r="I5" s="2910">
        <v>0</v>
      </c>
      <c r="J5" s="2910">
        <v>0</v>
      </c>
      <c r="K5" s="2910">
        <v>0</v>
      </c>
      <c r="L5" s="2910">
        <v>0</v>
      </c>
      <c r="N5" s="1467">
        <f>I5/100</f>
        <v>0</v>
      </c>
      <c r="O5" s="1467">
        <f t="shared" ref="O5" si="7">J5/100</f>
        <v>0</v>
      </c>
      <c r="P5" s="1467">
        <f t="shared" ref="P5" si="8">K5/100</f>
        <v>0</v>
      </c>
      <c r="Q5" s="1467">
        <f t="shared" ref="Q5" si="9">L5/100</f>
        <v>0</v>
      </c>
      <c r="R5" s="1731"/>
      <c r="S5" s="1732"/>
      <c r="T5" s="1731"/>
      <c r="U5" s="1731"/>
      <c r="V5" s="1731"/>
      <c r="W5" s="2913" t="s">
        <v>3027</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3041</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3039</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63">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3033</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63"/>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3032</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63"/>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3025</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7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3022</v>
      </c>
      <c r="B11" s="1469">
        <v>439</v>
      </c>
      <c r="C11" s="1469">
        <v>327</v>
      </c>
      <c r="D11" s="1469">
        <f>C11</f>
        <v>327</v>
      </c>
      <c r="E11" s="1469">
        <v>627</v>
      </c>
      <c r="F11" s="1470">
        <v>283</v>
      </c>
      <c r="G11" s="336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3023</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63"/>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63"/>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7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6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63"/>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63"/>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64"/>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62">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63"/>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63"/>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64"/>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62">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63"/>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63"/>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64"/>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6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7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7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7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62">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63"/>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63"/>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64"/>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62">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63">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63">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64">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62">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63">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63">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64">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62">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63">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63">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64">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62">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63">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63">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64">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62">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63">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63">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64">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62">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63">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63">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64">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62">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63">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63">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64">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62">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63">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63">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64">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62">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63">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63">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64">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62">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63">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63">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64">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4" type="noConversion"/>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2993</v>
      </c>
      <c r="C1" s="3374" t="s">
        <v>2994</v>
      </c>
      <c r="D1" s="3375"/>
      <c r="E1" s="3375"/>
      <c r="F1" s="3375"/>
      <c r="G1" s="3375"/>
      <c r="H1" s="3375"/>
      <c r="I1" s="3375"/>
      <c r="J1" s="3375"/>
      <c r="K1" s="3375"/>
      <c r="L1" s="3375"/>
      <c r="M1" s="3375"/>
      <c r="N1" s="3375"/>
      <c r="O1" s="3375"/>
      <c r="P1" s="3375"/>
      <c r="Q1" s="3375"/>
      <c r="R1" s="3375"/>
      <c r="S1" s="3376"/>
      <c r="T1" s="1204" t="s">
        <v>2995</v>
      </c>
    </row>
    <row r="2" spans="1:45" s="707" customFormat="1">
      <c r="A2" s="1205"/>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3003</v>
      </c>
      <c r="B17" s="2905"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3005</v>
      </c>
      <c r="E19" s="1791"/>
      <c r="F19" s="1791"/>
      <c r="G19" s="1791"/>
      <c r="H19" s="1280"/>
      <c r="I19" s="168"/>
      <c r="J19" s="168"/>
      <c r="K19" s="168"/>
      <c r="L19" s="168"/>
      <c r="M19" s="168"/>
      <c r="N19" s="168"/>
      <c r="O19" s="168"/>
      <c r="P19" s="168"/>
      <c r="Q19" s="168"/>
      <c r="R19" s="788"/>
      <c r="S19" s="138"/>
    </row>
    <row r="20" spans="1:45" ht="16.5" thickBot="1">
      <c r="A20" s="715" t="s">
        <v>3006</v>
      </c>
      <c r="B20" s="338" t="e">
        <f ca="1">IF(D20="——",S22,S22-F20)</f>
        <v>#REF!</v>
      </c>
      <c r="C20" s="168"/>
      <c r="D20" s="2907" t="s">
        <v>3007</v>
      </c>
      <c r="E20" s="1792"/>
      <c r="F20" s="1204" t="e">
        <f ca="1">SUMIF(INDIRECT("'"&amp;H20&amp;"'"&amp;"!A:A"),"承租人权益价值",INDIRECT("'"&amp;H20&amp;"'"&amp;"!c:c"))</f>
        <v>#REF!</v>
      </c>
      <c r="G20" s="1204" t="s">
        <v>3008</v>
      </c>
      <c r="H20" s="2908"/>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223" t="s">
        <v>33</v>
      </c>
      <c r="D22" s="3224"/>
      <c r="E22" s="3224"/>
      <c r="F22" s="3224"/>
      <c r="G22" s="3224"/>
      <c r="H22" s="3224"/>
      <c r="I22" s="3224"/>
      <c r="J22" s="3224"/>
      <c r="K22" s="3224"/>
      <c r="L22" s="3224"/>
      <c r="M22" s="3224"/>
      <c r="N22" s="3224"/>
      <c r="O22" s="3224"/>
      <c r="P22" s="3224"/>
      <c r="Q22" s="3373"/>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74621</v>
      </c>
      <c r="C2" s="2" t="s">
        <v>133</v>
      </c>
      <c r="D2" s="243"/>
      <c r="E2" s="243"/>
      <c r="F2" s="243"/>
      <c r="G2" s="243"/>
    </row>
    <row r="3" spans="1:7" s="244" customFormat="1" ht="18" customHeight="1" thickBot="1">
      <c r="A3" s="247" t="s">
        <v>85</v>
      </c>
      <c r="B3" s="248">
        <f ca="1">ROUND(B2*10000/'数据-汇总表'!E3,0)</f>
        <v>1840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5284</v>
      </c>
      <c r="D9" s="1032">
        <f>'数据-汇总表'!E5</f>
        <v>240173.61</v>
      </c>
      <c r="E9" s="269">
        <f>'数据-取费表'!B27</f>
        <v>220</v>
      </c>
      <c r="F9" s="265"/>
      <c r="G9" s="270"/>
    </row>
    <row r="10" spans="1:7" s="258" customFormat="1" ht="13.5" customHeight="1">
      <c r="A10" s="950" t="s">
        <v>801</v>
      </c>
      <c r="B10" s="268" t="s">
        <v>94</v>
      </c>
      <c r="C10" s="269">
        <f>ROUND(D10*E10/10000,0)</f>
        <v>3639</v>
      </c>
      <c r="D10" s="1032">
        <f>'数据-汇总表'!E6</f>
        <v>165389.20999999996</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10139</v>
      </c>
      <c r="D19" s="1036">
        <f>'数据-汇总表'!E3</f>
        <v>405562.81999999995</v>
      </c>
      <c r="E19" s="255">
        <f>'数据-取费表'!B31</f>
        <v>250</v>
      </c>
      <c r="F19" s="275"/>
      <c r="G19" s="1" t="s">
        <v>1071</v>
      </c>
    </row>
    <row r="20" spans="1:7" s="258" customFormat="1" ht="13.5" customHeight="1">
      <c r="A20" s="948" t="s">
        <v>1054</v>
      </c>
      <c r="B20" s="254" t="s">
        <v>104</v>
      </c>
      <c r="C20" s="276">
        <f>ROUND((C5+C19)*F20,0)</f>
        <v>615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729</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484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238</v>
      </c>
      <c r="D24" s="282"/>
      <c r="E24" s="282"/>
      <c r="F24" s="283"/>
      <c r="G24" s="284" t="s">
        <v>109</v>
      </c>
    </row>
    <row r="25" spans="1:7" s="258" customFormat="1" ht="24">
      <c r="A25" s="951" t="s">
        <v>793</v>
      </c>
      <c r="B25" s="259" t="s">
        <v>1055</v>
      </c>
      <c r="C25" s="1355">
        <f ca="1">ROUND(IF('数据-取费表'!B22&lt;=1,C20*F22*'数据-取费表'!B23/2,C20*(POWER((1+F22),'数据-取费表'!B23/2)-1)),0)</f>
        <v>7</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470</v>
      </c>
      <c r="D27" s="279">
        <f>C29</f>
        <v>2.9999999999999997E-4</v>
      </c>
      <c r="E27" s="280" t="s">
        <v>126</v>
      </c>
      <c r="F27" s="290">
        <f>'数据-取费表'!Q16</f>
        <v>0.09</v>
      </c>
      <c r="G27" s="291" t="s">
        <v>1066</v>
      </c>
    </row>
    <row r="28" spans="1:7" s="258" customFormat="1" ht="13.5" customHeight="1">
      <c r="A28" s="951" t="s">
        <v>794</v>
      </c>
      <c r="B28" s="292" t="s">
        <v>1059</v>
      </c>
      <c r="C28" s="293">
        <f>ROUND((C5+C19+C20)*F27*'数据-取费表'!B21/'数据-取费表'!B20,0)</f>
        <v>470</v>
      </c>
      <c r="D28" s="279"/>
      <c r="E28" s="280"/>
      <c r="F28" s="290"/>
      <c r="G28" s="291"/>
    </row>
    <row r="29" spans="1:7" s="258" customFormat="1" ht="13.5" customHeight="1">
      <c r="A29" s="951" t="s">
        <v>792</v>
      </c>
      <c r="B29" s="292" t="s">
        <v>1060</v>
      </c>
      <c r="C29" s="282">
        <f>ROUND(C21*F27*'数据-取费表'!B21/'数据-取费表'!B20,4)</f>
        <v>2.9999999999999997E-4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35159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32472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28131</v>
      </c>
      <c r="D34" s="261"/>
      <c r="E34" s="264"/>
      <c r="F34" s="301">
        <f>IF('数据-取费表'!B24=0,1,'数据-取费表'!N16)</f>
        <v>0.25</v>
      </c>
      <c r="G34" s="263" t="s">
        <v>116</v>
      </c>
    </row>
    <row r="35" spans="1:7" ht="13.5" customHeight="1">
      <c r="A35" s="951" t="s">
        <v>796</v>
      </c>
      <c r="B35" s="259" t="s">
        <v>60</v>
      </c>
      <c r="C35" s="264">
        <f>ROUND(C34*F35,0)</f>
        <v>844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540</v>
      </c>
      <c r="D36" s="264"/>
      <c r="E36" s="264"/>
      <c r="F36" s="303">
        <f>'数据-取费表'!B34</f>
        <v>0.03</v>
      </c>
      <c r="G36" s="304" t="s">
        <v>62</v>
      </c>
    </row>
    <row r="37" spans="1:7" s="302" customFormat="1" ht="13.5" customHeight="1">
      <c r="A37" s="951" t="s">
        <v>798</v>
      </c>
      <c r="B37" s="259" t="s">
        <v>118</v>
      </c>
      <c r="C37" s="293">
        <f>ROUND(E37*D37*F34/10000,0)</f>
        <v>2535</v>
      </c>
      <c r="D37" s="261">
        <f>'数据-汇总表'!E3</f>
        <v>405562.81999999995</v>
      </c>
      <c r="E37" s="293">
        <f>'数据-取费表'!B35</f>
        <v>250</v>
      </c>
      <c r="F37" s="303"/>
      <c r="G37" s="305" t="s">
        <v>119</v>
      </c>
    </row>
    <row r="38" spans="1:7" ht="13.5" customHeight="1">
      <c r="A38" s="951" t="s">
        <v>799</v>
      </c>
      <c r="B38" s="259" t="s">
        <v>63</v>
      </c>
      <c r="C38" s="264">
        <f>ROUND(C34*F38,0)</f>
        <v>422</v>
      </c>
      <c r="D38" s="264"/>
      <c r="E38" s="264"/>
      <c r="F38" s="303">
        <f>'数据-取费表'!B36</f>
        <v>1.4999999999999999E-2</v>
      </c>
      <c r="G38" s="263" t="s">
        <v>117</v>
      </c>
    </row>
    <row r="39" spans="1:7" s="258" customFormat="1" ht="13.5" customHeight="1">
      <c r="A39" s="948" t="s">
        <v>783</v>
      </c>
      <c r="B39" s="254" t="s">
        <v>104</v>
      </c>
      <c r="C39" s="276">
        <f>ROUND(C33*F20,0)</f>
        <v>649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387</v>
      </c>
      <c r="D41" s="279">
        <f ca="1">C44</f>
        <v>2.0000000000000001E-4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379</v>
      </c>
      <c r="D42" s="282"/>
      <c r="E42" s="282"/>
      <c r="F42" s="283"/>
      <c r="G42" s="3228" t="s">
        <v>121</v>
      </c>
    </row>
    <row r="43" spans="1:7" ht="13.5" customHeight="1">
      <c r="A43" s="951" t="s">
        <v>792</v>
      </c>
      <c r="B43" s="259" t="s">
        <v>1061</v>
      </c>
      <c r="C43" s="282">
        <f ca="1">ROUND(IF('数据-取费表'!B22&lt;=1,C39*F22*'数据-取费表'!B21/2,C39*(POWER((1+F22),'数据-取费表'!B21/2)-1)),0)</f>
        <v>8</v>
      </c>
      <c r="D43" s="282"/>
      <c r="E43" s="282"/>
      <c r="F43" s="283"/>
      <c r="G43" s="3229"/>
    </row>
    <row r="44" spans="1:7" ht="13.5" customHeight="1">
      <c r="A44" s="951" t="s">
        <v>793</v>
      </c>
      <c r="B44" s="259" t="s">
        <v>1063</v>
      </c>
      <c r="C44" s="282">
        <f ca="1">ROUND(IF('数据-取费表'!B22&lt;=1,C40*F22*'数据-取费表'!B21/2,C40*(POWER((1+F22),'数据-取费表'!B21/2)-1)),4)</f>
        <v>2.0000000000000001E-4</v>
      </c>
      <c r="D44" s="282"/>
      <c r="E44" s="282"/>
      <c r="F44" s="283"/>
      <c r="G44" s="3230"/>
    </row>
    <row r="45" spans="1:7" s="258" customFormat="1" ht="13.5" customHeight="1">
      <c r="A45" s="948" t="s">
        <v>786</v>
      </c>
      <c r="B45" s="288" t="s">
        <v>112</v>
      </c>
      <c r="C45" s="289">
        <f>C46</f>
        <v>2981</v>
      </c>
      <c r="D45" s="279">
        <f>C47</f>
        <v>1.8E-3</v>
      </c>
      <c r="E45" s="280" t="s">
        <v>129</v>
      </c>
      <c r="F45" s="290"/>
      <c r="G45" s="291" t="s">
        <v>1069</v>
      </c>
    </row>
    <row r="46" spans="1:7" s="258" customFormat="1" ht="13.5" customHeight="1">
      <c r="A46" s="951" t="s">
        <v>794</v>
      </c>
      <c r="B46" s="292" t="s">
        <v>1062</v>
      </c>
      <c r="C46" s="293">
        <f>ROUND((C33+C39)*F27,0)</f>
        <v>2981</v>
      </c>
      <c r="D46" s="307"/>
      <c r="E46" s="280"/>
      <c r="F46" s="290"/>
      <c r="G46" s="291"/>
    </row>
    <row r="47" spans="1:7" s="258" customFormat="1" ht="13.5" customHeight="1">
      <c r="A47" s="951" t="s">
        <v>792</v>
      </c>
      <c r="B47" s="292" t="s">
        <v>1064</v>
      </c>
      <c r="C47" s="282">
        <f>ROUND(C40*F27,4)</f>
        <v>1.8E-3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39462</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39462</v>
      </c>
      <c r="D51" s="276"/>
      <c r="E51" s="276"/>
      <c r="F51" s="308"/>
      <c r="G51" s="278" t="s">
        <v>64</v>
      </c>
    </row>
    <row r="52" spans="1:7" s="252" customFormat="1" ht="16.5" thickBot="1">
      <c r="A52" s="309" t="s">
        <v>65</v>
      </c>
      <c r="B52" s="310"/>
      <c r="C52" s="311">
        <f ca="1">C31+C51</f>
        <v>74621</v>
      </c>
      <c r="D52" s="310"/>
      <c r="E52" s="310"/>
      <c r="F52" s="310"/>
      <c r="G52" s="312"/>
    </row>
    <row r="55" spans="1:7" ht="15">
      <c r="B55" s="314" t="s">
        <v>66</v>
      </c>
      <c r="C55" s="315"/>
    </row>
    <row r="56" spans="1:7">
      <c r="B56" s="317" t="s">
        <v>67</v>
      </c>
      <c r="C56" s="318">
        <f ca="1">ROUND(C51/C52,3)</f>
        <v>0.52900000000000003</v>
      </c>
    </row>
    <row r="57" spans="1:7">
      <c r="B57" s="317" t="s">
        <v>68</v>
      </c>
      <c r="C57" s="319">
        <f ca="1">1-C56</f>
        <v>0.47099999999999997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377" t="s">
        <v>156</v>
      </c>
      <c r="B1" s="3377"/>
      <c r="C1" s="3377"/>
      <c r="D1" s="3377"/>
      <c r="E1" s="3377"/>
      <c r="F1" s="33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8" t="s">
        <v>169</v>
      </c>
      <c r="B2" s="3378"/>
      <c r="C2" s="3378"/>
      <c r="D2" s="3378"/>
      <c r="E2" s="3378"/>
      <c r="F2" s="33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377" t="s">
        <v>868</v>
      </c>
      <c r="B1" s="337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882</v>
      </c>
      <c r="C72" s="1077"/>
      <c r="D72" s="1077"/>
      <c r="E72" s="1077"/>
      <c r="F72" s="1065">
        <v>0.05</v>
      </c>
    </row>
    <row r="73" spans="1:6" ht="24.75" thickBot="1">
      <c r="A73" s="840" t="s">
        <v>137</v>
      </c>
      <c r="B73" s="834" t="s">
        <v>883</v>
      </c>
      <c r="C73" s="1077"/>
      <c r="D73" s="1077"/>
      <c r="E73" s="1077"/>
      <c r="F73" s="1065">
        <v>0.05</v>
      </c>
    </row>
    <row r="74" spans="1:6" ht="24.75" thickBot="1">
      <c r="A74" s="840" t="s">
        <v>137</v>
      </c>
      <c r="B74" s="834" t="s">
        <v>884</v>
      </c>
      <c r="C74" s="1077"/>
      <c r="D74" s="1077"/>
      <c r="E74" s="1077"/>
      <c r="F74" s="1065">
        <v>0.05</v>
      </c>
    </row>
    <row r="75" spans="1:6" ht="24.7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24.7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51" t="str">
        <f>IF(项目基本情况!B9="房地产市场价值","估价结果一览表","结果表-2")</f>
        <v>结果表-2</v>
      </c>
      <c r="B1" s="3051"/>
      <c r="C1" s="3051"/>
      <c r="D1" s="3051"/>
      <c r="E1" s="3051"/>
      <c r="F1" s="3051"/>
      <c r="G1" s="3051"/>
      <c r="H1" s="3051"/>
      <c r="I1" s="3051"/>
    </row>
    <row r="2" spans="1:9" ht="30" customHeight="1" thickTop="1">
      <c r="A2" s="3052" t="s">
        <v>1637</v>
      </c>
      <c r="B2" s="3052" t="s">
        <v>1638</v>
      </c>
      <c r="C2" s="3052" t="s">
        <v>1639</v>
      </c>
      <c r="D2" s="3052" t="str">
        <f>结果表!D116</f>
        <v>出让国有建设用地使用权价值</v>
      </c>
      <c r="E2" s="3052"/>
      <c r="F2" s="3052" t="str">
        <f>结果表!F116</f>
        <v>在建建筑物价值</v>
      </c>
      <c r="G2" s="3052"/>
      <c r="H2" s="3052" t="str">
        <f>IF(项目基本情况!B9="房地产市场价值","房地产市场价值","房地产价值")</f>
        <v>房地产价值</v>
      </c>
      <c r="I2" s="3052"/>
    </row>
    <row r="3" spans="1:9" ht="15">
      <c r="A3" s="3046"/>
      <c r="B3" s="3046"/>
      <c r="C3" s="3046"/>
      <c r="D3" s="1044" t="s">
        <v>1634</v>
      </c>
      <c r="E3" s="1044" t="s">
        <v>1640</v>
      </c>
      <c r="F3" s="1044" t="s">
        <v>1634</v>
      </c>
      <c r="G3" s="1044" t="s">
        <v>1635</v>
      </c>
      <c r="H3" s="1044" t="s">
        <v>1634</v>
      </c>
      <c r="I3" s="1044" t="s">
        <v>1635</v>
      </c>
    </row>
    <row r="4" spans="1:9" ht="60">
      <c r="A4" s="1972" t="str">
        <f>项目基本情况!S2</f>
        <v>四川省成都市天府新区华阳街道广福社区“恒大天府半岛”居住项目六期出让国有建设用地使用权及在建建筑物房地产</v>
      </c>
      <c r="B4" s="1044">
        <f>项目基本情况!C17</f>
        <v>405562.81999999995</v>
      </c>
      <c r="C4" s="1044">
        <f>项目基本情况!C18</f>
        <v>72072.02</v>
      </c>
      <c r="D4" s="1044">
        <f ca="1">结果表!D118</f>
        <v>187605</v>
      </c>
      <c r="E4" s="1044">
        <f ca="1">结果表!E118</f>
        <v>4625</v>
      </c>
      <c r="F4" s="1044">
        <f ca="1">结果表!F118</f>
        <v>34940</v>
      </c>
      <c r="G4" s="1044">
        <f ca="1">结果表!G118</f>
        <v>862</v>
      </c>
      <c r="H4" s="1044">
        <f ca="1">结果表!H118</f>
        <v>222545</v>
      </c>
      <c r="I4" s="1044">
        <f ca="1">结果表!I118</f>
        <v>5487</v>
      </c>
    </row>
    <row r="5" spans="1:9" ht="30" customHeight="1">
      <c r="A5" s="3046" t="s">
        <v>1636</v>
      </c>
      <c r="B5" s="3046"/>
      <c r="C5" s="3046"/>
      <c r="D5" s="3047" t="str">
        <f ca="1">结果表!D119</f>
        <v>壹拾捌亿柒仟陆佰零伍万元整</v>
      </c>
      <c r="E5" s="3047"/>
      <c r="F5" s="3047" t="str">
        <f ca="1">结果表!F119</f>
        <v>叁亿肆仟玖佰肆拾万元整</v>
      </c>
      <c r="G5" s="3047"/>
      <c r="H5" s="3047" t="str">
        <f ca="1">结果表!H119</f>
        <v>贰拾贰亿贰仟伍佰肆拾伍万元整</v>
      </c>
      <c r="I5" s="3047"/>
    </row>
    <row r="6" spans="1:9" ht="15.75">
      <c r="A6" s="3045" t="str">
        <f>结果表!A120</f>
        <v>估价师知悉的法定优先受偿款</v>
      </c>
      <c r="B6" s="3045"/>
      <c r="C6" s="3045"/>
      <c r="D6" s="3045">
        <f>结果表!D120</f>
        <v>0</v>
      </c>
      <c r="E6" s="3045"/>
      <c r="F6" s="3045"/>
      <c r="G6" s="3045"/>
      <c r="H6" s="3045"/>
      <c r="I6" s="3045"/>
    </row>
    <row r="7" spans="1:9" ht="15">
      <c r="A7" s="3046" t="s">
        <v>1636</v>
      </c>
      <c r="B7" s="3046"/>
      <c r="C7" s="3046"/>
      <c r="D7" s="3048" t="str">
        <f>结果表!D121</f>
        <v>零元整</v>
      </c>
      <c r="E7" s="3049"/>
      <c r="F7" s="3049"/>
      <c r="G7" s="3049"/>
      <c r="H7" s="3049"/>
      <c r="I7" s="3050"/>
    </row>
    <row r="8" spans="1:9" ht="15.75">
      <c r="A8" s="3045" t="str">
        <f>结果表!A122</f>
        <v>房地产抵押价值</v>
      </c>
      <c r="B8" s="3045"/>
      <c r="C8" s="3045"/>
      <c r="D8" s="3045">
        <f ca="1">结果表!D122</f>
        <v>222545</v>
      </c>
      <c r="E8" s="3045"/>
      <c r="F8" s="3045"/>
      <c r="G8" s="3045"/>
      <c r="H8" s="3045"/>
      <c r="I8" s="3045"/>
    </row>
    <row r="9" spans="1:9" ht="15">
      <c r="A9" s="3046" t="s">
        <v>1636</v>
      </c>
      <c r="B9" s="3046"/>
      <c r="C9" s="3046"/>
      <c r="D9" s="3047" t="str">
        <f ca="1">结果表!D123</f>
        <v>贰拾贰亿贰仟伍佰肆拾伍万元整</v>
      </c>
      <c r="E9" s="3047"/>
      <c r="F9" s="3047"/>
      <c r="G9" s="3047"/>
      <c r="H9" s="3047"/>
      <c r="I9" s="3047"/>
    </row>
    <row r="10" spans="1:9" ht="15.75">
      <c r="A10" s="3045" t="str">
        <f>结果表!A124</f>
        <v/>
      </c>
      <c r="B10" s="3045"/>
      <c r="C10" s="3045"/>
      <c r="D10" s="3045" t="str">
        <f>结果表!D124</f>
        <v>——</v>
      </c>
      <c r="E10" s="3045"/>
      <c r="F10" s="3045"/>
      <c r="G10" s="3045"/>
      <c r="H10" s="3045"/>
      <c r="I10" s="3045"/>
    </row>
    <row r="11" spans="1:9" ht="15">
      <c r="A11" s="3046" t="s">
        <v>1636</v>
      </c>
      <c r="B11" s="3046"/>
      <c r="C11" s="3046"/>
      <c r="D11" s="3047" t="e">
        <f>结果表!D125</f>
        <v>#VALUE!</v>
      </c>
      <c r="E11" s="3047"/>
      <c r="F11" s="3047"/>
      <c r="G11" s="3047"/>
      <c r="H11" s="3047"/>
      <c r="I11" s="3047"/>
    </row>
    <row r="12" spans="1:9" ht="15.75">
      <c r="A12" s="3045" t="str">
        <f>结果表!A126</f>
        <v/>
      </c>
      <c r="B12" s="3045"/>
      <c r="C12" s="3045"/>
      <c r="D12" s="3045" t="str">
        <f>结果表!D126</f>
        <v>——</v>
      </c>
      <c r="E12" s="3045"/>
      <c r="F12" s="3045"/>
      <c r="G12" s="3045"/>
      <c r="H12" s="3045"/>
      <c r="I12" s="3045"/>
    </row>
    <row r="13" spans="1:9" ht="15.75" thickBot="1">
      <c r="A13" s="3042" t="s">
        <v>1636</v>
      </c>
      <c r="B13" s="3042"/>
      <c r="C13" s="3042"/>
      <c r="D13" s="3043" t="e">
        <f>结果表!D127</f>
        <v>#VALUE!</v>
      </c>
      <c r="E13" s="3043"/>
      <c r="F13" s="3043"/>
      <c r="G13" s="3043"/>
      <c r="H13" s="3043"/>
      <c r="I13" s="3043"/>
    </row>
    <row r="14" spans="1:9" ht="15" thickTop="1">
      <c r="A14" s="3044" t="s">
        <v>1641</v>
      </c>
      <c r="B14" s="3044"/>
      <c r="C14" s="3044"/>
      <c r="D14" s="3044"/>
      <c r="E14" s="3044"/>
      <c r="F14" s="3044"/>
      <c r="G14" s="3044"/>
      <c r="H14" s="3044"/>
      <c r="I14" s="3044"/>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7" customWidth="1"/>
    <col min="2" max="2" width="13.125" style="1643" customWidth="1"/>
    <col min="3" max="3" width="15.625" style="1643" customWidth="1"/>
    <col min="4" max="4" width="9.375" style="1643" bestFit="1" customWidth="1"/>
    <col min="5" max="5" width="13.5" style="1643" customWidth="1"/>
    <col min="6" max="6" width="8.875" style="1643"/>
    <col min="7" max="7" width="9.375" style="1643" bestFit="1" customWidth="1"/>
    <col min="8" max="8" width="12.125" style="1643" customWidth="1"/>
    <col min="9" max="9" width="8.875" style="1643"/>
    <col min="10" max="10" width="9.375" style="1643" bestFit="1" customWidth="1"/>
    <col min="11" max="11" width="4" style="1637" customWidth="1"/>
    <col min="12" max="12" width="5.125" style="1643" customWidth="1"/>
    <col min="13" max="13" width="13.875" style="1643" customWidth="1"/>
    <col min="14" max="256" width="8.875" style="1643"/>
    <col min="257" max="257" width="4.875" style="1634" customWidth="1"/>
    <col min="258" max="258" width="13.125" style="1634" customWidth="1"/>
    <col min="259" max="259" width="15.625" style="1634" customWidth="1"/>
    <col min="260" max="260" width="9.375" style="1634" bestFit="1" customWidth="1"/>
    <col min="261" max="261" width="13.5" style="1634" customWidth="1"/>
    <col min="262" max="262" width="8.875" style="1634"/>
    <col min="263" max="263" width="9.375" style="1634" bestFit="1" customWidth="1"/>
    <col min="264" max="265" width="8.875" style="1634"/>
    <col min="266" max="266" width="9.375" style="1634" bestFit="1" customWidth="1"/>
    <col min="267" max="267" width="4" style="1634" customWidth="1"/>
    <col min="268" max="268" width="5.125" style="1634" customWidth="1"/>
    <col min="269" max="269" width="13.875" style="1634" customWidth="1"/>
    <col min="270" max="512" width="8.875" style="1634"/>
    <col min="513" max="513" width="4.875" style="1634" customWidth="1"/>
    <col min="514" max="514" width="13.125" style="1634" customWidth="1"/>
    <col min="515" max="515" width="15.625" style="1634" customWidth="1"/>
    <col min="516" max="516" width="9.375" style="1634" bestFit="1" customWidth="1"/>
    <col min="517" max="517" width="13.5" style="1634" customWidth="1"/>
    <col min="518" max="518" width="8.875" style="1634"/>
    <col min="519" max="519" width="9.375" style="1634" bestFit="1" customWidth="1"/>
    <col min="520" max="521" width="8.875" style="1634"/>
    <col min="522" max="522" width="9.375" style="1634" bestFit="1" customWidth="1"/>
    <col min="523" max="523" width="4" style="1634" customWidth="1"/>
    <col min="524" max="524" width="5.125" style="1634" customWidth="1"/>
    <col min="525" max="525" width="13.875" style="1634" customWidth="1"/>
    <col min="526" max="768" width="8.875" style="1634"/>
    <col min="769" max="769" width="4.875" style="1634" customWidth="1"/>
    <col min="770" max="770" width="13.125" style="1634" customWidth="1"/>
    <col min="771" max="771" width="15.625" style="1634" customWidth="1"/>
    <col min="772" max="772" width="9.375" style="1634" bestFit="1" customWidth="1"/>
    <col min="773" max="773" width="13.5" style="1634" customWidth="1"/>
    <col min="774" max="774" width="8.875" style="1634"/>
    <col min="775" max="775" width="9.375" style="1634" bestFit="1" customWidth="1"/>
    <col min="776" max="777" width="8.875" style="1634"/>
    <col min="778" max="778" width="9.375" style="1634" bestFit="1" customWidth="1"/>
    <col min="779" max="779" width="4" style="1634" customWidth="1"/>
    <col min="780" max="780" width="5.125" style="1634" customWidth="1"/>
    <col min="781" max="781" width="13.875" style="1634" customWidth="1"/>
    <col min="782" max="1024" width="8.875" style="1634"/>
    <col min="1025" max="1025" width="4.875" style="1634" customWidth="1"/>
    <col min="1026" max="1026" width="13.125" style="1634" customWidth="1"/>
    <col min="1027" max="1027" width="15.625" style="1634" customWidth="1"/>
    <col min="1028" max="1028" width="9.375" style="1634" bestFit="1" customWidth="1"/>
    <col min="1029" max="1029" width="13.5" style="1634" customWidth="1"/>
    <col min="1030" max="1030" width="8.875" style="1634"/>
    <col min="1031" max="1031" width="9.375" style="1634" bestFit="1" customWidth="1"/>
    <col min="1032" max="1033" width="8.875" style="1634"/>
    <col min="1034" max="1034" width="9.375" style="1634" bestFit="1" customWidth="1"/>
    <col min="1035" max="1035" width="4" style="1634" customWidth="1"/>
    <col min="1036" max="1036" width="5.125" style="1634" customWidth="1"/>
    <col min="1037" max="1037" width="13.875" style="1634" customWidth="1"/>
    <col min="1038" max="1280" width="8.875" style="1634"/>
    <col min="1281" max="1281" width="4.875" style="1634" customWidth="1"/>
    <col min="1282" max="1282" width="13.125" style="1634" customWidth="1"/>
    <col min="1283" max="1283" width="15.625" style="1634" customWidth="1"/>
    <col min="1284" max="1284" width="9.375" style="1634" bestFit="1" customWidth="1"/>
    <col min="1285" max="1285" width="13.5" style="1634" customWidth="1"/>
    <col min="1286" max="1286" width="8.875" style="1634"/>
    <col min="1287" max="1287" width="9.375" style="1634" bestFit="1" customWidth="1"/>
    <col min="1288" max="1289" width="8.875" style="1634"/>
    <col min="1290" max="1290" width="9.375" style="1634" bestFit="1" customWidth="1"/>
    <col min="1291" max="1291" width="4" style="1634" customWidth="1"/>
    <col min="1292" max="1292" width="5.125" style="1634" customWidth="1"/>
    <col min="1293" max="1293" width="13.875" style="1634" customWidth="1"/>
    <col min="1294" max="1536" width="8.875" style="1634"/>
    <col min="1537" max="1537" width="4.875" style="1634" customWidth="1"/>
    <col min="1538" max="1538" width="13.125" style="1634" customWidth="1"/>
    <col min="1539" max="1539" width="15.625" style="1634" customWidth="1"/>
    <col min="1540" max="1540" width="9.375" style="1634" bestFit="1" customWidth="1"/>
    <col min="1541" max="1541" width="13.5" style="1634" customWidth="1"/>
    <col min="1542" max="1542" width="8.875" style="1634"/>
    <col min="1543" max="1543" width="9.375" style="1634" bestFit="1" customWidth="1"/>
    <col min="1544" max="1545" width="8.875" style="1634"/>
    <col min="1546" max="1546" width="9.375" style="1634" bestFit="1" customWidth="1"/>
    <col min="1547" max="1547" width="4" style="1634" customWidth="1"/>
    <col min="1548" max="1548" width="5.125" style="1634" customWidth="1"/>
    <col min="1549" max="1549" width="13.875" style="1634" customWidth="1"/>
    <col min="1550" max="1792" width="8.875" style="1634"/>
    <col min="1793" max="1793" width="4.875" style="1634" customWidth="1"/>
    <col min="1794" max="1794" width="13.125" style="1634" customWidth="1"/>
    <col min="1795" max="1795" width="15.625" style="1634" customWidth="1"/>
    <col min="1796" max="1796" width="9.375" style="1634" bestFit="1" customWidth="1"/>
    <col min="1797" max="1797" width="13.5" style="1634" customWidth="1"/>
    <col min="1798" max="1798" width="8.875" style="1634"/>
    <col min="1799" max="1799" width="9.375" style="1634" bestFit="1" customWidth="1"/>
    <col min="1800" max="1801" width="8.875" style="1634"/>
    <col min="1802" max="1802" width="9.375" style="1634" bestFit="1" customWidth="1"/>
    <col min="1803" max="1803" width="4" style="1634" customWidth="1"/>
    <col min="1804" max="1804" width="5.125" style="1634" customWidth="1"/>
    <col min="1805" max="1805" width="13.875" style="1634" customWidth="1"/>
    <col min="1806" max="2048" width="8.875" style="1634"/>
    <col min="2049" max="2049" width="4.875" style="1634" customWidth="1"/>
    <col min="2050" max="2050" width="13.125" style="1634" customWidth="1"/>
    <col min="2051" max="2051" width="15.625" style="1634" customWidth="1"/>
    <col min="2052" max="2052" width="9.375" style="1634" bestFit="1" customWidth="1"/>
    <col min="2053" max="2053" width="13.5" style="1634" customWidth="1"/>
    <col min="2054" max="2054" width="8.875" style="1634"/>
    <col min="2055" max="2055" width="9.375" style="1634" bestFit="1" customWidth="1"/>
    <col min="2056" max="2057" width="8.875" style="1634"/>
    <col min="2058" max="2058" width="9.375" style="1634" bestFit="1" customWidth="1"/>
    <col min="2059" max="2059" width="4" style="1634" customWidth="1"/>
    <col min="2060" max="2060" width="5.125" style="1634" customWidth="1"/>
    <col min="2061" max="2061" width="13.875" style="1634" customWidth="1"/>
    <col min="2062" max="2304" width="8.875" style="1634"/>
    <col min="2305" max="2305" width="4.875" style="1634" customWidth="1"/>
    <col min="2306" max="2306" width="13.125" style="1634" customWidth="1"/>
    <col min="2307" max="2307" width="15.625" style="1634" customWidth="1"/>
    <col min="2308" max="2308" width="9.375" style="1634" bestFit="1" customWidth="1"/>
    <col min="2309" max="2309" width="13.5" style="1634" customWidth="1"/>
    <col min="2310" max="2310" width="8.875" style="1634"/>
    <col min="2311" max="2311" width="9.375" style="1634" bestFit="1" customWidth="1"/>
    <col min="2312" max="2313" width="8.875" style="1634"/>
    <col min="2314" max="2314" width="9.375" style="1634" bestFit="1" customWidth="1"/>
    <col min="2315" max="2315" width="4" style="1634" customWidth="1"/>
    <col min="2316" max="2316" width="5.125" style="1634" customWidth="1"/>
    <col min="2317" max="2317" width="13.875" style="1634" customWidth="1"/>
    <col min="2318" max="2560" width="8.875" style="1634"/>
    <col min="2561" max="2561" width="4.875" style="1634" customWidth="1"/>
    <col min="2562" max="2562" width="13.125" style="1634" customWidth="1"/>
    <col min="2563" max="2563" width="15.625" style="1634" customWidth="1"/>
    <col min="2564" max="2564" width="9.375" style="1634" bestFit="1" customWidth="1"/>
    <col min="2565" max="2565" width="13.5" style="1634" customWidth="1"/>
    <col min="2566" max="2566" width="8.875" style="1634"/>
    <col min="2567" max="2567" width="9.375" style="1634" bestFit="1" customWidth="1"/>
    <col min="2568" max="2569" width="8.875" style="1634"/>
    <col min="2570" max="2570" width="9.375" style="1634" bestFit="1" customWidth="1"/>
    <col min="2571" max="2571" width="4" style="1634" customWidth="1"/>
    <col min="2572" max="2572" width="5.125" style="1634" customWidth="1"/>
    <col min="2573" max="2573" width="13.875" style="1634" customWidth="1"/>
    <col min="2574" max="2816" width="8.875" style="1634"/>
    <col min="2817" max="2817" width="4.875" style="1634" customWidth="1"/>
    <col min="2818" max="2818" width="13.125" style="1634" customWidth="1"/>
    <col min="2819" max="2819" width="15.625" style="1634" customWidth="1"/>
    <col min="2820" max="2820" width="9.375" style="1634" bestFit="1" customWidth="1"/>
    <col min="2821" max="2821" width="13.5" style="1634" customWidth="1"/>
    <col min="2822" max="2822" width="8.875" style="1634"/>
    <col min="2823" max="2823" width="9.375" style="1634" bestFit="1" customWidth="1"/>
    <col min="2824" max="2825" width="8.875" style="1634"/>
    <col min="2826" max="2826" width="9.375" style="1634" bestFit="1" customWidth="1"/>
    <col min="2827" max="2827" width="4" style="1634" customWidth="1"/>
    <col min="2828" max="2828" width="5.125" style="1634" customWidth="1"/>
    <col min="2829" max="2829" width="13.875" style="1634" customWidth="1"/>
    <col min="2830" max="3072" width="8.875" style="1634"/>
    <col min="3073" max="3073" width="4.875" style="1634" customWidth="1"/>
    <col min="3074" max="3074" width="13.125" style="1634" customWidth="1"/>
    <col min="3075" max="3075" width="15.625" style="1634" customWidth="1"/>
    <col min="3076" max="3076" width="9.375" style="1634" bestFit="1" customWidth="1"/>
    <col min="3077" max="3077" width="13.5" style="1634" customWidth="1"/>
    <col min="3078" max="3078" width="8.875" style="1634"/>
    <col min="3079" max="3079" width="9.375" style="1634" bestFit="1" customWidth="1"/>
    <col min="3080" max="3081" width="8.875" style="1634"/>
    <col min="3082" max="3082" width="9.375" style="1634" bestFit="1" customWidth="1"/>
    <col min="3083" max="3083" width="4" style="1634" customWidth="1"/>
    <col min="3084" max="3084" width="5.125" style="1634" customWidth="1"/>
    <col min="3085" max="3085" width="13.875" style="1634" customWidth="1"/>
    <col min="3086" max="3328" width="8.875" style="1634"/>
    <col min="3329" max="3329" width="4.875" style="1634" customWidth="1"/>
    <col min="3330" max="3330" width="13.125" style="1634" customWidth="1"/>
    <col min="3331" max="3331" width="15.625" style="1634" customWidth="1"/>
    <col min="3332" max="3332" width="9.375" style="1634" bestFit="1" customWidth="1"/>
    <col min="3333" max="3333" width="13.5" style="1634" customWidth="1"/>
    <col min="3334" max="3334" width="8.875" style="1634"/>
    <col min="3335" max="3335" width="9.375" style="1634" bestFit="1" customWidth="1"/>
    <col min="3336" max="3337" width="8.875" style="1634"/>
    <col min="3338" max="3338" width="9.375" style="1634" bestFit="1" customWidth="1"/>
    <col min="3339" max="3339" width="4" style="1634" customWidth="1"/>
    <col min="3340" max="3340" width="5.125" style="1634" customWidth="1"/>
    <col min="3341" max="3341" width="13.875" style="1634" customWidth="1"/>
    <col min="3342" max="3584" width="8.875" style="1634"/>
    <col min="3585" max="3585" width="4.875" style="1634" customWidth="1"/>
    <col min="3586" max="3586" width="13.125" style="1634" customWidth="1"/>
    <col min="3587" max="3587" width="15.625" style="1634" customWidth="1"/>
    <col min="3588" max="3588" width="9.375" style="1634" bestFit="1" customWidth="1"/>
    <col min="3589" max="3589" width="13.5" style="1634" customWidth="1"/>
    <col min="3590" max="3590" width="8.875" style="1634"/>
    <col min="3591" max="3591" width="9.375" style="1634" bestFit="1" customWidth="1"/>
    <col min="3592" max="3593" width="8.875" style="1634"/>
    <col min="3594" max="3594" width="9.375" style="1634" bestFit="1" customWidth="1"/>
    <col min="3595" max="3595" width="4" style="1634" customWidth="1"/>
    <col min="3596" max="3596" width="5.125" style="1634" customWidth="1"/>
    <col min="3597" max="3597" width="13.875" style="1634" customWidth="1"/>
    <col min="3598" max="3840" width="8.875" style="1634"/>
    <col min="3841" max="3841" width="4.875" style="1634" customWidth="1"/>
    <col min="3842" max="3842" width="13.125" style="1634" customWidth="1"/>
    <col min="3843" max="3843" width="15.625" style="1634" customWidth="1"/>
    <col min="3844" max="3844" width="9.375" style="1634" bestFit="1" customWidth="1"/>
    <col min="3845" max="3845" width="13.5" style="1634" customWidth="1"/>
    <col min="3846" max="3846" width="8.875" style="1634"/>
    <col min="3847" max="3847" width="9.375" style="1634" bestFit="1" customWidth="1"/>
    <col min="3848" max="3849" width="8.875" style="1634"/>
    <col min="3850" max="3850" width="9.375" style="1634" bestFit="1" customWidth="1"/>
    <col min="3851" max="3851" width="4" style="1634" customWidth="1"/>
    <col min="3852" max="3852" width="5.125" style="1634" customWidth="1"/>
    <col min="3853" max="3853" width="13.875" style="1634" customWidth="1"/>
    <col min="3854" max="4096" width="8.875" style="1634"/>
    <col min="4097" max="4097" width="4.875" style="1634" customWidth="1"/>
    <col min="4098" max="4098" width="13.125" style="1634" customWidth="1"/>
    <col min="4099" max="4099" width="15.625" style="1634" customWidth="1"/>
    <col min="4100" max="4100" width="9.375" style="1634" bestFit="1" customWidth="1"/>
    <col min="4101" max="4101" width="13.5" style="1634" customWidth="1"/>
    <col min="4102" max="4102" width="8.875" style="1634"/>
    <col min="4103" max="4103" width="9.375" style="1634" bestFit="1" customWidth="1"/>
    <col min="4104" max="4105" width="8.875" style="1634"/>
    <col min="4106" max="4106" width="9.375" style="1634" bestFit="1" customWidth="1"/>
    <col min="4107" max="4107" width="4" style="1634" customWidth="1"/>
    <col min="4108" max="4108" width="5.125" style="1634" customWidth="1"/>
    <col min="4109" max="4109" width="13.875" style="1634" customWidth="1"/>
    <col min="4110" max="4352" width="8.875" style="1634"/>
    <col min="4353" max="4353" width="4.875" style="1634" customWidth="1"/>
    <col min="4354" max="4354" width="13.125" style="1634" customWidth="1"/>
    <col min="4355" max="4355" width="15.625" style="1634" customWidth="1"/>
    <col min="4356" max="4356" width="9.375" style="1634" bestFit="1" customWidth="1"/>
    <col min="4357" max="4357" width="13.5" style="1634" customWidth="1"/>
    <col min="4358" max="4358" width="8.875" style="1634"/>
    <col min="4359" max="4359" width="9.375" style="1634" bestFit="1" customWidth="1"/>
    <col min="4360" max="4361" width="8.875" style="1634"/>
    <col min="4362" max="4362" width="9.375" style="1634" bestFit="1" customWidth="1"/>
    <col min="4363" max="4363" width="4" style="1634" customWidth="1"/>
    <col min="4364" max="4364" width="5.125" style="1634" customWidth="1"/>
    <col min="4365" max="4365" width="13.875" style="1634" customWidth="1"/>
    <col min="4366" max="4608" width="8.875" style="1634"/>
    <col min="4609" max="4609" width="4.875" style="1634" customWidth="1"/>
    <col min="4610" max="4610" width="13.125" style="1634" customWidth="1"/>
    <col min="4611" max="4611" width="15.625" style="1634" customWidth="1"/>
    <col min="4612" max="4612" width="9.375" style="1634" bestFit="1" customWidth="1"/>
    <col min="4613" max="4613" width="13.5" style="1634" customWidth="1"/>
    <col min="4614" max="4614" width="8.875" style="1634"/>
    <col min="4615" max="4615" width="9.375" style="1634" bestFit="1" customWidth="1"/>
    <col min="4616" max="4617" width="8.875" style="1634"/>
    <col min="4618" max="4618" width="9.375" style="1634" bestFit="1" customWidth="1"/>
    <col min="4619" max="4619" width="4" style="1634" customWidth="1"/>
    <col min="4620" max="4620" width="5.125" style="1634" customWidth="1"/>
    <col min="4621" max="4621" width="13.875" style="1634" customWidth="1"/>
    <col min="4622" max="4864" width="8.875" style="1634"/>
    <col min="4865" max="4865" width="4.875" style="1634" customWidth="1"/>
    <col min="4866" max="4866" width="13.125" style="1634" customWidth="1"/>
    <col min="4867" max="4867" width="15.625" style="1634" customWidth="1"/>
    <col min="4868" max="4868" width="9.375" style="1634" bestFit="1" customWidth="1"/>
    <col min="4869" max="4869" width="13.5" style="1634" customWidth="1"/>
    <col min="4870" max="4870" width="8.875" style="1634"/>
    <col min="4871" max="4871" width="9.375" style="1634" bestFit="1" customWidth="1"/>
    <col min="4872" max="4873" width="8.875" style="1634"/>
    <col min="4874" max="4874" width="9.375" style="1634" bestFit="1" customWidth="1"/>
    <col min="4875" max="4875" width="4" style="1634" customWidth="1"/>
    <col min="4876" max="4876" width="5.125" style="1634" customWidth="1"/>
    <col min="4877" max="4877" width="13.875" style="1634" customWidth="1"/>
    <col min="4878" max="5120" width="8.875" style="1634"/>
    <col min="5121" max="5121" width="4.875" style="1634" customWidth="1"/>
    <col min="5122" max="5122" width="13.125" style="1634" customWidth="1"/>
    <col min="5123" max="5123" width="15.625" style="1634" customWidth="1"/>
    <col min="5124" max="5124" width="9.375" style="1634" bestFit="1" customWidth="1"/>
    <col min="5125" max="5125" width="13.5" style="1634" customWidth="1"/>
    <col min="5126" max="5126" width="8.875" style="1634"/>
    <col min="5127" max="5127" width="9.375" style="1634" bestFit="1" customWidth="1"/>
    <col min="5128" max="5129" width="8.875" style="1634"/>
    <col min="5130" max="5130" width="9.375" style="1634" bestFit="1" customWidth="1"/>
    <col min="5131" max="5131" width="4" style="1634" customWidth="1"/>
    <col min="5132" max="5132" width="5.125" style="1634" customWidth="1"/>
    <col min="5133" max="5133" width="13.875" style="1634" customWidth="1"/>
    <col min="5134" max="5376" width="8.875" style="1634"/>
    <col min="5377" max="5377" width="4.875" style="1634" customWidth="1"/>
    <col min="5378" max="5378" width="13.125" style="1634" customWidth="1"/>
    <col min="5379" max="5379" width="15.625" style="1634" customWidth="1"/>
    <col min="5380" max="5380" width="9.375" style="1634" bestFit="1" customWidth="1"/>
    <col min="5381" max="5381" width="13.5" style="1634" customWidth="1"/>
    <col min="5382" max="5382" width="8.875" style="1634"/>
    <col min="5383" max="5383" width="9.375" style="1634" bestFit="1" customWidth="1"/>
    <col min="5384" max="5385" width="8.875" style="1634"/>
    <col min="5386" max="5386" width="9.375" style="1634" bestFit="1" customWidth="1"/>
    <col min="5387" max="5387" width="4" style="1634" customWidth="1"/>
    <col min="5388" max="5388" width="5.125" style="1634" customWidth="1"/>
    <col min="5389" max="5389" width="13.875" style="1634" customWidth="1"/>
    <col min="5390" max="5632" width="8.875" style="1634"/>
    <col min="5633" max="5633" width="4.875" style="1634" customWidth="1"/>
    <col min="5634" max="5634" width="13.125" style="1634" customWidth="1"/>
    <col min="5635" max="5635" width="15.625" style="1634" customWidth="1"/>
    <col min="5636" max="5636" width="9.375" style="1634" bestFit="1" customWidth="1"/>
    <col min="5637" max="5637" width="13.5" style="1634" customWidth="1"/>
    <col min="5638" max="5638" width="8.875" style="1634"/>
    <col min="5639" max="5639" width="9.375" style="1634" bestFit="1" customWidth="1"/>
    <col min="5640" max="5641" width="8.875" style="1634"/>
    <col min="5642" max="5642" width="9.375" style="1634" bestFit="1" customWidth="1"/>
    <col min="5643" max="5643" width="4" style="1634" customWidth="1"/>
    <col min="5644" max="5644" width="5.125" style="1634" customWidth="1"/>
    <col min="5645" max="5645" width="13.875" style="1634" customWidth="1"/>
    <col min="5646" max="5888" width="8.875" style="1634"/>
    <col min="5889" max="5889" width="4.875" style="1634" customWidth="1"/>
    <col min="5890" max="5890" width="13.125" style="1634" customWidth="1"/>
    <col min="5891" max="5891" width="15.625" style="1634" customWidth="1"/>
    <col min="5892" max="5892" width="9.375" style="1634" bestFit="1" customWidth="1"/>
    <col min="5893" max="5893" width="13.5" style="1634" customWidth="1"/>
    <col min="5894" max="5894" width="8.875" style="1634"/>
    <col min="5895" max="5895" width="9.375" style="1634" bestFit="1" customWidth="1"/>
    <col min="5896" max="5897" width="8.875" style="1634"/>
    <col min="5898" max="5898" width="9.375" style="1634" bestFit="1" customWidth="1"/>
    <col min="5899" max="5899" width="4" style="1634" customWidth="1"/>
    <col min="5900" max="5900" width="5.125" style="1634" customWidth="1"/>
    <col min="5901" max="5901" width="13.875" style="1634" customWidth="1"/>
    <col min="5902" max="6144" width="8.875" style="1634"/>
    <col min="6145" max="6145" width="4.875" style="1634" customWidth="1"/>
    <col min="6146" max="6146" width="13.125" style="1634" customWidth="1"/>
    <col min="6147" max="6147" width="15.625" style="1634" customWidth="1"/>
    <col min="6148" max="6148" width="9.375" style="1634" bestFit="1" customWidth="1"/>
    <col min="6149" max="6149" width="13.5" style="1634" customWidth="1"/>
    <col min="6150" max="6150" width="8.875" style="1634"/>
    <col min="6151" max="6151" width="9.375" style="1634" bestFit="1" customWidth="1"/>
    <col min="6152" max="6153" width="8.875" style="1634"/>
    <col min="6154" max="6154" width="9.375" style="1634" bestFit="1" customWidth="1"/>
    <col min="6155" max="6155" width="4" style="1634" customWidth="1"/>
    <col min="6156" max="6156" width="5.125" style="1634" customWidth="1"/>
    <col min="6157" max="6157" width="13.875" style="1634" customWidth="1"/>
    <col min="6158" max="6400" width="8.875" style="1634"/>
    <col min="6401" max="6401" width="4.875" style="1634" customWidth="1"/>
    <col min="6402" max="6402" width="13.125" style="1634" customWidth="1"/>
    <col min="6403" max="6403" width="15.625" style="1634" customWidth="1"/>
    <col min="6404" max="6404" width="9.375" style="1634" bestFit="1" customWidth="1"/>
    <col min="6405" max="6405" width="13.5" style="1634" customWidth="1"/>
    <col min="6406" max="6406" width="8.875" style="1634"/>
    <col min="6407" max="6407" width="9.375" style="1634" bestFit="1" customWidth="1"/>
    <col min="6408" max="6409" width="8.875" style="1634"/>
    <col min="6410" max="6410" width="9.375" style="1634" bestFit="1" customWidth="1"/>
    <col min="6411" max="6411" width="4" style="1634" customWidth="1"/>
    <col min="6412" max="6412" width="5.125" style="1634" customWidth="1"/>
    <col min="6413" max="6413" width="13.875" style="1634" customWidth="1"/>
    <col min="6414" max="6656" width="8.875" style="1634"/>
    <col min="6657" max="6657" width="4.875" style="1634" customWidth="1"/>
    <col min="6658" max="6658" width="13.125" style="1634" customWidth="1"/>
    <col min="6659" max="6659" width="15.625" style="1634" customWidth="1"/>
    <col min="6660" max="6660" width="9.375" style="1634" bestFit="1" customWidth="1"/>
    <col min="6661" max="6661" width="13.5" style="1634" customWidth="1"/>
    <col min="6662" max="6662" width="8.875" style="1634"/>
    <col min="6663" max="6663" width="9.375" style="1634" bestFit="1" customWidth="1"/>
    <col min="6664" max="6665" width="8.875" style="1634"/>
    <col min="6666" max="6666" width="9.375" style="1634" bestFit="1" customWidth="1"/>
    <col min="6667" max="6667" width="4" style="1634" customWidth="1"/>
    <col min="6668" max="6668" width="5.125" style="1634" customWidth="1"/>
    <col min="6669" max="6669" width="13.875" style="1634" customWidth="1"/>
    <col min="6670" max="6912" width="8.875" style="1634"/>
    <col min="6913" max="6913" width="4.875" style="1634" customWidth="1"/>
    <col min="6914" max="6914" width="13.125" style="1634" customWidth="1"/>
    <col min="6915" max="6915" width="15.625" style="1634" customWidth="1"/>
    <col min="6916" max="6916" width="9.375" style="1634" bestFit="1" customWidth="1"/>
    <col min="6917" max="6917" width="13.5" style="1634" customWidth="1"/>
    <col min="6918" max="6918" width="8.875" style="1634"/>
    <col min="6919" max="6919" width="9.375" style="1634" bestFit="1" customWidth="1"/>
    <col min="6920" max="6921" width="8.875" style="1634"/>
    <col min="6922" max="6922" width="9.375" style="1634" bestFit="1" customWidth="1"/>
    <col min="6923" max="6923" width="4" style="1634" customWidth="1"/>
    <col min="6924" max="6924" width="5.125" style="1634" customWidth="1"/>
    <col min="6925" max="6925" width="13.875" style="1634" customWidth="1"/>
    <col min="6926" max="7168" width="8.875" style="1634"/>
    <col min="7169" max="7169" width="4.875" style="1634" customWidth="1"/>
    <col min="7170" max="7170" width="13.125" style="1634" customWidth="1"/>
    <col min="7171" max="7171" width="15.625" style="1634" customWidth="1"/>
    <col min="7172" max="7172" width="9.375" style="1634" bestFit="1" customWidth="1"/>
    <col min="7173" max="7173" width="13.5" style="1634" customWidth="1"/>
    <col min="7174" max="7174" width="8.875" style="1634"/>
    <col min="7175" max="7175" width="9.375" style="1634" bestFit="1" customWidth="1"/>
    <col min="7176" max="7177" width="8.875" style="1634"/>
    <col min="7178" max="7178" width="9.375" style="1634" bestFit="1" customWidth="1"/>
    <col min="7179" max="7179" width="4" style="1634" customWidth="1"/>
    <col min="7180" max="7180" width="5.125" style="1634" customWidth="1"/>
    <col min="7181" max="7181" width="13.875" style="1634" customWidth="1"/>
    <col min="7182" max="7424" width="8.875" style="1634"/>
    <col min="7425" max="7425" width="4.875" style="1634" customWidth="1"/>
    <col min="7426" max="7426" width="13.125" style="1634" customWidth="1"/>
    <col min="7427" max="7427" width="15.625" style="1634" customWidth="1"/>
    <col min="7428" max="7428" width="9.375" style="1634" bestFit="1" customWidth="1"/>
    <col min="7429" max="7429" width="13.5" style="1634" customWidth="1"/>
    <col min="7430" max="7430" width="8.875" style="1634"/>
    <col min="7431" max="7431" width="9.375" style="1634" bestFit="1" customWidth="1"/>
    <col min="7432" max="7433" width="8.875" style="1634"/>
    <col min="7434" max="7434" width="9.375" style="1634" bestFit="1" customWidth="1"/>
    <col min="7435" max="7435" width="4" style="1634" customWidth="1"/>
    <col min="7436" max="7436" width="5.125" style="1634" customWidth="1"/>
    <col min="7437" max="7437" width="13.875" style="1634" customWidth="1"/>
    <col min="7438" max="7680" width="8.875" style="1634"/>
    <col min="7681" max="7681" width="4.875" style="1634" customWidth="1"/>
    <col min="7682" max="7682" width="13.125" style="1634" customWidth="1"/>
    <col min="7683" max="7683" width="15.625" style="1634" customWidth="1"/>
    <col min="7684" max="7684" width="9.375" style="1634" bestFit="1" customWidth="1"/>
    <col min="7685" max="7685" width="13.5" style="1634" customWidth="1"/>
    <col min="7686" max="7686" width="8.875" style="1634"/>
    <col min="7687" max="7687" width="9.375" style="1634" bestFit="1" customWidth="1"/>
    <col min="7688" max="7689" width="8.875" style="1634"/>
    <col min="7690" max="7690" width="9.375" style="1634" bestFit="1" customWidth="1"/>
    <col min="7691" max="7691" width="4" style="1634" customWidth="1"/>
    <col min="7692" max="7692" width="5.125" style="1634" customWidth="1"/>
    <col min="7693" max="7693" width="13.875" style="1634" customWidth="1"/>
    <col min="7694" max="7936" width="8.875" style="1634"/>
    <col min="7937" max="7937" width="4.875" style="1634" customWidth="1"/>
    <col min="7938" max="7938" width="13.125" style="1634" customWidth="1"/>
    <col min="7939" max="7939" width="15.625" style="1634" customWidth="1"/>
    <col min="7940" max="7940" width="9.375" style="1634" bestFit="1" customWidth="1"/>
    <col min="7941" max="7941" width="13.5" style="1634" customWidth="1"/>
    <col min="7942" max="7942" width="8.875" style="1634"/>
    <col min="7943" max="7943" width="9.375" style="1634" bestFit="1" customWidth="1"/>
    <col min="7944" max="7945" width="8.875" style="1634"/>
    <col min="7946" max="7946" width="9.375" style="1634" bestFit="1" customWidth="1"/>
    <col min="7947" max="7947" width="4" style="1634" customWidth="1"/>
    <col min="7948" max="7948" width="5.125" style="1634" customWidth="1"/>
    <col min="7949" max="7949" width="13.875" style="1634" customWidth="1"/>
    <col min="7950" max="8192" width="8.875" style="1634"/>
    <col min="8193" max="8193" width="4.875" style="1634" customWidth="1"/>
    <col min="8194" max="8194" width="13.125" style="1634" customWidth="1"/>
    <col min="8195" max="8195" width="15.625" style="1634" customWidth="1"/>
    <col min="8196" max="8196" width="9.375" style="1634" bestFit="1" customWidth="1"/>
    <col min="8197" max="8197" width="13.5" style="1634" customWidth="1"/>
    <col min="8198" max="8198" width="8.875" style="1634"/>
    <col min="8199" max="8199" width="9.375" style="1634" bestFit="1" customWidth="1"/>
    <col min="8200" max="8201" width="8.875" style="1634"/>
    <col min="8202" max="8202" width="9.375" style="1634" bestFit="1" customWidth="1"/>
    <col min="8203" max="8203" width="4" style="1634" customWidth="1"/>
    <col min="8204" max="8204" width="5.125" style="1634" customWidth="1"/>
    <col min="8205" max="8205" width="13.875" style="1634" customWidth="1"/>
    <col min="8206" max="8448" width="8.875" style="1634"/>
    <col min="8449" max="8449" width="4.875" style="1634" customWidth="1"/>
    <col min="8450" max="8450" width="13.125" style="1634" customWidth="1"/>
    <col min="8451" max="8451" width="15.625" style="1634" customWidth="1"/>
    <col min="8452" max="8452" width="9.375" style="1634" bestFit="1" customWidth="1"/>
    <col min="8453" max="8453" width="13.5" style="1634" customWidth="1"/>
    <col min="8454" max="8454" width="8.875" style="1634"/>
    <col min="8455" max="8455" width="9.375" style="1634" bestFit="1" customWidth="1"/>
    <col min="8456" max="8457" width="8.875" style="1634"/>
    <col min="8458" max="8458" width="9.375" style="1634" bestFit="1" customWidth="1"/>
    <col min="8459" max="8459" width="4" style="1634" customWidth="1"/>
    <col min="8460" max="8460" width="5.125" style="1634" customWidth="1"/>
    <col min="8461" max="8461" width="13.875" style="1634" customWidth="1"/>
    <col min="8462" max="8704" width="8.875" style="1634"/>
    <col min="8705" max="8705" width="4.875" style="1634" customWidth="1"/>
    <col min="8706" max="8706" width="13.125" style="1634" customWidth="1"/>
    <col min="8707" max="8707" width="15.625" style="1634" customWidth="1"/>
    <col min="8708" max="8708" width="9.375" style="1634" bestFit="1" customWidth="1"/>
    <col min="8709" max="8709" width="13.5" style="1634" customWidth="1"/>
    <col min="8710" max="8710" width="8.875" style="1634"/>
    <col min="8711" max="8711" width="9.375" style="1634" bestFit="1" customWidth="1"/>
    <col min="8712" max="8713" width="8.875" style="1634"/>
    <col min="8714" max="8714" width="9.375" style="1634" bestFit="1" customWidth="1"/>
    <col min="8715" max="8715" width="4" style="1634" customWidth="1"/>
    <col min="8716" max="8716" width="5.125" style="1634" customWidth="1"/>
    <col min="8717" max="8717" width="13.875" style="1634" customWidth="1"/>
    <col min="8718" max="8960" width="8.875" style="1634"/>
    <col min="8961" max="8961" width="4.875" style="1634" customWidth="1"/>
    <col min="8962" max="8962" width="13.125" style="1634" customWidth="1"/>
    <col min="8963" max="8963" width="15.625" style="1634" customWidth="1"/>
    <col min="8964" max="8964" width="9.375" style="1634" bestFit="1" customWidth="1"/>
    <col min="8965" max="8965" width="13.5" style="1634" customWidth="1"/>
    <col min="8966" max="8966" width="8.875" style="1634"/>
    <col min="8967" max="8967" width="9.375" style="1634" bestFit="1" customWidth="1"/>
    <col min="8968" max="8969" width="8.875" style="1634"/>
    <col min="8970" max="8970" width="9.375" style="1634" bestFit="1" customWidth="1"/>
    <col min="8971" max="8971" width="4" style="1634" customWidth="1"/>
    <col min="8972" max="8972" width="5.125" style="1634" customWidth="1"/>
    <col min="8973" max="8973" width="13.875" style="1634" customWidth="1"/>
    <col min="8974" max="9216" width="8.875" style="1634"/>
    <col min="9217" max="9217" width="4.875" style="1634" customWidth="1"/>
    <col min="9218" max="9218" width="13.125" style="1634" customWidth="1"/>
    <col min="9219" max="9219" width="15.625" style="1634" customWidth="1"/>
    <col min="9220" max="9220" width="9.375" style="1634" bestFit="1" customWidth="1"/>
    <col min="9221" max="9221" width="13.5" style="1634" customWidth="1"/>
    <col min="9222" max="9222" width="8.875" style="1634"/>
    <col min="9223" max="9223" width="9.375" style="1634" bestFit="1" customWidth="1"/>
    <col min="9224" max="9225" width="8.875" style="1634"/>
    <col min="9226" max="9226" width="9.375" style="1634" bestFit="1" customWidth="1"/>
    <col min="9227" max="9227" width="4" style="1634" customWidth="1"/>
    <col min="9228" max="9228" width="5.125" style="1634" customWidth="1"/>
    <col min="9229" max="9229" width="13.875" style="1634" customWidth="1"/>
    <col min="9230" max="9472" width="8.875" style="1634"/>
    <col min="9473" max="9473" width="4.875" style="1634" customWidth="1"/>
    <col min="9474" max="9474" width="13.125" style="1634" customWidth="1"/>
    <col min="9475" max="9475" width="15.625" style="1634" customWidth="1"/>
    <col min="9476" max="9476" width="9.375" style="1634" bestFit="1" customWidth="1"/>
    <col min="9477" max="9477" width="13.5" style="1634" customWidth="1"/>
    <col min="9478" max="9478" width="8.875" style="1634"/>
    <col min="9479" max="9479" width="9.375" style="1634" bestFit="1" customWidth="1"/>
    <col min="9480" max="9481" width="8.875" style="1634"/>
    <col min="9482" max="9482" width="9.375" style="1634" bestFit="1" customWidth="1"/>
    <col min="9483" max="9483" width="4" style="1634" customWidth="1"/>
    <col min="9484" max="9484" width="5.125" style="1634" customWidth="1"/>
    <col min="9485" max="9485" width="13.875" style="1634" customWidth="1"/>
    <col min="9486" max="9728" width="8.875" style="1634"/>
    <col min="9729" max="9729" width="4.875" style="1634" customWidth="1"/>
    <col min="9730" max="9730" width="13.125" style="1634" customWidth="1"/>
    <col min="9731" max="9731" width="15.625" style="1634" customWidth="1"/>
    <col min="9732" max="9732" width="9.375" style="1634" bestFit="1" customWidth="1"/>
    <col min="9733" max="9733" width="13.5" style="1634" customWidth="1"/>
    <col min="9734" max="9734" width="8.875" style="1634"/>
    <col min="9735" max="9735" width="9.375" style="1634" bestFit="1" customWidth="1"/>
    <col min="9736" max="9737" width="8.875" style="1634"/>
    <col min="9738" max="9738" width="9.375" style="1634" bestFit="1" customWidth="1"/>
    <col min="9739" max="9739" width="4" style="1634" customWidth="1"/>
    <col min="9740" max="9740" width="5.125" style="1634" customWidth="1"/>
    <col min="9741" max="9741" width="13.875" style="1634" customWidth="1"/>
    <col min="9742" max="9984" width="8.875" style="1634"/>
    <col min="9985" max="9985" width="4.875" style="1634" customWidth="1"/>
    <col min="9986" max="9986" width="13.125" style="1634" customWidth="1"/>
    <col min="9987" max="9987" width="15.625" style="1634" customWidth="1"/>
    <col min="9988" max="9988" width="9.375" style="1634" bestFit="1" customWidth="1"/>
    <col min="9989" max="9989" width="13.5" style="1634" customWidth="1"/>
    <col min="9990" max="9990" width="8.875" style="1634"/>
    <col min="9991" max="9991" width="9.375" style="1634" bestFit="1" customWidth="1"/>
    <col min="9992" max="9993" width="8.875" style="1634"/>
    <col min="9994" max="9994" width="9.375" style="1634" bestFit="1" customWidth="1"/>
    <col min="9995" max="9995" width="4" style="1634" customWidth="1"/>
    <col min="9996" max="9996" width="5.125" style="1634" customWidth="1"/>
    <col min="9997" max="9997" width="13.875" style="1634" customWidth="1"/>
    <col min="9998" max="10240" width="8.875" style="1634"/>
    <col min="10241" max="10241" width="4.875" style="1634" customWidth="1"/>
    <col min="10242" max="10242" width="13.125" style="1634" customWidth="1"/>
    <col min="10243" max="10243" width="15.625" style="1634" customWidth="1"/>
    <col min="10244" max="10244" width="9.375" style="1634" bestFit="1" customWidth="1"/>
    <col min="10245" max="10245" width="13.5" style="1634" customWidth="1"/>
    <col min="10246" max="10246" width="8.875" style="1634"/>
    <col min="10247" max="10247" width="9.375" style="1634" bestFit="1" customWidth="1"/>
    <col min="10248" max="10249" width="8.875" style="1634"/>
    <col min="10250" max="10250" width="9.375" style="1634" bestFit="1" customWidth="1"/>
    <col min="10251" max="10251" width="4" style="1634" customWidth="1"/>
    <col min="10252" max="10252" width="5.125" style="1634" customWidth="1"/>
    <col min="10253" max="10253" width="13.875" style="1634" customWidth="1"/>
    <col min="10254" max="10496" width="8.875" style="1634"/>
    <col min="10497" max="10497" width="4.875" style="1634" customWidth="1"/>
    <col min="10498" max="10498" width="13.125" style="1634" customWidth="1"/>
    <col min="10499" max="10499" width="15.625" style="1634" customWidth="1"/>
    <col min="10500" max="10500" width="9.375" style="1634" bestFit="1" customWidth="1"/>
    <col min="10501" max="10501" width="13.5" style="1634" customWidth="1"/>
    <col min="10502" max="10502" width="8.875" style="1634"/>
    <col min="10503" max="10503" width="9.375" style="1634" bestFit="1" customWidth="1"/>
    <col min="10504" max="10505" width="8.875" style="1634"/>
    <col min="10506" max="10506" width="9.375" style="1634" bestFit="1" customWidth="1"/>
    <col min="10507" max="10507" width="4" style="1634" customWidth="1"/>
    <col min="10508" max="10508" width="5.125" style="1634" customWidth="1"/>
    <col min="10509" max="10509" width="13.875" style="1634" customWidth="1"/>
    <col min="10510" max="10752" width="8.875" style="1634"/>
    <col min="10753" max="10753" width="4.875" style="1634" customWidth="1"/>
    <col min="10754" max="10754" width="13.125" style="1634" customWidth="1"/>
    <col min="10755" max="10755" width="15.625" style="1634" customWidth="1"/>
    <col min="10756" max="10756" width="9.375" style="1634" bestFit="1" customWidth="1"/>
    <col min="10757" max="10757" width="13.5" style="1634" customWidth="1"/>
    <col min="10758" max="10758" width="8.875" style="1634"/>
    <col min="10759" max="10759" width="9.375" style="1634" bestFit="1" customWidth="1"/>
    <col min="10760" max="10761" width="8.875" style="1634"/>
    <col min="10762" max="10762" width="9.375" style="1634" bestFit="1" customWidth="1"/>
    <col min="10763" max="10763" width="4" style="1634" customWidth="1"/>
    <col min="10764" max="10764" width="5.125" style="1634" customWidth="1"/>
    <col min="10765" max="10765" width="13.875" style="1634" customWidth="1"/>
    <col min="10766" max="11008" width="8.875" style="1634"/>
    <col min="11009" max="11009" width="4.875" style="1634" customWidth="1"/>
    <col min="11010" max="11010" width="13.125" style="1634" customWidth="1"/>
    <col min="11011" max="11011" width="15.625" style="1634" customWidth="1"/>
    <col min="11012" max="11012" width="9.375" style="1634" bestFit="1" customWidth="1"/>
    <col min="11013" max="11013" width="13.5" style="1634" customWidth="1"/>
    <col min="11014" max="11014" width="8.875" style="1634"/>
    <col min="11015" max="11015" width="9.375" style="1634" bestFit="1" customWidth="1"/>
    <col min="11016" max="11017" width="8.875" style="1634"/>
    <col min="11018" max="11018" width="9.375" style="1634" bestFit="1" customWidth="1"/>
    <col min="11019" max="11019" width="4" style="1634" customWidth="1"/>
    <col min="11020" max="11020" width="5.125" style="1634" customWidth="1"/>
    <col min="11021" max="11021" width="13.875" style="1634" customWidth="1"/>
    <col min="11022" max="11264" width="8.875" style="1634"/>
    <col min="11265" max="11265" width="4.875" style="1634" customWidth="1"/>
    <col min="11266" max="11266" width="13.125" style="1634" customWidth="1"/>
    <col min="11267" max="11267" width="15.625" style="1634" customWidth="1"/>
    <col min="11268" max="11268" width="9.375" style="1634" bestFit="1" customWidth="1"/>
    <col min="11269" max="11269" width="13.5" style="1634" customWidth="1"/>
    <col min="11270" max="11270" width="8.875" style="1634"/>
    <col min="11271" max="11271" width="9.375" style="1634" bestFit="1" customWidth="1"/>
    <col min="11272" max="11273" width="8.875" style="1634"/>
    <col min="11274" max="11274" width="9.375" style="1634" bestFit="1" customWidth="1"/>
    <col min="11275" max="11275" width="4" style="1634" customWidth="1"/>
    <col min="11276" max="11276" width="5.125" style="1634" customWidth="1"/>
    <col min="11277" max="11277" width="13.875" style="1634" customWidth="1"/>
    <col min="11278" max="11520" width="8.875" style="1634"/>
    <col min="11521" max="11521" width="4.875" style="1634" customWidth="1"/>
    <col min="11522" max="11522" width="13.125" style="1634" customWidth="1"/>
    <col min="11523" max="11523" width="15.625" style="1634" customWidth="1"/>
    <col min="11524" max="11524" width="9.375" style="1634" bestFit="1" customWidth="1"/>
    <col min="11525" max="11525" width="13.5" style="1634" customWidth="1"/>
    <col min="11526" max="11526" width="8.875" style="1634"/>
    <col min="11527" max="11527" width="9.375" style="1634" bestFit="1" customWidth="1"/>
    <col min="11528" max="11529" width="8.875" style="1634"/>
    <col min="11530" max="11530" width="9.375" style="1634" bestFit="1" customWidth="1"/>
    <col min="11531" max="11531" width="4" style="1634" customWidth="1"/>
    <col min="11532" max="11532" width="5.125" style="1634" customWidth="1"/>
    <col min="11533" max="11533" width="13.875" style="1634" customWidth="1"/>
    <col min="11534" max="11776" width="8.875" style="1634"/>
    <col min="11777" max="11777" width="4.875" style="1634" customWidth="1"/>
    <col min="11778" max="11778" width="13.125" style="1634" customWidth="1"/>
    <col min="11779" max="11779" width="15.625" style="1634" customWidth="1"/>
    <col min="11780" max="11780" width="9.375" style="1634" bestFit="1" customWidth="1"/>
    <col min="11781" max="11781" width="13.5" style="1634" customWidth="1"/>
    <col min="11782" max="11782" width="8.875" style="1634"/>
    <col min="11783" max="11783" width="9.375" style="1634" bestFit="1" customWidth="1"/>
    <col min="11784" max="11785" width="8.875" style="1634"/>
    <col min="11786" max="11786" width="9.375" style="1634" bestFit="1" customWidth="1"/>
    <col min="11787" max="11787" width="4" style="1634" customWidth="1"/>
    <col min="11788" max="11788" width="5.125" style="1634" customWidth="1"/>
    <col min="11789" max="11789" width="13.875" style="1634" customWidth="1"/>
    <col min="11790" max="12032" width="8.875" style="1634"/>
    <col min="12033" max="12033" width="4.875" style="1634" customWidth="1"/>
    <col min="12034" max="12034" width="13.125" style="1634" customWidth="1"/>
    <col min="12035" max="12035" width="15.625" style="1634" customWidth="1"/>
    <col min="12036" max="12036" width="9.375" style="1634" bestFit="1" customWidth="1"/>
    <col min="12037" max="12037" width="13.5" style="1634" customWidth="1"/>
    <col min="12038" max="12038" width="8.875" style="1634"/>
    <col min="12039" max="12039" width="9.375" style="1634" bestFit="1" customWidth="1"/>
    <col min="12040" max="12041" width="8.875" style="1634"/>
    <col min="12042" max="12042" width="9.375" style="1634" bestFit="1" customWidth="1"/>
    <col min="12043" max="12043" width="4" style="1634" customWidth="1"/>
    <col min="12044" max="12044" width="5.125" style="1634" customWidth="1"/>
    <col min="12045" max="12045" width="13.875" style="1634" customWidth="1"/>
    <col min="12046" max="12288" width="8.875" style="1634"/>
    <col min="12289" max="12289" width="4.875" style="1634" customWidth="1"/>
    <col min="12290" max="12290" width="13.125" style="1634" customWidth="1"/>
    <col min="12291" max="12291" width="15.625" style="1634" customWidth="1"/>
    <col min="12292" max="12292" width="9.375" style="1634" bestFit="1" customWidth="1"/>
    <col min="12293" max="12293" width="13.5" style="1634" customWidth="1"/>
    <col min="12294" max="12294" width="8.875" style="1634"/>
    <col min="12295" max="12295" width="9.375" style="1634" bestFit="1" customWidth="1"/>
    <col min="12296" max="12297" width="8.875" style="1634"/>
    <col min="12298" max="12298" width="9.375" style="1634" bestFit="1" customWidth="1"/>
    <col min="12299" max="12299" width="4" style="1634" customWidth="1"/>
    <col min="12300" max="12300" width="5.125" style="1634" customWidth="1"/>
    <col min="12301" max="12301" width="13.875" style="1634" customWidth="1"/>
    <col min="12302" max="12544" width="8.875" style="1634"/>
    <col min="12545" max="12545" width="4.875" style="1634" customWidth="1"/>
    <col min="12546" max="12546" width="13.125" style="1634" customWidth="1"/>
    <col min="12547" max="12547" width="15.625" style="1634" customWidth="1"/>
    <col min="12548" max="12548" width="9.375" style="1634" bestFit="1" customWidth="1"/>
    <col min="12549" max="12549" width="13.5" style="1634" customWidth="1"/>
    <col min="12550" max="12550" width="8.875" style="1634"/>
    <col min="12551" max="12551" width="9.375" style="1634" bestFit="1" customWidth="1"/>
    <col min="12552" max="12553" width="8.875" style="1634"/>
    <col min="12554" max="12554" width="9.375" style="1634" bestFit="1" customWidth="1"/>
    <col min="12555" max="12555" width="4" style="1634" customWidth="1"/>
    <col min="12556" max="12556" width="5.125" style="1634" customWidth="1"/>
    <col min="12557" max="12557" width="13.875" style="1634" customWidth="1"/>
    <col min="12558" max="12800" width="8.875" style="1634"/>
    <col min="12801" max="12801" width="4.875" style="1634" customWidth="1"/>
    <col min="12802" max="12802" width="13.125" style="1634" customWidth="1"/>
    <col min="12803" max="12803" width="15.625" style="1634" customWidth="1"/>
    <col min="12804" max="12804" width="9.375" style="1634" bestFit="1" customWidth="1"/>
    <col min="12805" max="12805" width="13.5" style="1634" customWidth="1"/>
    <col min="12806" max="12806" width="8.875" style="1634"/>
    <col min="12807" max="12807" width="9.375" style="1634" bestFit="1" customWidth="1"/>
    <col min="12808" max="12809" width="8.875" style="1634"/>
    <col min="12810" max="12810" width="9.375" style="1634" bestFit="1" customWidth="1"/>
    <col min="12811" max="12811" width="4" style="1634" customWidth="1"/>
    <col min="12812" max="12812" width="5.125" style="1634" customWidth="1"/>
    <col min="12813" max="12813" width="13.875" style="1634" customWidth="1"/>
    <col min="12814" max="13056" width="8.875" style="1634"/>
    <col min="13057" max="13057" width="4.875" style="1634" customWidth="1"/>
    <col min="13058" max="13058" width="13.125" style="1634" customWidth="1"/>
    <col min="13059" max="13059" width="15.625" style="1634" customWidth="1"/>
    <col min="13060" max="13060" width="9.375" style="1634" bestFit="1" customWidth="1"/>
    <col min="13061" max="13061" width="13.5" style="1634" customWidth="1"/>
    <col min="13062" max="13062" width="8.875" style="1634"/>
    <col min="13063" max="13063" width="9.375" style="1634" bestFit="1" customWidth="1"/>
    <col min="13064" max="13065" width="8.875" style="1634"/>
    <col min="13066" max="13066" width="9.375" style="1634" bestFit="1" customWidth="1"/>
    <col min="13067" max="13067" width="4" style="1634" customWidth="1"/>
    <col min="13068" max="13068" width="5.125" style="1634" customWidth="1"/>
    <col min="13069" max="13069" width="13.875" style="1634" customWidth="1"/>
    <col min="13070" max="13312" width="8.875" style="1634"/>
    <col min="13313" max="13313" width="4.875" style="1634" customWidth="1"/>
    <col min="13314" max="13314" width="13.125" style="1634" customWidth="1"/>
    <col min="13315" max="13315" width="15.625" style="1634" customWidth="1"/>
    <col min="13316" max="13316" width="9.375" style="1634" bestFit="1" customWidth="1"/>
    <col min="13317" max="13317" width="13.5" style="1634" customWidth="1"/>
    <col min="13318" max="13318" width="8.875" style="1634"/>
    <col min="13319" max="13319" width="9.375" style="1634" bestFit="1" customWidth="1"/>
    <col min="13320" max="13321" width="8.875" style="1634"/>
    <col min="13322" max="13322" width="9.375" style="1634" bestFit="1" customWidth="1"/>
    <col min="13323" max="13323" width="4" style="1634" customWidth="1"/>
    <col min="13324" max="13324" width="5.125" style="1634" customWidth="1"/>
    <col min="13325" max="13325" width="13.875" style="1634" customWidth="1"/>
    <col min="13326" max="13568" width="8.875" style="1634"/>
    <col min="13569" max="13569" width="4.875" style="1634" customWidth="1"/>
    <col min="13570" max="13570" width="13.125" style="1634" customWidth="1"/>
    <col min="13571" max="13571" width="15.625" style="1634" customWidth="1"/>
    <col min="13572" max="13572" width="9.375" style="1634" bestFit="1" customWidth="1"/>
    <col min="13573" max="13573" width="13.5" style="1634" customWidth="1"/>
    <col min="13574" max="13574" width="8.875" style="1634"/>
    <col min="13575" max="13575" width="9.375" style="1634" bestFit="1" customWidth="1"/>
    <col min="13576" max="13577" width="8.875" style="1634"/>
    <col min="13578" max="13578" width="9.375" style="1634" bestFit="1" customWidth="1"/>
    <col min="13579" max="13579" width="4" style="1634" customWidth="1"/>
    <col min="13580" max="13580" width="5.125" style="1634" customWidth="1"/>
    <col min="13581" max="13581" width="13.875" style="1634" customWidth="1"/>
    <col min="13582" max="13824" width="8.875" style="1634"/>
    <col min="13825" max="13825" width="4.875" style="1634" customWidth="1"/>
    <col min="13826" max="13826" width="13.125" style="1634" customWidth="1"/>
    <col min="13827" max="13827" width="15.625" style="1634" customWidth="1"/>
    <col min="13828" max="13828" width="9.375" style="1634" bestFit="1" customWidth="1"/>
    <col min="13829" max="13829" width="13.5" style="1634" customWidth="1"/>
    <col min="13830" max="13830" width="8.875" style="1634"/>
    <col min="13831" max="13831" width="9.375" style="1634" bestFit="1" customWidth="1"/>
    <col min="13832" max="13833" width="8.875" style="1634"/>
    <col min="13834" max="13834" width="9.375" style="1634" bestFit="1" customWidth="1"/>
    <col min="13835" max="13835" width="4" style="1634" customWidth="1"/>
    <col min="13836" max="13836" width="5.125" style="1634" customWidth="1"/>
    <col min="13837" max="13837" width="13.875" style="1634" customWidth="1"/>
    <col min="13838" max="14080" width="8.875" style="1634"/>
    <col min="14081" max="14081" width="4.875" style="1634" customWidth="1"/>
    <col min="14082" max="14082" width="13.125" style="1634" customWidth="1"/>
    <col min="14083" max="14083" width="15.625" style="1634" customWidth="1"/>
    <col min="14084" max="14084" width="9.375" style="1634" bestFit="1" customWidth="1"/>
    <col min="14085" max="14085" width="13.5" style="1634" customWidth="1"/>
    <col min="14086" max="14086" width="8.875" style="1634"/>
    <col min="14087" max="14087" width="9.375" style="1634" bestFit="1" customWidth="1"/>
    <col min="14088" max="14089" width="8.875" style="1634"/>
    <col min="14090" max="14090" width="9.375" style="1634" bestFit="1" customWidth="1"/>
    <col min="14091" max="14091" width="4" style="1634" customWidth="1"/>
    <col min="14092" max="14092" width="5.125" style="1634" customWidth="1"/>
    <col min="14093" max="14093" width="13.875" style="1634" customWidth="1"/>
    <col min="14094" max="14336" width="8.875" style="1634"/>
    <col min="14337" max="14337" width="4.875" style="1634" customWidth="1"/>
    <col min="14338" max="14338" width="13.125" style="1634" customWidth="1"/>
    <col min="14339" max="14339" width="15.625" style="1634" customWidth="1"/>
    <col min="14340" max="14340" width="9.375" style="1634" bestFit="1" customWidth="1"/>
    <col min="14341" max="14341" width="13.5" style="1634" customWidth="1"/>
    <col min="14342" max="14342" width="8.875" style="1634"/>
    <col min="14343" max="14343" width="9.375" style="1634" bestFit="1" customWidth="1"/>
    <col min="14344" max="14345" width="8.875" style="1634"/>
    <col min="14346" max="14346" width="9.375" style="1634" bestFit="1" customWidth="1"/>
    <col min="14347" max="14347" width="4" style="1634" customWidth="1"/>
    <col min="14348" max="14348" width="5.125" style="1634" customWidth="1"/>
    <col min="14349" max="14349" width="13.875" style="1634" customWidth="1"/>
    <col min="14350" max="14592" width="8.875" style="1634"/>
    <col min="14593" max="14593" width="4.875" style="1634" customWidth="1"/>
    <col min="14594" max="14594" width="13.125" style="1634" customWidth="1"/>
    <col min="14595" max="14595" width="15.625" style="1634" customWidth="1"/>
    <col min="14596" max="14596" width="9.375" style="1634" bestFit="1" customWidth="1"/>
    <col min="14597" max="14597" width="13.5" style="1634" customWidth="1"/>
    <col min="14598" max="14598" width="8.875" style="1634"/>
    <col min="14599" max="14599" width="9.375" style="1634" bestFit="1" customWidth="1"/>
    <col min="14600" max="14601" width="8.875" style="1634"/>
    <col min="14602" max="14602" width="9.375" style="1634" bestFit="1" customWidth="1"/>
    <col min="14603" max="14603" width="4" style="1634" customWidth="1"/>
    <col min="14604" max="14604" width="5.125" style="1634" customWidth="1"/>
    <col min="14605" max="14605" width="13.875" style="1634" customWidth="1"/>
    <col min="14606" max="14848" width="8.875" style="1634"/>
    <col min="14849" max="14849" width="4.875" style="1634" customWidth="1"/>
    <col min="14850" max="14850" width="13.125" style="1634" customWidth="1"/>
    <col min="14851" max="14851" width="15.625" style="1634" customWidth="1"/>
    <col min="14852" max="14852" width="9.375" style="1634" bestFit="1" customWidth="1"/>
    <col min="14853" max="14853" width="13.5" style="1634" customWidth="1"/>
    <col min="14854" max="14854" width="8.875" style="1634"/>
    <col min="14855" max="14855" width="9.375" style="1634" bestFit="1" customWidth="1"/>
    <col min="14856" max="14857" width="8.875" style="1634"/>
    <col min="14858" max="14858" width="9.375" style="1634" bestFit="1" customWidth="1"/>
    <col min="14859" max="14859" width="4" style="1634" customWidth="1"/>
    <col min="14860" max="14860" width="5.125" style="1634" customWidth="1"/>
    <col min="14861" max="14861" width="13.875" style="1634" customWidth="1"/>
    <col min="14862" max="15104" width="8.875" style="1634"/>
    <col min="15105" max="15105" width="4.875" style="1634" customWidth="1"/>
    <col min="15106" max="15106" width="13.125" style="1634" customWidth="1"/>
    <col min="15107" max="15107" width="15.625" style="1634" customWidth="1"/>
    <col min="15108" max="15108" width="9.375" style="1634" bestFit="1" customWidth="1"/>
    <col min="15109" max="15109" width="13.5" style="1634" customWidth="1"/>
    <col min="15110" max="15110" width="8.875" style="1634"/>
    <col min="15111" max="15111" width="9.375" style="1634" bestFit="1" customWidth="1"/>
    <col min="15112" max="15113" width="8.875" style="1634"/>
    <col min="15114" max="15114" width="9.375" style="1634" bestFit="1" customWidth="1"/>
    <col min="15115" max="15115" width="4" style="1634" customWidth="1"/>
    <col min="15116" max="15116" width="5.125" style="1634" customWidth="1"/>
    <col min="15117" max="15117" width="13.875" style="1634" customWidth="1"/>
    <col min="15118" max="15360" width="8.875" style="1634"/>
    <col min="15361" max="15361" width="4.875" style="1634" customWidth="1"/>
    <col min="15362" max="15362" width="13.125" style="1634" customWidth="1"/>
    <col min="15363" max="15363" width="15.625" style="1634" customWidth="1"/>
    <col min="15364" max="15364" width="9.375" style="1634" bestFit="1" customWidth="1"/>
    <col min="15365" max="15365" width="13.5" style="1634" customWidth="1"/>
    <col min="15366" max="15366" width="8.875" style="1634"/>
    <col min="15367" max="15367" width="9.375" style="1634" bestFit="1" customWidth="1"/>
    <col min="15368" max="15369" width="8.875" style="1634"/>
    <col min="15370" max="15370" width="9.375" style="1634" bestFit="1" customWidth="1"/>
    <col min="15371" max="15371" width="4" style="1634" customWidth="1"/>
    <col min="15372" max="15372" width="5.125" style="1634" customWidth="1"/>
    <col min="15373" max="15373" width="13.875" style="1634" customWidth="1"/>
    <col min="15374" max="15616" width="8.875" style="1634"/>
    <col min="15617" max="15617" width="4.875" style="1634" customWidth="1"/>
    <col min="15618" max="15618" width="13.125" style="1634" customWidth="1"/>
    <col min="15619" max="15619" width="15.625" style="1634" customWidth="1"/>
    <col min="15620" max="15620" width="9.375" style="1634" bestFit="1" customWidth="1"/>
    <col min="15621" max="15621" width="13.5" style="1634" customWidth="1"/>
    <col min="15622" max="15622" width="8.875" style="1634"/>
    <col min="15623" max="15623" width="9.375" style="1634" bestFit="1" customWidth="1"/>
    <col min="15624" max="15625" width="8.875" style="1634"/>
    <col min="15626" max="15626" width="9.375" style="1634" bestFit="1" customWidth="1"/>
    <col min="15627" max="15627" width="4" style="1634" customWidth="1"/>
    <col min="15628" max="15628" width="5.125" style="1634" customWidth="1"/>
    <col min="15629" max="15629" width="13.875" style="1634" customWidth="1"/>
    <col min="15630" max="15872" width="8.875" style="1634"/>
    <col min="15873" max="15873" width="4.875" style="1634" customWidth="1"/>
    <col min="15874" max="15874" width="13.125" style="1634" customWidth="1"/>
    <col min="15875" max="15875" width="15.625" style="1634" customWidth="1"/>
    <col min="15876" max="15876" width="9.375" style="1634" bestFit="1" customWidth="1"/>
    <col min="15877" max="15877" width="13.5" style="1634" customWidth="1"/>
    <col min="15878" max="15878" width="8.875" style="1634"/>
    <col min="15879" max="15879" width="9.375" style="1634" bestFit="1" customWidth="1"/>
    <col min="15880" max="15881" width="8.875" style="1634"/>
    <col min="15882" max="15882" width="9.375" style="1634" bestFit="1" customWidth="1"/>
    <col min="15883" max="15883" width="4" style="1634" customWidth="1"/>
    <col min="15884" max="15884" width="5.125" style="1634" customWidth="1"/>
    <col min="15885" max="15885" width="13.875" style="1634" customWidth="1"/>
    <col min="15886" max="16128" width="8.875" style="1634"/>
    <col min="16129" max="16129" width="4.875" style="1634" customWidth="1"/>
    <col min="16130" max="16130" width="13.125" style="1634" customWidth="1"/>
    <col min="16131" max="16131" width="15.625" style="1634" customWidth="1"/>
    <col min="16132" max="16132" width="9.375" style="1634" bestFit="1" customWidth="1"/>
    <col min="16133" max="16133" width="13.5" style="1634" customWidth="1"/>
    <col min="16134" max="16134" width="8.875" style="1634"/>
    <col min="16135" max="16135" width="9.375" style="1634" bestFit="1" customWidth="1"/>
    <col min="16136" max="16137" width="8.875" style="1634"/>
    <col min="16138" max="16138" width="9.375" style="1634" bestFit="1" customWidth="1"/>
    <col min="16139" max="16139" width="4" style="1634" customWidth="1"/>
    <col min="16140" max="16140" width="5.125" style="1634" customWidth="1"/>
    <col min="16141" max="16141" width="13.875" style="1634" customWidth="1"/>
    <col min="16142" max="16384" width="8.875" style="1634"/>
  </cols>
  <sheetData>
    <row r="1" spans="1:257" s="1698" customFormat="1" ht="14.25" thickBot="1">
      <c r="A1" s="1692"/>
      <c r="B1" s="1699" t="s">
        <v>1296</v>
      </c>
      <c r="C1" s="1693">
        <f>项目基本情况!D3</f>
        <v>43630</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1" sqref="A31"/>
    </sheetView>
  </sheetViews>
  <sheetFormatPr defaultColWidth="11" defaultRowHeight="13.5"/>
  <sheetData/>
  <phoneticPr fontId="144" type="noConversion"/>
  <pageMargins left="0.75" right="0.75" top="1" bottom="1" header="0.5" footer="0.5"/>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4"/>
  <sheetViews>
    <sheetView topLeftCell="A45" workbookViewId="0">
      <selection activeCell="C144" sqref="C144"/>
    </sheetView>
  </sheetViews>
  <sheetFormatPr defaultRowHeight="13.5"/>
  <cols>
    <col min="3" max="4" width="10.5" customWidth="1"/>
    <col min="5" max="5" width="10.5" style="2996" bestFit="1" customWidth="1"/>
  </cols>
  <sheetData>
    <row r="1" spans="1:5">
      <c r="A1">
        <v>39</v>
      </c>
      <c r="B1">
        <v>1</v>
      </c>
      <c r="C1">
        <v>288.54000000000002</v>
      </c>
      <c r="D1">
        <v>361.97</v>
      </c>
      <c r="E1" s="2996">
        <f>D1*10000/C1</f>
        <v>12544.881125667152</v>
      </c>
    </row>
    <row r="2" spans="1:5">
      <c r="A2">
        <v>38</v>
      </c>
      <c r="B2">
        <v>4</v>
      </c>
      <c r="C2">
        <v>164.23</v>
      </c>
      <c r="D2">
        <v>179.32</v>
      </c>
      <c r="E2" s="2996">
        <f t="shared" ref="E2:E144" si="0">D2*10000/C2</f>
        <v>10918.833343481703</v>
      </c>
    </row>
    <row r="3" spans="1:5">
      <c r="B3">
        <v>3</v>
      </c>
      <c r="C3">
        <v>114.4</v>
      </c>
      <c r="D3">
        <v>139.79</v>
      </c>
      <c r="E3" s="2996">
        <f t="shared" si="0"/>
        <v>12219.405594405594</v>
      </c>
    </row>
    <row r="4" spans="1:5">
      <c r="B4">
        <v>2</v>
      </c>
      <c r="C4">
        <v>114.4</v>
      </c>
      <c r="D4">
        <v>139.79</v>
      </c>
      <c r="E4" s="2996">
        <f t="shared" si="0"/>
        <v>12219.405594405594</v>
      </c>
    </row>
    <row r="5" spans="1:5">
      <c r="B5">
        <v>1</v>
      </c>
      <c r="C5">
        <v>164.23</v>
      </c>
      <c r="D5">
        <v>184.25</v>
      </c>
      <c r="E5" s="2996">
        <f t="shared" si="0"/>
        <v>11219.022103148025</v>
      </c>
    </row>
    <row r="6" spans="1:5">
      <c r="A6">
        <v>37</v>
      </c>
      <c r="B6">
        <v>4</v>
      </c>
      <c r="C6">
        <v>164.23</v>
      </c>
      <c r="D6">
        <v>180.97</v>
      </c>
      <c r="E6" s="2996">
        <f t="shared" si="0"/>
        <v>11019.30219813676</v>
      </c>
    </row>
    <row r="7" spans="1:5">
      <c r="B7">
        <v>3</v>
      </c>
      <c r="C7">
        <v>114.4</v>
      </c>
      <c r="D7">
        <v>140.93</v>
      </c>
      <c r="E7" s="2996">
        <f t="shared" si="0"/>
        <v>12319.055944055943</v>
      </c>
    </row>
    <row r="8" spans="1:5">
      <c r="B8">
        <v>2</v>
      </c>
      <c r="C8">
        <v>114.4</v>
      </c>
      <c r="D8">
        <v>140.93</v>
      </c>
      <c r="E8" s="2996">
        <f t="shared" si="0"/>
        <v>12319.055944055943</v>
      </c>
    </row>
    <row r="9" spans="1:5">
      <c r="B9">
        <v>1</v>
      </c>
      <c r="C9">
        <v>164.23</v>
      </c>
      <c r="D9">
        <v>185.89</v>
      </c>
      <c r="E9" s="2996">
        <f t="shared" si="0"/>
        <v>11318.882055653656</v>
      </c>
    </row>
    <row r="10" spans="1:5">
      <c r="A10">
        <v>36</v>
      </c>
      <c r="B10">
        <v>4</v>
      </c>
      <c r="C10">
        <v>164.23</v>
      </c>
      <c r="D10">
        <v>182.61</v>
      </c>
      <c r="E10" s="2996">
        <f t="shared" si="0"/>
        <v>11119.162150642394</v>
      </c>
    </row>
    <row r="11" spans="1:5">
      <c r="B11">
        <v>3</v>
      </c>
      <c r="C11">
        <v>114.4</v>
      </c>
      <c r="D11">
        <v>142.07</v>
      </c>
      <c r="E11" s="2996">
        <f t="shared" si="0"/>
        <v>12418.706293706293</v>
      </c>
    </row>
    <row r="12" spans="1:5">
      <c r="B12">
        <v>2</v>
      </c>
      <c r="C12">
        <v>114.4</v>
      </c>
      <c r="D12">
        <v>142.07</v>
      </c>
      <c r="E12" s="2996">
        <f t="shared" si="0"/>
        <v>12418.706293706293</v>
      </c>
    </row>
    <row r="13" spans="1:5">
      <c r="B13">
        <v>1</v>
      </c>
      <c r="C13">
        <v>164.23</v>
      </c>
      <c r="D13">
        <v>187.53</v>
      </c>
      <c r="E13" s="2996">
        <f t="shared" si="0"/>
        <v>11418.74200815929</v>
      </c>
    </row>
    <row r="14" spans="1:5">
      <c r="A14">
        <v>35</v>
      </c>
      <c r="B14">
        <v>4</v>
      </c>
      <c r="C14">
        <v>164.23</v>
      </c>
      <c r="D14">
        <v>183.43</v>
      </c>
      <c r="E14" s="2996">
        <f t="shared" si="0"/>
        <v>11169.092126895208</v>
      </c>
    </row>
    <row r="15" spans="1:5">
      <c r="B15">
        <v>3</v>
      </c>
      <c r="C15">
        <v>114.4</v>
      </c>
      <c r="D15">
        <v>142.65</v>
      </c>
      <c r="E15" s="2996">
        <f t="shared" si="0"/>
        <v>12469.405594405594</v>
      </c>
    </row>
    <row r="16" spans="1:5">
      <c r="B16">
        <v>2</v>
      </c>
      <c r="C16">
        <v>114.4</v>
      </c>
      <c r="D16">
        <v>142.65</v>
      </c>
      <c r="E16" s="2996">
        <f t="shared" si="0"/>
        <v>12469.405594405594</v>
      </c>
    </row>
    <row r="17" spans="1:5">
      <c r="B17">
        <v>1</v>
      </c>
      <c r="C17">
        <v>164.23</v>
      </c>
      <c r="D17">
        <v>188.36</v>
      </c>
      <c r="E17" s="2996">
        <f t="shared" si="0"/>
        <v>11469.280886561532</v>
      </c>
    </row>
    <row r="18" spans="1:5">
      <c r="A18">
        <v>34</v>
      </c>
      <c r="B18">
        <v>4</v>
      </c>
      <c r="C18">
        <v>164.23</v>
      </c>
      <c r="D18">
        <v>184.25</v>
      </c>
      <c r="E18" s="2996">
        <f t="shared" si="0"/>
        <v>11219.022103148025</v>
      </c>
    </row>
    <row r="19" spans="1:5">
      <c r="B19">
        <v>3</v>
      </c>
      <c r="C19">
        <v>114.4</v>
      </c>
      <c r="D19">
        <v>143.22</v>
      </c>
      <c r="E19" s="2996">
        <f t="shared" si="0"/>
        <v>12519.23076923077</v>
      </c>
    </row>
    <row r="20" spans="1:5">
      <c r="B20">
        <v>2</v>
      </c>
      <c r="C20">
        <v>114.4</v>
      </c>
      <c r="D20">
        <v>143.22</v>
      </c>
      <c r="E20" s="2996">
        <f t="shared" si="0"/>
        <v>12519.23076923077</v>
      </c>
    </row>
    <row r="21" spans="1:5">
      <c r="B21">
        <v>1</v>
      </c>
      <c r="C21">
        <v>164.23</v>
      </c>
      <c r="D21">
        <v>189.18</v>
      </c>
      <c r="E21" s="2996">
        <f t="shared" si="0"/>
        <v>11519.210862814347</v>
      </c>
    </row>
    <row r="22" spans="1:5">
      <c r="A22">
        <v>33</v>
      </c>
      <c r="B22">
        <v>4</v>
      </c>
      <c r="C22">
        <v>164.23</v>
      </c>
      <c r="D22">
        <v>185.07</v>
      </c>
      <c r="E22" s="2996">
        <f t="shared" si="0"/>
        <v>11268.95207940084</v>
      </c>
    </row>
    <row r="23" spans="1:5">
      <c r="B23">
        <v>3</v>
      </c>
      <c r="C23">
        <v>114.4</v>
      </c>
      <c r="D23">
        <v>143.79</v>
      </c>
      <c r="E23" s="2996">
        <f t="shared" si="0"/>
        <v>12569.055944055943</v>
      </c>
    </row>
    <row r="24" spans="1:5">
      <c r="B24">
        <v>2</v>
      </c>
      <c r="C24">
        <v>114.4</v>
      </c>
      <c r="D24">
        <v>143.79</v>
      </c>
      <c r="E24" s="2996">
        <f t="shared" si="0"/>
        <v>12569.055944055943</v>
      </c>
    </row>
    <row r="25" spans="1:5">
      <c r="B25">
        <v>1</v>
      </c>
      <c r="C25">
        <v>164.23</v>
      </c>
      <c r="D25">
        <v>190</v>
      </c>
      <c r="E25" s="2996">
        <f t="shared" si="0"/>
        <v>11569.140839067162</v>
      </c>
    </row>
    <row r="26" spans="1:5">
      <c r="A26">
        <v>32</v>
      </c>
      <c r="B26">
        <v>4</v>
      </c>
      <c r="C26">
        <v>164.23</v>
      </c>
      <c r="D26">
        <v>185.89</v>
      </c>
      <c r="E26" s="2996">
        <f t="shared" si="0"/>
        <v>11318.882055653656</v>
      </c>
    </row>
    <row r="27" spans="1:5">
      <c r="B27">
        <v>3</v>
      </c>
      <c r="C27">
        <v>114.4</v>
      </c>
      <c r="D27">
        <v>144.36000000000001</v>
      </c>
      <c r="E27" s="2996">
        <f t="shared" si="0"/>
        <v>12618.88111888112</v>
      </c>
    </row>
    <row r="28" spans="1:5">
      <c r="B28">
        <v>2</v>
      </c>
      <c r="C28">
        <v>114.4</v>
      </c>
      <c r="D28">
        <v>144.36000000000001</v>
      </c>
      <c r="E28" s="2996">
        <f t="shared" si="0"/>
        <v>12618.88111888112</v>
      </c>
    </row>
    <row r="29" spans="1:5">
      <c r="B29">
        <v>1</v>
      </c>
      <c r="C29">
        <v>164.23</v>
      </c>
      <c r="D29">
        <v>190.82</v>
      </c>
      <c r="E29" s="2996">
        <f t="shared" si="0"/>
        <v>11619.070815319979</v>
      </c>
    </row>
    <row r="30" spans="1:5">
      <c r="A30">
        <v>31</v>
      </c>
      <c r="B30">
        <v>4</v>
      </c>
      <c r="C30">
        <v>164.23</v>
      </c>
      <c r="D30">
        <v>186.71</v>
      </c>
      <c r="E30" s="2996">
        <f t="shared" si="0"/>
        <v>11368.812031906473</v>
      </c>
    </row>
    <row r="31" spans="1:5">
      <c r="B31">
        <v>3</v>
      </c>
      <c r="C31">
        <v>114.4</v>
      </c>
      <c r="D31">
        <v>144.93</v>
      </c>
      <c r="E31" s="2996">
        <f t="shared" si="0"/>
        <v>12668.706293706293</v>
      </c>
    </row>
    <row r="32" spans="1:5">
      <c r="B32">
        <v>2</v>
      </c>
      <c r="C32">
        <v>114.4</v>
      </c>
      <c r="D32">
        <v>144.93</v>
      </c>
      <c r="E32" s="2996">
        <f t="shared" si="0"/>
        <v>12668.706293706293</v>
      </c>
    </row>
    <row r="33" spans="1:5">
      <c r="B33">
        <v>1</v>
      </c>
      <c r="C33">
        <v>164.23</v>
      </c>
      <c r="D33">
        <v>191.64</v>
      </c>
      <c r="E33" s="2996">
        <f t="shared" si="0"/>
        <v>11669.000791572793</v>
      </c>
    </row>
    <row r="34" spans="1:5">
      <c r="A34">
        <v>30</v>
      </c>
      <c r="B34">
        <v>3</v>
      </c>
      <c r="C34">
        <v>117.86</v>
      </c>
      <c r="D34">
        <v>149.91</v>
      </c>
      <c r="E34" s="2996">
        <f t="shared" si="0"/>
        <v>12719.328016290514</v>
      </c>
    </row>
    <row r="35" spans="1:5">
      <c r="B35">
        <v>2</v>
      </c>
      <c r="C35">
        <v>117.86</v>
      </c>
      <c r="D35">
        <v>149.91</v>
      </c>
      <c r="E35" s="2996">
        <f t="shared" si="0"/>
        <v>12719.328016290514</v>
      </c>
    </row>
    <row r="36" spans="1:5">
      <c r="B36">
        <v>1</v>
      </c>
      <c r="C36">
        <v>169.2</v>
      </c>
      <c r="D36">
        <v>198.29</v>
      </c>
      <c r="E36" s="2996">
        <f t="shared" si="0"/>
        <v>11719.267139479905</v>
      </c>
    </row>
    <row r="37" spans="1:5">
      <c r="A37">
        <v>29</v>
      </c>
      <c r="B37">
        <v>3</v>
      </c>
      <c r="C37">
        <v>117.86</v>
      </c>
      <c r="D37">
        <v>150.5</v>
      </c>
      <c r="E37" s="2996">
        <f t="shared" si="0"/>
        <v>12769.387408790089</v>
      </c>
    </row>
    <row r="38" spans="1:5">
      <c r="B38">
        <v>2</v>
      </c>
      <c r="C38">
        <v>117.86</v>
      </c>
      <c r="D38">
        <v>150.5</v>
      </c>
      <c r="E38" s="2996">
        <f t="shared" si="0"/>
        <v>12769.387408790089</v>
      </c>
    </row>
    <row r="39" spans="1:5">
      <c r="B39">
        <v>1</v>
      </c>
      <c r="C39">
        <v>169.2</v>
      </c>
      <c r="D39">
        <v>199.13</v>
      </c>
      <c r="E39" s="2996">
        <f t="shared" si="0"/>
        <v>11768.912529550827</v>
      </c>
    </row>
    <row r="40" spans="1:5">
      <c r="A40">
        <v>27</v>
      </c>
      <c r="B40">
        <v>4</v>
      </c>
      <c r="C40">
        <v>163.34</v>
      </c>
      <c r="D40">
        <v>188.97</v>
      </c>
      <c r="E40" s="2996">
        <f t="shared" si="0"/>
        <v>11569.119627770295</v>
      </c>
    </row>
    <row r="41" spans="1:5">
      <c r="B41">
        <v>3</v>
      </c>
      <c r="C41">
        <v>114.42</v>
      </c>
      <c r="D41">
        <v>147.25</v>
      </c>
      <c r="E41" s="2996">
        <f t="shared" si="0"/>
        <v>12869.253626988289</v>
      </c>
    </row>
    <row r="42" spans="1:5">
      <c r="B42">
        <v>2</v>
      </c>
      <c r="C42">
        <v>114.42</v>
      </c>
      <c r="D42">
        <v>147.25</v>
      </c>
      <c r="E42" s="2996">
        <f t="shared" si="0"/>
        <v>12869.253626988289</v>
      </c>
    </row>
    <row r="43" spans="1:5">
      <c r="B43">
        <v>1</v>
      </c>
      <c r="C43">
        <v>164.25</v>
      </c>
      <c r="D43">
        <v>194.95</v>
      </c>
      <c r="E43" s="2996">
        <f t="shared" si="0"/>
        <v>11869.10197869102</v>
      </c>
    </row>
    <row r="44" spans="1:5">
      <c r="A44">
        <v>26</v>
      </c>
      <c r="B44">
        <v>4</v>
      </c>
      <c r="C44">
        <v>164.23</v>
      </c>
      <c r="D44">
        <v>190.82</v>
      </c>
      <c r="E44" s="2996">
        <f t="shared" si="0"/>
        <v>11619.070815319979</v>
      </c>
    </row>
    <row r="45" spans="1:5">
      <c r="B45">
        <v>3</v>
      </c>
      <c r="C45">
        <v>114.4</v>
      </c>
      <c r="D45">
        <v>147.79</v>
      </c>
      <c r="E45" s="2996">
        <f t="shared" si="0"/>
        <v>12918.706293706293</v>
      </c>
    </row>
    <row r="46" spans="1:5">
      <c r="B46">
        <v>2</v>
      </c>
      <c r="C46">
        <v>114.4</v>
      </c>
      <c r="D46">
        <v>147.79</v>
      </c>
      <c r="E46" s="2996">
        <f t="shared" si="0"/>
        <v>12918.706293706293</v>
      </c>
    </row>
    <row r="47" spans="1:5">
      <c r="B47">
        <v>1</v>
      </c>
      <c r="C47">
        <v>164.23</v>
      </c>
      <c r="D47">
        <v>195.75</v>
      </c>
      <c r="E47" s="2996">
        <f t="shared" si="0"/>
        <v>11919.259574986301</v>
      </c>
    </row>
    <row r="48" spans="1:5">
      <c r="A48">
        <v>25</v>
      </c>
      <c r="B48">
        <v>4</v>
      </c>
      <c r="C48">
        <v>164.23</v>
      </c>
      <c r="D48">
        <v>191.64</v>
      </c>
      <c r="E48" s="2996">
        <f t="shared" si="0"/>
        <v>11669.000791572793</v>
      </c>
    </row>
    <row r="49" spans="1:5">
      <c r="B49">
        <v>3</v>
      </c>
      <c r="C49">
        <v>114.4</v>
      </c>
      <c r="D49">
        <v>148.37</v>
      </c>
      <c r="E49" s="2996">
        <f t="shared" si="0"/>
        <v>12969.405594405594</v>
      </c>
    </row>
    <row r="50" spans="1:5">
      <c r="B50">
        <v>2</v>
      </c>
      <c r="C50">
        <v>114.4</v>
      </c>
      <c r="D50">
        <v>148.37</v>
      </c>
      <c r="E50" s="2996">
        <f t="shared" si="0"/>
        <v>12969.405594405594</v>
      </c>
    </row>
    <row r="51" spans="1:5">
      <c r="B51">
        <v>1</v>
      </c>
      <c r="C51">
        <v>164.23</v>
      </c>
      <c r="D51">
        <v>196.57</v>
      </c>
      <c r="E51" s="2996">
        <f t="shared" si="0"/>
        <v>11969.189551239117</v>
      </c>
    </row>
    <row r="52" spans="1:5">
      <c r="A52">
        <v>24</v>
      </c>
      <c r="B52">
        <v>4</v>
      </c>
      <c r="C52">
        <v>164.23</v>
      </c>
      <c r="D52">
        <v>192.46</v>
      </c>
      <c r="E52" s="2996">
        <f t="shared" si="0"/>
        <v>11718.930767825612</v>
      </c>
    </row>
    <row r="53" spans="1:5">
      <c r="B53">
        <v>3</v>
      </c>
      <c r="C53">
        <v>114.4</v>
      </c>
      <c r="D53">
        <v>148.94</v>
      </c>
      <c r="E53" s="2996">
        <f t="shared" si="0"/>
        <v>13019.230769230768</v>
      </c>
    </row>
    <row r="54" spans="1:5">
      <c r="B54">
        <v>2</v>
      </c>
      <c r="C54">
        <v>114.4</v>
      </c>
      <c r="D54">
        <v>148.94</v>
      </c>
      <c r="E54" s="2996">
        <f t="shared" si="0"/>
        <v>13019.230769230768</v>
      </c>
    </row>
    <row r="55" spans="1:5">
      <c r="B55">
        <v>1</v>
      </c>
      <c r="C55">
        <v>164.23</v>
      </c>
      <c r="D55">
        <v>197.39</v>
      </c>
      <c r="E55" s="2996">
        <f t="shared" si="0"/>
        <v>12019.119527491932</v>
      </c>
    </row>
    <row r="56" spans="1:5">
      <c r="A56">
        <v>23</v>
      </c>
      <c r="B56">
        <v>4</v>
      </c>
      <c r="C56">
        <v>164.23</v>
      </c>
      <c r="D56">
        <v>193.28</v>
      </c>
      <c r="E56" s="2996">
        <f t="shared" si="0"/>
        <v>11768.860744078427</v>
      </c>
    </row>
    <row r="57" spans="1:5">
      <c r="B57">
        <v>3</v>
      </c>
      <c r="C57">
        <v>114.4</v>
      </c>
      <c r="D57">
        <v>149.51</v>
      </c>
      <c r="E57" s="2996">
        <f t="shared" si="0"/>
        <v>13069.055944055943</v>
      </c>
    </row>
    <row r="58" spans="1:5">
      <c r="B58">
        <v>2</v>
      </c>
      <c r="C58">
        <v>114.4</v>
      </c>
      <c r="D58">
        <v>149.51</v>
      </c>
      <c r="E58" s="2996">
        <f t="shared" si="0"/>
        <v>13069.055944055943</v>
      </c>
    </row>
    <row r="59" spans="1:5">
      <c r="B59">
        <v>1</v>
      </c>
      <c r="C59">
        <v>164.23</v>
      </c>
      <c r="D59">
        <v>198.21</v>
      </c>
      <c r="E59" s="2996">
        <f t="shared" si="0"/>
        <v>12069.049503744749</v>
      </c>
    </row>
    <row r="60" spans="1:5">
      <c r="A60">
        <v>22</v>
      </c>
      <c r="B60">
        <v>4</v>
      </c>
      <c r="C60">
        <v>164.23</v>
      </c>
      <c r="D60">
        <v>192.46</v>
      </c>
      <c r="E60" s="2996">
        <f t="shared" si="0"/>
        <v>11718.930767825612</v>
      </c>
    </row>
    <row r="61" spans="1:5">
      <c r="B61">
        <v>3</v>
      </c>
      <c r="C61">
        <v>114.4</v>
      </c>
      <c r="D61">
        <v>148.94</v>
      </c>
      <c r="E61" s="2996">
        <f t="shared" si="0"/>
        <v>13019.230769230768</v>
      </c>
    </row>
    <row r="62" spans="1:5">
      <c r="B62">
        <v>2</v>
      </c>
      <c r="C62">
        <v>114.4</v>
      </c>
      <c r="D62">
        <v>148.94</v>
      </c>
      <c r="E62" s="2996">
        <f t="shared" si="0"/>
        <v>13019.230769230768</v>
      </c>
    </row>
    <row r="63" spans="1:5">
      <c r="B63">
        <v>1</v>
      </c>
      <c r="C63">
        <v>164.23</v>
      </c>
      <c r="D63">
        <v>197.39</v>
      </c>
      <c r="E63" s="2996">
        <f t="shared" si="0"/>
        <v>12019.119527491932</v>
      </c>
    </row>
    <row r="64" spans="1:5">
      <c r="A64">
        <v>21</v>
      </c>
      <c r="B64">
        <v>4</v>
      </c>
      <c r="C64">
        <v>164.23</v>
      </c>
      <c r="D64">
        <v>191.64</v>
      </c>
      <c r="E64" s="2996">
        <f t="shared" si="0"/>
        <v>11669.000791572793</v>
      </c>
    </row>
    <row r="65" spans="1:5">
      <c r="B65">
        <v>3</v>
      </c>
      <c r="C65">
        <v>114.4</v>
      </c>
      <c r="D65">
        <v>148.37</v>
      </c>
      <c r="E65" s="2996">
        <f t="shared" si="0"/>
        <v>12969.405594405594</v>
      </c>
    </row>
    <row r="66" spans="1:5">
      <c r="B66">
        <v>2</v>
      </c>
      <c r="C66">
        <v>114.4</v>
      </c>
      <c r="D66">
        <v>148.37</v>
      </c>
      <c r="E66" s="2996">
        <f t="shared" si="0"/>
        <v>12969.405594405594</v>
      </c>
    </row>
    <row r="67" spans="1:5">
      <c r="B67">
        <v>1</v>
      </c>
      <c r="C67">
        <v>164.23</v>
      </c>
      <c r="D67">
        <v>196.57</v>
      </c>
      <c r="E67" s="2996">
        <f t="shared" si="0"/>
        <v>11969.189551239117</v>
      </c>
    </row>
    <row r="68" spans="1:5">
      <c r="A68">
        <v>20</v>
      </c>
      <c r="B68">
        <v>4</v>
      </c>
      <c r="C68">
        <v>164.23</v>
      </c>
      <c r="D68">
        <v>190.82</v>
      </c>
      <c r="E68" s="2996">
        <f t="shared" si="0"/>
        <v>11619.070815319979</v>
      </c>
    </row>
    <row r="69" spans="1:5">
      <c r="B69">
        <v>3</v>
      </c>
      <c r="C69">
        <v>114.4</v>
      </c>
      <c r="D69">
        <v>147.79</v>
      </c>
      <c r="E69" s="2996">
        <f t="shared" si="0"/>
        <v>12918.706293706293</v>
      </c>
    </row>
    <row r="70" spans="1:5">
      <c r="B70">
        <v>2</v>
      </c>
      <c r="C70">
        <v>114.4</v>
      </c>
      <c r="D70">
        <v>147.79</v>
      </c>
      <c r="E70" s="2996">
        <f t="shared" si="0"/>
        <v>12918.706293706293</v>
      </c>
    </row>
    <row r="71" spans="1:5">
      <c r="B71">
        <v>1</v>
      </c>
      <c r="C71">
        <v>164.23</v>
      </c>
      <c r="D71">
        <v>195.75</v>
      </c>
      <c r="E71" s="2996">
        <f t="shared" si="0"/>
        <v>11919.259574986301</v>
      </c>
    </row>
    <row r="72" spans="1:5">
      <c r="A72">
        <v>19</v>
      </c>
      <c r="B72">
        <v>4</v>
      </c>
      <c r="C72">
        <v>164.23</v>
      </c>
      <c r="D72">
        <v>190</v>
      </c>
      <c r="E72" s="2996">
        <f t="shared" si="0"/>
        <v>11569.140839067162</v>
      </c>
    </row>
    <row r="73" spans="1:5">
      <c r="B73">
        <v>3</v>
      </c>
      <c r="C73">
        <v>114.4</v>
      </c>
      <c r="D73">
        <v>147.22</v>
      </c>
      <c r="E73" s="2996">
        <f t="shared" si="0"/>
        <v>12868.881118881118</v>
      </c>
    </row>
    <row r="74" spans="1:5">
      <c r="B74">
        <v>2</v>
      </c>
      <c r="C74">
        <v>114.4</v>
      </c>
      <c r="D74">
        <v>147.22</v>
      </c>
      <c r="E74" s="2996">
        <f t="shared" si="0"/>
        <v>12868.881118881118</v>
      </c>
    </row>
    <row r="75" spans="1:5">
      <c r="B75">
        <v>1</v>
      </c>
      <c r="C75">
        <v>164.23</v>
      </c>
      <c r="D75">
        <v>194.92</v>
      </c>
      <c r="E75" s="2996">
        <f t="shared" si="0"/>
        <v>11868.720696584058</v>
      </c>
    </row>
    <row r="76" spans="1:5">
      <c r="A76">
        <v>18</v>
      </c>
      <c r="B76">
        <v>4</v>
      </c>
      <c r="C76">
        <v>164.23</v>
      </c>
      <c r="D76">
        <v>189.18</v>
      </c>
      <c r="E76" s="2996">
        <f t="shared" si="0"/>
        <v>11519.210862814347</v>
      </c>
    </row>
    <row r="77" spans="1:5">
      <c r="B77">
        <v>3</v>
      </c>
      <c r="C77">
        <v>114.4</v>
      </c>
      <c r="D77">
        <v>146.65</v>
      </c>
      <c r="E77" s="2996">
        <f t="shared" si="0"/>
        <v>12819.055944055943</v>
      </c>
    </row>
    <row r="78" spans="1:5">
      <c r="B78">
        <v>2</v>
      </c>
      <c r="C78">
        <v>114.4</v>
      </c>
      <c r="D78">
        <v>146.65</v>
      </c>
      <c r="E78" s="2996">
        <f t="shared" si="0"/>
        <v>12819.055944055943</v>
      </c>
    </row>
    <row r="79" spans="1:5">
      <c r="B79">
        <v>1</v>
      </c>
      <c r="C79">
        <v>164.23</v>
      </c>
      <c r="D79">
        <v>194.1</v>
      </c>
      <c r="E79" s="2996">
        <f t="shared" si="0"/>
        <v>11818.790720331244</v>
      </c>
    </row>
    <row r="80" spans="1:5">
      <c r="A80">
        <v>17</v>
      </c>
      <c r="B80">
        <v>4</v>
      </c>
      <c r="C80">
        <v>164.23</v>
      </c>
      <c r="D80">
        <v>188.36</v>
      </c>
      <c r="E80" s="2996">
        <f t="shared" si="0"/>
        <v>11469.280886561532</v>
      </c>
    </row>
    <row r="81" spans="1:5">
      <c r="B81">
        <v>3</v>
      </c>
      <c r="C81">
        <v>114.4</v>
      </c>
      <c r="D81">
        <v>146.08000000000001</v>
      </c>
      <c r="E81" s="2996">
        <f t="shared" si="0"/>
        <v>12769.230769230771</v>
      </c>
    </row>
    <row r="82" spans="1:5">
      <c r="B82">
        <v>2</v>
      </c>
      <c r="C82">
        <v>114.4</v>
      </c>
      <c r="D82">
        <v>146.08000000000001</v>
      </c>
      <c r="E82" s="2996">
        <f t="shared" si="0"/>
        <v>12769.230769230771</v>
      </c>
    </row>
    <row r="83" spans="1:5">
      <c r="B83">
        <v>1</v>
      </c>
      <c r="C83">
        <v>164.23</v>
      </c>
      <c r="D83">
        <v>193.28</v>
      </c>
      <c r="E83" s="2996">
        <f t="shared" si="0"/>
        <v>11768.860744078427</v>
      </c>
    </row>
    <row r="84" spans="1:5">
      <c r="A84">
        <v>16</v>
      </c>
      <c r="B84">
        <v>4</v>
      </c>
      <c r="C84">
        <v>164.23</v>
      </c>
      <c r="D84">
        <v>187.53</v>
      </c>
      <c r="E84" s="2996">
        <f t="shared" si="0"/>
        <v>11418.74200815929</v>
      </c>
    </row>
    <row r="85" spans="1:5">
      <c r="B85">
        <v>3</v>
      </c>
      <c r="C85">
        <v>114.4</v>
      </c>
      <c r="D85">
        <v>145.51</v>
      </c>
      <c r="E85" s="2996">
        <f t="shared" si="0"/>
        <v>12719.405594405594</v>
      </c>
    </row>
    <row r="86" spans="1:5">
      <c r="B86">
        <v>2</v>
      </c>
      <c r="C86">
        <v>114.4</v>
      </c>
      <c r="D86">
        <v>145.51</v>
      </c>
      <c r="E86" s="2996">
        <f t="shared" si="0"/>
        <v>12719.405594405594</v>
      </c>
    </row>
    <row r="87" spans="1:5">
      <c r="B87">
        <v>1</v>
      </c>
      <c r="C87">
        <v>164.23</v>
      </c>
      <c r="D87">
        <v>192.46</v>
      </c>
      <c r="E87" s="2996">
        <f t="shared" si="0"/>
        <v>11718.930767825612</v>
      </c>
    </row>
    <row r="88" spans="1:5">
      <c r="A88">
        <v>14</v>
      </c>
      <c r="B88">
        <v>4</v>
      </c>
      <c r="C88">
        <v>164.23</v>
      </c>
      <c r="D88">
        <v>185.89</v>
      </c>
      <c r="E88" s="2996">
        <f t="shared" si="0"/>
        <v>11318.882055653656</v>
      </c>
    </row>
    <row r="89" spans="1:5">
      <c r="B89">
        <v>3</v>
      </c>
      <c r="C89">
        <v>114.43</v>
      </c>
      <c r="D89">
        <v>144.4</v>
      </c>
      <c r="E89" s="2996">
        <f t="shared" si="0"/>
        <v>12619.068426112033</v>
      </c>
    </row>
    <row r="90" spans="1:5">
      <c r="B90">
        <v>2</v>
      </c>
      <c r="C90">
        <v>114.43</v>
      </c>
      <c r="D90">
        <v>144.4</v>
      </c>
      <c r="E90" s="2996">
        <f t="shared" si="0"/>
        <v>12619.068426112033</v>
      </c>
    </row>
    <row r="91" spans="1:5">
      <c r="B91">
        <v>1</v>
      </c>
      <c r="C91">
        <v>164.23</v>
      </c>
      <c r="D91">
        <v>190.82</v>
      </c>
      <c r="E91" s="2996">
        <f t="shared" si="0"/>
        <v>11619.070815319979</v>
      </c>
    </row>
    <row r="92" spans="1:5">
      <c r="A92">
        <v>13</v>
      </c>
      <c r="B92">
        <v>4</v>
      </c>
      <c r="C92">
        <v>164.23</v>
      </c>
      <c r="D92">
        <v>185.07</v>
      </c>
      <c r="E92" s="2996">
        <f t="shared" si="0"/>
        <v>11268.95207940084</v>
      </c>
    </row>
    <row r="93" spans="1:5">
      <c r="B93">
        <v>3</v>
      </c>
      <c r="C93">
        <v>114.43</v>
      </c>
      <c r="D93">
        <v>143.83000000000001</v>
      </c>
      <c r="E93" s="2996">
        <f t="shared" si="0"/>
        <v>12569.256313903697</v>
      </c>
    </row>
    <row r="94" spans="1:5">
      <c r="B94">
        <v>2</v>
      </c>
      <c r="C94">
        <v>114.43</v>
      </c>
      <c r="D94">
        <v>143.83000000000001</v>
      </c>
      <c r="E94" s="2996">
        <f t="shared" si="0"/>
        <v>12569.256313903697</v>
      </c>
    </row>
    <row r="95" spans="1:5">
      <c r="B95">
        <v>1</v>
      </c>
      <c r="C95">
        <v>164.23</v>
      </c>
      <c r="D95">
        <v>190</v>
      </c>
      <c r="E95" s="2996">
        <f t="shared" si="0"/>
        <v>11569.140839067162</v>
      </c>
    </row>
    <row r="96" spans="1:5">
      <c r="A96">
        <v>12</v>
      </c>
      <c r="B96">
        <v>4</v>
      </c>
      <c r="C96">
        <v>164.23</v>
      </c>
      <c r="D96">
        <v>184.25</v>
      </c>
      <c r="E96" s="2996">
        <f t="shared" si="0"/>
        <v>11219.022103148025</v>
      </c>
    </row>
    <row r="97" spans="1:5">
      <c r="B97">
        <v>3</v>
      </c>
      <c r="C97">
        <v>114.43</v>
      </c>
      <c r="D97">
        <v>143.25</v>
      </c>
      <c r="E97" s="2996">
        <f t="shared" si="0"/>
        <v>12518.570304989949</v>
      </c>
    </row>
    <row r="98" spans="1:5">
      <c r="B98">
        <v>2</v>
      </c>
      <c r="C98">
        <v>114.43</v>
      </c>
      <c r="D98">
        <v>143.25</v>
      </c>
      <c r="E98" s="2996">
        <f t="shared" si="0"/>
        <v>12518.570304989949</v>
      </c>
    </row>
    <row r="99" spans="1:5">
      <c r="B99">
        <v>1</v>
      </c>
      <c r="C99">
        <v>164.23</v>
      </c>
      <c r="D99">
        <v>189.18</v>
      </c>
      <c r="E99" s="2996">
        <f t="shared" si="0"/>
        <v>11519.210862814347</v>
      </c>
    </row>
    <row r="100" spans="1:5">
      <c r="A100">
        <v>11</v>
      </c>
      <c r="B100">
        <v>4</v>
      </c>
      <c r="C100">
        <v>164.23</v>
      </c>
      <c r="D100">
        <v>183.43</v>
      </c>
      <c r="E100" s="2996">
        <f t="shared" si="0"/>
        <v>11169.092126895208</v>
      </c>
    </row>
    <row r="101" spans="1:5">
      <c r="B101">
        <v>3</v>
      </c>
      <c r="C101">
        <v>114.43</v>
      </c>
      <c r="D101">
        <v>142.68</v>
      </c>
      <c r="E101" s="2996">
        <f t="shared" si="0"/>
        <v>12468.758192781612</v>
      </c>
    </row>
    <row r="102" spans="1:5">
      <c r="B102">
        <v>2</v>
      </c>
      <c r="C102">
        <v>114.43</v>
      </c>
      <c r="D102">
        <v>142.68</v>
      </c>
      <c r="E102" s="2996">
        <f t="shared" si="0"/>
        <v>12468.758192781612</v>
      </c>
    </row>
    <row r="103" spans="1:5">
      <c r="B103">
        <v>1</v>
      </c>
      <c r="C103">
        <v>164.23</v>
      </c>
      <c r="D103">
        <v>188.36</v>
      </c>
      <c r="E103" s="2996">
        <f t="shared" si="0"/>
        <v>11469.280886561532</v>
      </c>
    </row>
    <row r="104" spans="1:5">
      <c r="A104">
        <v>10</v>
      </c>
      <c r="B104">
        <v>4</v>
      </c>
      <c r="C104">
        <v>164.08</v>
      </c>
      <c r="D104">
        <v>182.44</v>
      </c>
      <c r="E104" s="2996">
        <f t="shared" si="0"/>
        <v>11118.966357874207</v>
      </c>
    </row>
    <row r="105" spans="1:5">
      <c r="B105">
        <v>3</v>
      </c>
      <c r="C105">
        <v>114.59</v>
      </c>
      <c r="D105">
        <v>142.31</v>
      </c>
      <c r="E105" s="2996">
        <f t="shared" si="0"/>
        <v>12419.059254734269</v>
      </c>
    </row>
    <row r="106" spans="1:5">
      <c r="B106">
        <v>2</v>
      </c>
      <c r="C106">
        <v>114.59</v>
      </c>
      <c r="D106">
        <v>142.31</v>
      </c>
      <c r="E106" s="2996">
        <f t="shared" si="0"/>
        <v>12419.059254734269</v>
      </c>
    </row>
    <row r="107" spans="1:5">
      <c r="B107">
        <v>1</v>
      </c>
      <c r="C107">
        <v>164.08</v>
      </c>
      <c r="D107">
        <v>187.36</v>
      </c>
      <c r="E107" s="2996">
        <f t="shared" si="0"/>
        <v>11418.820087762067</v>
      </c>
    </row>
    <row r="108" spans="1:5">
      <c r="A108">
        <v>9</v>
      </c>
      <c r="B108">
        <v>4</v>
      </c>
      <c r="C108">
        <v>164.08</v>
      </c>
      <c r="D108">
        <v>181.62</v>
      </c>
      <c r="E108" s="2996">
        <f t="shared" si="0"/>
        <v>11068.990736226231</v>
      </c>
    </row>
    <row r="109" spans="1:5">
      <c r="B109">
        <v>3</v>
      </c>
      <c r="C109">
        <v>114.59</v>
      </c>
      <c r="D109">
        <v>141.74</v>
      </c>
      <c r="E109" s="2996">
        <f t="shared" si="0"/>
        <v>12369.316694301422</v>
      </c>
    </row>
    <row r="110" spans="1:5">
      <c r="B110">
        <v>2</v>
      </c>
      <c r="C110">
        <v>114.59</v>
      </c>
      <c r="D110">
        <v>141.74</v>
      </c>
      <c r="E110" s="2996">
        <f t="shared" si="0"/>
        <v>12369.316694301422</v>
      </c>
    </row>
    <row r="111" spans="1:5">
      <c r="B111">
        <v>1</v>
      </c>
      <c r="C111">
        <v>164.08</v>
      </c>
      <c r="D111">
        <v>186.54</v>
      </c>
      <c r="E111" s="2996">
        <f t="shared" si="0"/>
        <v>11368.844466114089</v>
      </c>
    </row>
    <row r="112" spans="1:5">
      <c r="A112">
        <v>8</v>
      </c>
      <c r="B112">
        <v>4</v>
      </c>
      <c r="C112">
        <v>164.08</v>
      </c>
      <c r="D112">
        <v>180.8</v>
      </c>
      <c r="E112" s="2996">
        <f t="shared" si="0"/>
        <v>11019.015114578253</v>
      </c>
    </row>
    <row r="113" spans="1:5">
      <c r="B113">
        <v>3</v>
      </c>
      <c r="C113">
        <v>114.59</v>
      </c>
      <c r="D113">
        <v>141.16</v>
      </c>
      <c r="E113" s="2996">
        <f t="shared" si="0"/>
        <v>12318.701457369752</v>
      </c>
    </row>
    <row r="114" spans="1:5">
      <c r="B114">
        <v>2</v>
      </c>
      <c r="C114">
        <v>114.59</v>
      </c>
      <c r="D114">
        <v>141.16</v>
      </c>
      <c r="E114" s="2996">
        <f t="shared" si="0"/>
        <v>12318.701457369752</v>
      </c>
    </row>
    <row r="115" spans="1:5">
      <c r="B115">
        <v>1</v>
      </c>
      <c r="C115">
        <v>164.08</v>
      </c>
      <c r="D115">
        <v>185.72</v>
      </c>
      <c r="E115" s="2996">
        <f t="shared" si="0"/>
        <v>11318.868844466113</v>
      </c>
    </row>
    <row r="116" spans="1:5">
      <c r="A116">
        <v>7</v>
      </c>
      <c r="B116">
        <v>4</v>
      </c>
      <c r="C116">
        <v>164.08</v>
      </c>
      <c r="D116">
        <v>179.16</v>
      </c>
      <c r="E116" s="2996">
        <f t="shared" si="0"/>
        <v>10919.0638712823</v>
      </c>
    </row>
    <row r="117" spans="1:5">
      <c r="B117">
        <v>3</v>
      </c>
      <c r="C117">
        <v>114.59</v>
      </c>
      <c r="D117">
        <v>140.02000000000001</v>
      </c>
      <c r="E117" s="2996">
        <f t="shared" si="0"/>
        <v>12219.216336504058</v>
      </c>
    </row>
    <row r="118" spans="1:5">
      <c r="B118">
        <v>2</v>
      </c>
      <c r="C118">
        <v>114.59</v>
      </c>
      <c r="D118">
        <v>140.02000000000001</v>
      </c>
      <c r="E118" s="2996">
        <f t="shared" si="0"/>
        <v>12219.216336504058</v>
      </c>
    </row>
    <row r="119" spans="1:5">
      <c r="B119">
        <v>1</v>
      </c>
      <c r="C119">
        <v>164.08</v>
      </c>
      <c r="D119">
        <v>184.08</v>
      </c>
      <c r="E119" s="2996">
        <f t="shared" si="0"/>
        <v>11218.917601170162</v>
      </c>
    </row>
    <row r="120" spans="1:5">
      <c r="A120">
        <v>6</v>
      </c>
      <c r="B120">
        <v>4</v>
      </c>
      <c r="C120">
        <v>164.08</v>
      </c>
      <c r="D120">
        <v>178.34</v>
      </c>
      <c r="E120" s="2996">
        <f t="shared" si="0"/>
        <v>10869.088249634324</v>
      </c>
    </row>
    <row r="121" spans="1:5">
      <c r="B121">
        <v>3</v>
      </c>
      <c r="C121">
        <v>114.59</v>
      </c>
      <c r="D121">
        <v>139.44</v>
      </c>
      <c r="E121" s="2996">
        <f t="shared" si="0"/>
        <v>12168.601099572388</v>
      </c>
    </row>
    <row r="122" spans="1:5">
      <c r="B122">
        <v>2</v>
      </c>
      <c r="C122">
        <v>114.59</v>
      </c>
      <c r="D122">
        <v>139.44</v>
      </c>
      <c r="E122" s="2996">
        <f t="shared" si="0"/>
        <v>12168.601099572388</v>
      </c>
    </row>
    <row r="123" spans="1:5">
      <c r="B123">
        <v>1</v>
      </c>
      <c r="C123">
        <v>164.08</v>
      </c>
      <c r="D123">
        <v>183.26</v>
      </c>
      <c r="E123" s="2996">
        <f t="shared" si="0"/>
        <v>11168.941979522184</v>
      </c>
    </row>
    <row r="124" spans="1:5">
      <c r="A124">
        <v>5</v>
      </c>
      <c r="B124">
        <v>4</v>
      </c>
      <c r="C124">
        <v>163.77000000000001</v>
      </c>
      <c r="D124">
        <v>177.18</v>
      </c>
      <c r="E124" s="2996">
        <f t="shared" si="0"/>
        <v>10818.831287781644</v>
      </c>
    </row>
    <row r="125" spans="1:5">
      <c r="B125">
        <v>3</v>
      </c>
      <c r="C125">
        <v>114.88</v>
      </c>
      <c r="D125">
        <v>139.22</v>
      </c>
      <c r="E125" s="2996">
        <f t="shared" si="0"/>
        <v>12118.732590529249</v>
      </c>
    </row>
    <row r="126" spans="1:5">
      <c r="B126">
        <v>2</v>
      </c>
      <c r="C126">
        <v>114.88</v>
      </c>
      <c r="D126">
        <v>139.22</v>
      </c>
      <c r="E126" s="2996">
        <f t="shared" si="0"/>
        <v>12118.732590529249</v>
      </c>
    </row>
    <row r="127" spans="1:5">
      <c r="B127">
        <v>1</v>
      </c>
      <c r="C127">
        <v>163.77000000000001</v>
      </c>
      <c r="D127">
        <v>182.1</v>
      </c>
      <c r="E127" s="2996">
        <f t="shared" si="0"/>
        <v>11119.252610368199</v>
      </c>
    </row>
    <row r="128" spans="1:5">
      <c r="A128">
        <v>4</v>
      </c>
      <c r="B128">
        <v>4</v>
      </c>
      <c r="C128">
        <v>163.77000000000001</v>
      </c>
      <c r="D128">
        <v>176.36</v>
      </c>
      <c r="E128" s="2996">
        <f t="shared" si="0"/>
        <v>10768.761067350553</v>
      </c>
    </row>
    <row r="129" spans="1:5">
      <c r="B129">
        <v>3</v>
      </c>
      <c r="C129">
        <v>114.88</v>
      </c>
      <c r="D129">
        <v>138.65</v>
      </c>
      <c r="E129" s="2996">
        <f t="shared" si="0"/>
        <v>12069.115598885794</v>
      </c>
    </row>
    <row r="130" spans="1:5">
      <c r="B130">
        <v>2</v>
      </c>
      <c r="C130">
        <v>114.88</v>
      </c>
      <c r="D130">
        <v>138.65</v>
      </c>
      <c r="E130" s="2996">
        <f t="shared" si="0"/>
        <v>12069.115598885794</v>
      </c>
    </row>
    <row r="131" spans="1:5">
      <c r="B131">
        <v>1</v>
      </c>
      <c r="C131">
        <v>163.77000000000001</v>
      </c>
      <c r="D131">
        <v>181.28</v>
      </c>
      <c r="E131" s="2996">
        <f t="shared" si="0"/>
        <v>11069.182389937107</v>
      </c>
    </row>
    <row r="132" spans="1:5">
      <c r="A132">
        <v>3</v>
      </c>
      <c r="B132">
        <v>4</v>
      </c>
      <c r="C132">
        <v>163.77000000000001</v>
      </c>
      <c r="D132">
        <v>175.55</v>
      </c>
      <c r="E132" s="2996">
        <f t="shared" si="0"/>
        <v>10719.301459363742</v>
      </c>
    </row>
    <row r="133" spans="1:5">
      <c r="B133">
        <v>3</v>
      </c>
      <c r="C133">
        <v>114.88</v>
      </c>
      <c r="D133">
        <v>138.07</v>
      </c>
      <c r="E133" s="2996">
        <f t="shared" si="0"/>
        <v>12018.628133704737</v>
      </c>
    </row>
    <row r="134" spans="1:5">
      <c r="B134">
        <v>2</v>
      </c>
      <c r="C134">
        <v>114.88</v>
      </c>
      <c r="D134">
        <v>138.07</v>
      </c>
      <c r="E134" s="2996">
        <f t="shared" si="0"/>
        <v>12018.628133704737</v>
      </c>
    </row>
    <row r="135" spans="1:5">
      <c r="B135">
        <v>1</v>
      </c>
      <c r="C135">
        <v>163.77000000000001</v>
      </c>
      <c r="D135">
        <v>180.46</v>
      </c>
      <c r="E135" s="2996">
        <f t="shared" si="0"/>
        <v>11019.112169506014</v>
      </c>
    </row>
    <row r="136" spans="1:5">
      <c r="A136">
        <v>2</v>
      </c>
      <c r="B136">
        <v>4</v>
      </c>
      <c r="C136">
        <v>163.77000000000001</v>
      </c>
      <c r="D136">
        <v>174.73</v>
      </c>
      <c r="E136" s="2996">
        <f t="shared" si="0"/>
        <v>10669.231238932649</v>
      </c>
    </row>
    <row r="137" spans="1:5">
      <c r="B137">
        <v>3</v>
      </c>
      <c r="C137">
        <v>114.88</v>
      </c>
      <c r="D137">
        <v>137.5</v>
      </c>
      <c r="E137" s="2996">
        <f t="shared" si="0"/>
        <v>11969.011142061281</v>
      </c>
    </row>
    <row r="138" spans="1:5">
      <c r="B138">
        <v>2</v>
      </c>
      <c r="C138">
        <v>114.88</v>
      </c>
      <c r="D138">
        <v>137.5</v>
      </c>
      <c r="E138" s="2996">
        <f t="shared" si="0"/>
        <v>11969.011142061281</v>
      </c>
    </row>
    <row r="139" spans="1:5">
      <c r="B139">
        <v>1</v>
      </c>
      <c r="C139">
        <v>163.77000000000001</v>
      </c>
      <c r="D139">
        <v>179.64</v>
      </c>
      <c r="E139" s="2996">
        <f t="shared" si="0"/>
        <v>10969.041949074921</v>
      </c>
    </row>
    <row r="140" spans="1:5">
      <c r="A140">
        <v>1</v>
      </c>
      <c r="B140">
        <v>4</v>
      </c>
      <c r="C140">
        <v>151.91</v>
      </c>
      <c r="D140">
        <v>161.31</v>
      </c>
      <c r="E140" s="2996">
        <f t="shared" si="0"/>
        <v>10618.787439931539</v>
      </c>
    </row>
    <row r="141" spans="1:5">
      <c r="B141">
        <v>3</v>
      </c>
      <c r="C141">
        <v>106.54</v>
      </c>
      <c r="D141">
        <v>126.99</v>
      </c>
      <c r="E141" s="2996">
        <f t="shared" si="0"/>
        <v>11919.466866904448</v>
      </c>
    </row>
    <row r="142" spans="1:5">
      <c r="B142">
        <v>2</v>
      </c>
      <c r="C142">
        <v>106.54</v>
      </c>
      <c r="D142">
        <v>126.99</v>
      </c>
      <c r="E142" s="2996">
        <f t="shared" si="0"/>
        <v>11919.466866904448</v>
      </c>
    </row>
    <row r="143" spans="1:5">
      <c r="B143">
        <v>1</v>
      </c>
      <c r="C143">
        <v>151.91</v>
      </c>
      <c r="D143">
        <v>165.87</v>
      </c>
      <c r="E143" s="2996">
        <f t="shared" si="0"/>
        <v>10918.965176749391</v>
      </c>
    </row>
    <row r="144" spans="1:5">
      <c r="C144">
        <f>SUM(C1:C143)</f>
        <v>20004.829999999998</v>
      </c>
      <c r="D144">
        <f>SUM(D1:D143)</f>
        <v>23798.270000000011</v>
      </c>
      <c r="E144" s="2996">
        <f t="shared" si="0"/>
        <v>11896.262052714277</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59" t="s">
        <v>1658</v>
      </c>
      <c r="B1" s="3059"/>
      <c r="C1" s="3059"/>
      <c r="D1" s="3059"/>
    </row>
    <row r="2" spans="1:4" ht="18">
      <c r="A2" s="3060" t="s">
        <v>1642</v>
      </c>
      <c r="B2" s="3060"/>
      <c r="C2" s="3060"/>
      <c r="D2" s="3060"/>
    </row>
    <row r="3" spans="1:4" ht="18.75">
      <c r="A3" s="1976" t="s">
        <v>1643</v>
      </c>
      <c r="B3" s="1976" t="s">
        <v>1644</v>
      </c>
      <c r="C3" s="1976" t="s">
        <v>1645</v>
      </c>
      <c r="D3" s="1976" t="s">
        <v>1646</v>
      </c>
    </row>
    <row r="4" spans="1:4" ht="56.25" customHeight="1">
      <c r="A4" s="1977" t="str">
        <f>项目基本情况!B4</f>
        <v>王鹏</v>
      </c>
      <c r="B4" s="1978">
        <f ca="1">项目基本情况!C4</f>
        <v>1120050019</v>
      </c>
      <c r="C4" s="1979"/>
      <c r="D4" s="1980" t="s">
        <v>1647</v>
      </c>
    </row>
    <row r="5" spans="1:4" ht="56.25" customHeight="1">
      <c r="A5" s="1977" t="str">
        <f>项目基本情况!D4</f>
        <v>郑燚</v>
      </c>
      <c r="B5" s="1978">
        <f ca="1">项目基本情况!E4</f>
        <v>1120070131</v>
      </c>
      <c r="C5" s="1981"/>
      <c r="D5" s="1980" t="s">
        <v>1647</v>
      </c>
    </row>
    <row r="6" spans="1:4" ht="18">
      <c r="A6" s="3060" t="s">
        <v>1648</v>
      </c>
      <c r="B6" s="3060"/>
      <c r="C6" s="3060"/>
      <c r="D6" s="3060"/>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61" t="s">
        <v>1651</v>
      </c>
      <c r="B11" s="3053"/>
      <c r="C11" s="3053"/>
      <c r="D11" s="3053"/>
    </row>
    <row r="12" spans="1:4" ht="15.75">
      <c r="A12" s="30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8"/>
      <c r="C12" s="3058"/>
      <c r="D12" s="3058"/>
    </row>
    <row r="13" spans="1:4" ht="30" customHeight="1">
      <c r="A13" s="30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8"/>
      <c r="C13" s="3058"/>
      <c r="D13" s="3058"/>
    </row>
    <row r="14" spans="1:4" ht="15.75" customHeight="1">
      <c r="A14" s="3053" t="str">
        <f>IF(项目基本情况!B8="抵押","4.本次评估估价师所知悉的法定优先受偿款情况说明如下：","——")</f>
        <v>4.本次评估估价师所知悉的法定优先受偿款情况说明如下：</v>
      </c>
      <c r="B14" s="3058"/>
      <c r="C14" s="3058"/>
      <c r="D14" s="3058"/>
    </row>
    <row r="15" spans="1:4" ht="42" customHeight="1">
      <c r="A15" s="3053" t="str">
        <f>IF(项目基本情况!B8="抵押","（1）"&amp;CONCATENATE(项目基本情况!L20,项目基本情况!L21,项目基本情况!L22),"——")</f>
        <v>（1）根据估价对象《国有土地使用证》复印件，截至价值时点，估价对象抵押权未见登记。</v>
      </c>
      <c r="B15" s="3053"/>
      <c r="C15" s="3053"/>
      <c r="D15" s="3053"/>
    </row>
    <row r="16" spans="1:4" ht="30" customHeight="1">
      <c r="A16" s="3055" t="s">
        <v>1652</v>
      </c>
      <c r="B16" s="3055"/>
      <c r="C16" s="3055"/>
      <c r="D16" s="3055"/>
    </row>
    <row r="17" spans="1:4" ht="144" customHeight="1">
      <c r="A17" s="3055" t="s">
        <v>1653</v>
      </c>
      <c r="B17" s="3055"/>
      <c r="C17" s="3055"/>
      <c r="D17" s="3055"/>
    </row>
    <row r="18" spans="1:4" ht="15.75" customHeight="1">
      <c r="A18" s="3053" t="str">
        <f>IF(项目基本情况!B8="抵押",结果表!K120,"——")</f>
        <v>故，本次评估不存在估价师知悉的法定优先受偿款</v>
      </c>
      <c r="B18" s="3053"/>
      <c r="C18" s="3053"/>
      <c r="D18" s="3053"/>
    </row>
    <row r="19" spans="1:4" ht="46.5" customHeight="1">
      <c r="A19" s="30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3"/>
      <c r="C19" s="3053"/>
      <c r="D19" s="3053"/>
    </row>
    <row r="20" spans="1:4" ht="57.75" customHeight="1">
      <c r="A20" s="30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3"/>
      <c r="C20" s="3053"/>
      <c r="D20" s="3053"/>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6"/>
      <c r="C21" s="3056"/>
      <c r="D21" s="3056"/>
    </row>
    <row r="22" spans="1:4" ht="18.75" customHeight="1">
      <c r="A22" s="3057" t="s">
        <v>1654</v>
      </c>
      <c r="B22" s="3057"/>
      <c r="C22" s="3057"/>
      <c r="D22" s="3057"/>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54">
        <v>42551</v>
      </c>
      <c r="D31" s="30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67" t="s">
        <v>1665</v>
      </c>
      <c r="B15" s="3062" t="s">
        <v>136</v>
      </c>
      <c r="C15" s="3063"/>
    </row>
    <row r="16" spans="1:7" ht="13.5">
      <c r="A16" s="3068"/>
      <c r="B16" s="3062" t="s">
        <v>69</v>
      </c>
      <c r="C16" s="3063"/>
    </row>
    <row r="17" spans="1:3" ht="13.5">
      <c r="A17" s="3068"/>
      <c r="B17" s="3065" t="s">
        <v>1666</v>
      </c>
      <c r="C17" s="1999" t="s">
        <v>1665</v>
      </c>
    </row>
    <row r="18" spans="1:3" ht="13.5">
      <c r="A18" s="3068"/>
      <c r="B18" s="3065"/>
      <c r="C18" s="1999" t="s">
        <v>1667</v>
      </c>
    </row>
    <row r="19" spans="1:3" ht="13.5">
      <c r="A19" s="3068"/>
      <c r="B19" s="3065"/>
      <c r="C19" s="1999" t="s">
        <v>1668</v>
      </c>
    </row>
    <row r="20" spans="1:3" ht="13.5">
      <c r="A20" s="3069"/>
      <c r="B20" s="3064" t="s">
        <v>1669</v>
      </c>
      <c r="C20" s="3063"/>
    </row>
    <row r="21" spans="1:3" ht="13.5">
      <c r="A21" s="2000" t="s">
        <v>1670</v>
      </c>
      <c r="B21" s="2001"/>
      <c r="C21" s="2002"/>
    </row>
    <row r="22" spans="1:3" ht="13.5">
      <c r="A22" s="3066" t="s">
        <v>1671</v>
      </c>
      <c r="B22" s="3064" t="s">
        <v>1672</v>
      </c>
      <c r="C22" s="3063"/>
    </row>
    <row r="23" spans="1:3" ht="13.5">
      <c r="A23" s="3066"/>
      <c r="B23" s="3064" t="s">
        <v>1673</v>
      </c>
      <c r="C23" s="3063"/>
    </row>
    <row r="24" spans="1:3" ht="13.5">
      <c r="A24" s="3066"/>
      <c r="B24" s="3064" t="s">
        <v>1674</v>
      </c>
      <c r="C24" s="3063"/>
    </row>
    <row r="25" spans="1:3" ht="13.5">
      <c r="A25" s="3066"/>
      <c r="B25" s="3065" t="s">
        <v>1675</v>
      </c>
      <c r="C25" s="1999" t="s">
        <v>1676</v>
      </c>
    </row>
    <row r="26" spans="1:3" ht="13.5">
      <c r="A26" s="3066"/>
      <c r="B26" s="3065"/>
      <c r="C26" s="1999" t="s">
        <v>1677</v>
      </c>
    </row>
    <row r="27" spans="1:3" ht="13.5">
      <c r="A27" s="3066"/>
      <c r="B27" s="3065"/>
      <c r="C27" s="1999" t="s">
        <v>1678</v>
      </c>
    </row>
    <row r="28" spans="1:3" ht="13.5">
      <c r="A28" s="3066"/>
      <c r="B28" s="3065"/>
      <c r="C28" s="1999" t="s">
        <v>1679</v>
      </c>
    </row>
    <row r="29" spans="1:3" ht="13.5">
      <c r="A29" s="3066"/>
      <c r="B29" s="3065"/>
      <c r="C29" s="1999" t="s">
        <v>1680</v>
      </c>
    </row>
    <row r="30" spans="1:3" ht="13.5">
      <c r="A30" s="3066"/>
      <c r="B30" s="3065"/>
      <c r="C30" s="1999" t="s">
        <v>1681</v>
      </c>
    </row>
    <row r="31" spans="1:3" ht="13.5">
      <c r="A31" s="3066"/>
      <c r="B31" s="3065"/>
      <c r="C31" s="1999" t="s">
        <v>1682</v>
      </c>
    </row>
    <row r="32" spans="1:3" ht="13.5">
      <c r="A32" s="3066"/>
      <c r="B32" s="3065"/>
      <c r="C32" s="1999" t="s">
        <v>1683</v>
      </c>
    </row>
    <row r="33" spans="1:3" ht="13.5">
      <c r="A33" s="3066"/>
      <c r="B33" s="3065"/>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7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43636</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t="str">
        <f ca="1">IF(C11&lt;B2,"已过期",1120100036)</f>
        <v>已过期</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3034</v>
      </c>
      <c r="B14" s="1022">
        <f ca="1">IF(C14&lt;B2,"已过期",1120040230)</f>
        <v>1120040230</v>
      </c>
      <c r="C14" s="2343">
        <v>43835</v>
      </c>
      <c r="D14" s="2346" t="s">
        <v>3034</v>
      </c>
      <c r="E14" s="1022">
        <f ca="1">IF(F14&lt;B2,"已过期",98030020)</f>
        <v>98030020</v>
      </c>
      <c r="F14" s="1030">
        <v>47118</v>
      </c>
    </row>
    <row r="15" spans="1:6" ht="24" customHeight="1">
      <c r="A15" s="1702" t="s">
        <v>3035</v>
      </c>
      <c r="B15" s="1022">
        <f ca="1">IF(C15&lt;B2,"已过期",1120070085)</f>
        <v>1120070085</v>
      </c>
      <c r="C15" s="2343">
        <v>43814</v>
      </c>
      <c r="D15" s="2347" t="s">
        <v>3035</v>
      </c>
      <c r="E15" s="1022">
        <f ca="1">IF(F15&lt;B2,"已过期",2004110128)</f>
        <v>2004110128</v>
      </c>
      <c r="F15" s="1023">
        <v>47118</v>
      </c>
    </row>
    <row r="16" spans="1:6" ht="24" customHeight="1">
      <c r="A16" s="1701" t="s">
        <v>3036</v>
      </c>
      <c r="B16" s="1022">
        <f ca="1">IF(C16&lt;B2,"已过期",1120140022)</f>
        <v>1120140022</v>
      </c>
      <c r="C16" s="2924">
        <v>44029</v>
      </c>
      <c r="D16" s="2346" t="s">
        <v>3036</v>
      </c>
      <c r="E16" s="1022">
        <f ca="1">IF(F16&lt;B2,"已过期",2008110059)</f>
        <v>2008110059</v>
      </c>
      <c r="F16" s="1030">
        <v>47177</v>
      </c>
    </row>
    <row r="17" spans="1:7" ht="24" customHeight="1">
      <c r="A17" s="1701"/>
      <c r="B17" s="1022"/>
      <c r="C17" s="2343"/>
      <c r="D17" s="2346" t="s">
        <v>3037</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70" t="s">
        <v>843</v>
      </c>
      <c r="B25" s="3070"/>
      <c r="C25" s="3070"/>
      <c r="D25" s="3070"/>
      <c r="E25" s="3070"/>
      <c r="F25" s="3070"/>
      <c r="G25" s="3070"/>
    </row>
    <row r="26" spans="1:7" s="1025" customFormat="1" ht="24" customHeight="1">
      <c r="A26" s="3071" t="s">
        <v>844</v>
      </c>
      <c r="B26" s="3071"/>
      <c r="C26" s="3072"/>
      <c r="D26" s="3073" t="s">
        <v>845</v>
      </c>
      <c r="E26" s="3071"/>
      <c r="F26" s="3071"/>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7"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6、7期规划</vt:lpstr>
      <vt:lpstr>6、7期工程进度</vt:lpstr>
      <vt:lpstr>5、8、9、10期规划</vt:lpstr>
      <vt:lpstr>项目土地面积</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选取案例</vt:lpstr>
      <vt:lpstr>假设开发法</vt:lpstr>
      <vt:lpstr>比较法-住宅</vt:lpstr>
      <vt:lpstr>收益法（商业）</vt:lpstr>
      <vt:lpstr>收益法 (元)</vt:lpstr>
      <vt:lpstr>收益法（汇总）</vt:lpstr>
      <vt:lpstr>酒店收入计算</vt:lpstr>
      <vt:lpstr>收益法（地下车库）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工作表6</vt:lpstr>
      <vt:lpstr>Sheet1</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2019-06-20T05:19:17Z</dcterms:modified>
</cp:coreProperties>
</file>